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fileSharing readOnlyRecommended="1" userName="Nathany Lima Gonçalves Wojcik" algorithmName="SHA-512" hashValue="1YVJSFLm47IkmJyxiLB+hhyYPf0y9foh3r3YeNFXEkCO/Mn+8CIjFKsTSGISoPacTsSEktvrR8riaaP7QquR3w==" saltValue="p6/FSaXBOkMUjnV9RdxjOg==" spinCount="100000"/>
  <workbookPr backupFile="1" codeName="ThisWorkbook" hidePivotFieldList="1"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253DF267-2417-4F40-90EC-46898CE0DAFB}" xr6:coauthVersionLast="47" xr6:coauthVersionMax="47" xr10:uidLastSave="{00000000-0000-0000-0000-000000000000}"/>
  <bookViews>
    <workbookView xWindow="28680" yWindow="750" windowWidth="29040" windowHeight="15720" tabRatio="718" firstSheet="2" activeTab="2"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Condições'!$A$3:$CK$507</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0" r:id="rId8"/>
    <pivotCache cacheId="1" r:id="rId9"/>
    <pivotCache cacheId="2" r:id="rId10"/>
    <pivotCache cacheId="3" r:id="rId11"/>
    <pivotCache cacheId="2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G480" i="2" l="1"/>
  <c r="CF480" i="2"/>
  <c r="CC480" i="2"/>
  <c r="CB480" i="2"/>
  <c r="BZ480" i="2"/>
  <c r="BW480" i="2" a="1"/>
  <c r="BW480" i="2" s="1"/>
  <c r="BV480" i="2" a="1"/>
  <c r="BV480" i="2" s="1"/>
  <c r="BU480" i="2" a="1"/>
  <c r="BU480" i="2" s="1"/>
  <c r="BX480" i="2" s="1"/>
  <c r="BY480" i="2" s="1"/>
  <c r="CH480" i="2" l="1"/>
  <c r="CA480" i="2"/>
  <c r="CD480" i="2" s="1"/>
  <c r="CI480" i="2" l="1"/>
  <c r="CJ480" i="2" s="1"/>
  <c r="CK480" i="2" s="1"/>
  <c r="CE480" i="2"/>
  <c r="BU408" i="2" l="1" a="1"/>
  <c r="BU408" i="2" s="1"/>
  <c r="BX408" i="2" s="1"/>
  <c r="BV408" i="2" a="1"/>
  <c r="BV408" i="2" s="1"/>
  <c r="BW408" i="2" a="1"/>
  <c r="BW408" i="2" s="1"/>
  <c r="BZ408" i="2"/>
  <c r="CB408" i="2"/>
  <c r="CC408" i="2"/>
  <c r="CF408" i="2"/>
  <c r="CG408" i="2"/>
  <c r="BU409" i="2" a="1"/>
  <c r="BU409" i="2" s="1"/>
  <c r="BX409" i="2" s="1"/>
  <c r="BY409" i="2" s="1"/>
  <c r="CA409" i="2" s="1"/>
  <c r="BV409" i="2" a="1"/>
  <c r="BV409" i="2" s="1"/>
  <c r="BW409" i="2" a="1"/>
  <c r="BW409" i="2" s="1"/>
  <c r="BZ409" i="2"/>
  <c r="CB409" i="2"/>
  <c r="CC409" i="2"/>
  <c r="CF409" i="2"/>
  <c r="CG409" i="2"/>
  <c r="BU410" i="2" a="1"/>
  <c r="BU410" i="2" s="1"/>
  <c r="BX410" i="2" s="1"/>
  <c r="BY410" i="2" s="1"/>
  <c r="CA410" i="2" s="1"/>
  <c r="BV410" i="2" a="1"/>
  <c r="BV410" i="2" s="1"/>
  <c r="BW410" i="2" a="1"/>
  <c r="BW410" i="2" s="1"/>
  <c r="BZ410" i="2"/>
  <c r="CB410" i="2"/>
  <c r="CC410" i="2"/>
  <c r="CF410" i="2"/>
  <c r="CG410" i="2"/>
  <c r="BU411" i="2" a="1"/>
  <c r="BU411" i="2" s="1"/>
  <c r="BX411" i="2" s="1"/>
  <c r="BV411" i="2" a="1"/>
  <c r="BV411" i="2" s="1"/>
  <c r="BW411" i="2" a="1"/>
  <c r="BW411" i="2" s="1"/>
  <c r="BZ411" i="2"/>
  <c r="CB411" i="2"/>
  <c r="CC411" i="2"/>
  <c r="CF411" i="2"/>
  <c r="CG411" i="2"/>
  <c r="BU412" i="2" a="1"/>
  <c r="BU412" i="2" s="1"/>
  <c r="BX412" i="2" s="1"/>
  <c r="BY412" i="2" s="1"/>
  <c r="CA412" i="2" s="1"/>
  <c r="BV412" i="2" a="1"/>
  <c r="BV412" i="2" s="1"/>
  <c r="BW412" i="2" a="1"/>
  <c r="BW412" i="2" s="1"/>
  <c r="BZ412" i="2"/>
  <c r="CB412" i="2"/>
  <c r="CC412" i="2"/>
  <c r="CF412" i="2"/>
  <c r="CG412" i="2"/>
  <c r="BU413" i="2" a="1"/>
  <c r="BU413" i="2" s="1"/>
  <c r="BX413" i="2" s="1"/>
  <c r="BY413" i="2" s="1"/>
  <c r="CA413" i="2" s="1"/>
  <c r="BV413" i="2" a="1"/>
  <c r="BV413" i="2" s="1"/>
  <c r="BW413" i="2" a="1"/>
  <c r="BW413" i="2" s="1"/>
  <c r="BZ413" i="2"/>
  <c r="CB413" i="2"/>
  <c r="CC413" i="2"/>
  <c r="CF413" i="2"/>
  <c r="CG413" i="2"/>
  <c r="BU414" i="2" a="1"/>
  <c r="BU414" i="2" s="1"/>
  <c r="BX414" i="2" s="1"/>
  <c r="BV414" i="2" a="1"/>
  <c r="BV414" i="2" s="1"/>
  <c r="BW414" i="2" a="1"/>
  <c r="BW414" i="2" s="1"/>
  <c r="BZ414" i="2"/>
  <c r="CB414" i="2"/>
  <c r="CC414" i="2"/>
  <c r="CF414" i="2"/>
  <c r="CG414" i="2"/>
  <c r="BU493" i="2" a="1"/>
  <c r="BU493" i="2" s="1"/>
  <c r="BX493" i="2" s="1"/>
  <c r="BY493" i="2" s="1"/>
  <c r="BV493" i="2" a="1"/>
  <c r="BV493" i="2" s="1"/>
  <c r="BW493" i="2" a="1"/>
  <c r="BW493" i="2" s="1"/>
  <c r="BZ493" i="2"/>
  <c r="CC493" i="2"/>
  <c r="CF493" i="2"/>
  <c r="CG493" i="2"/>
  <c r="BU494" i="2" a="1"/>
  <c r="BU494" i="2" s="1"/>
  <c r="BX494" i="2" s="1"/>
  <c r="BY494" i="2" s="1"/>
  <c r="CA494" i="2" s="1"/>
  <c r="BV494" i="2" a="1"/>
  <c r="BV494" i="2" s="1"/>
  <c r="BW494" i="2" a="1"/>
  <c r="BW494" i="2" s="1"/>
  <c r="BZ494" i="2"/>
  <c r="CB494" i="2"/>
  <c r="CC494" i="2"/>
  <c r="CF494" i="2"/>
  <c r="CG494" i="2"/>
  <c r="BU495" i="2" a="1"/>
  <c r="BU495" i="2" s="1"/>
  <c r="BX495" i="2" s="1"/>
  <c r="BV495" i="2" a="1"/>
  <c r="BV495" i="2" s="1"/>
  <c r="BW495" i="2" a="1"/>
  <c r="BW495" i="2" s="1"/>
  <c r="BZ495" i="2"/>
  <c r="CC495" i="2"/>
  <c r="CF495" i="2"/>
  <c r="CG495" i="2"/>
  <c r="BU496" i="2" a="1"/>
  <c r="BU496" i="2" s="1"/>
  <c r="BX496" i="2" s="1"/>
  <c r="BV496" i="2" a="1"/>
  <c r="BV496" i="2" s="1"/>
  <c r="BW496" i="2" a="1"/>
  <c r="BW496" i="2" s="1"/>
  <c r="BZ496" i="2"/>
  <c r="CC496" i="2"/>
  <c r="CF496" i="2"/>
  <c r="CG496" i="2"/>
  <c r="CG499" i="2"/>
  <c r="CF499" i="2"/>
  <c r="CC499" i="2"/>
  <c r="BZ499" i="2"/>
  <c r="BW499" i="2" a="1"/>
  <c r="BW499" i="2" s="1"/>
  <c r="BV499" i="2" a="1"/>
  <c r="BV499" i="2" s="1"/>
  <c r="BU499" i="2" a="1"/>
  <c r="BU499" i="2" s="1"/>
  <c r="BX499" i="2" s="1"/>
  <c r="BU500" i="2" a="1"/>
  <c r="BU500" i="2" s="1"/>
  <c r="BX500" i="2" s="1"/>
  <c r="BV500" i="2" a="1"/>
  <c r="BV500" i="2" s="1"/>
  <c r="BW500" i="2" a="1"/>
  <c r="BW500" i="2" s="1"/>
  <c r="BY500" i="2"/>
  <c r="CA500" i="2" s="1"/>
  <c r="BZ500" i="2"/>
  <c r="CB500" i="2"/>
  <c r="CC500" i="2"/>
  <c r="CE500" i="2"/>
  <c r="CF500" i="2"/>
  <c r="CG500" i="2"/>
  <c r="CK500" i="2"/>
  <c r="BU501" i="2" a="1"/>
  <c r="BU501" i="2" s="1"/>
  <c r="BX501" i="2" s="1"/>
  <c r="BV501" i="2" a="1"/>
  <c r="BV501" i="2" s="1"/>
  <c r="BW501" i="2" a="1"/>
  <c r="BW501" i="2" s="1"/>
  <c r="BY501" i="2"/>
  <c r="CA501" i="2" s="1"/>
  <c r="BZ501" i="2"/>
  <c r="CB501" i="2"/>
  <c r="CC501" i="2"/>
  <c r="CE501" i="2"/>
  <c r="CF501" i="2"/>
  <c r="CG501" i="2"/>
  <c r="CK501" i="2"/>
  <c r="BU502" i="2" a="1"/>
  <c r="BU502" i="2" s="1"/>
  <c r="BX502" i="2" s="1"/>
  <c r="BV502" i="2" a="1"/>
  <c r="BV502" i="2" s="1"/>
  <c r="BW502" i="2" a="1"/>
  <c r="BW502" i="2" s="1"/>
  <c r="BY502" i="2"/>
  <c r="CA502" i="2" s="1"/>
  <c r="BZ502" i="2"/>
  <c r="CB502" i="2"/>
  <c r="CC502" i="2"/>
  <c r="CE502" i="2"/>
  <c r="CF502" i="2"/>
  <c r="CG502" i="2"/>
  <c r="CK502" i="2"/>
  <c r="BU503" i="2" a="1"/>
  <c r="BU503" i="2" s="1"/>
  <c r="BX503" i="2" s="1"/>
  <c r="BV503" i="2" a="1"/>
  <c r="BV503" i="2" s="1"/>
  <c r="BW503" i="2" a="1"/>
  <c r="BW503" i="2" s="1"/>
  <c r="BY503" i="2"/>
  <c r="BZ503" i="2"/>
  <c r="CB503" i="2"/>
  <c r="CC503" i="2"/>
  <c r="CE503" i="2"/>
  <c r="CF503" i="2"/>
  <c r="CG503" i="2"/>
  <c r="CK503" i="2"/>
  <c r="BU504" i="2" a="1"/>
  <c r="BU504" i="2" s="1"/>
  <c r="BX504" i="2" s="1"/>
  <c r="BV504" i="2" a="1"/>
  <c r="BV504" i="2" s="1"/>
  <c r="BW504" i="2" a="1"/>
  <c r="BW504" i="2" s="1"/>
  <c r="BY504" i="2"/>
  <c r="CA504" i="2" s="1"/>
  <c r="BZ504" i="2"/>
  <c r="CB504" i="2"/>
  <c r="CC504" i="2"/>
  <c r="CE504" i="2"/>
  <c r="CF504" i="2"/>
  <c r="CG504" i="2"/>
  <c r="CK504" i="2"/>
  <c r="BU505" i="2" a="1"/>
  <c r="BU505" i="2" s="1"/>
  <c r="BX505" i="2" s="1"/>
  <c r="BV505" i="2" a="1"/>
  <c r="BV505" i="2" s="1"/>
  <c r="BW505" i="2" a="1"/>
  <c r="BW505" i="2" s="1"/>
  <c r="BY505" i="2"/>
  <c r="CA505" i="2" s="1"/>
  <c r="BZ505" i="2"/>
  <c r="CB505" i="2"/>
  <c r="CC505" i="2"/>
  <c r="CE505" i="2"/>
  <c r="CF505" i="2"/>
  <c r="CG505" i="2"/>
  <c r="CK505" i="2"/>
  <c r="BU506" i="2" a="1"/>
  <c r="BU506" i="2" s="1"/>
  <c r="BX506" i="2" s="1"/>
  <c r="BV506" i="2" a="1"/>
  <c r="BV506" i="2" s="1"/>
  <c r="BW506" i="2" a="1"/>
  <c r="BW506" i="2" s="1"/>
  <c r="BY506" i="2"/>
  <c r="CA506" i="2" s="1"/>
  <c r="BZ506" i="2"/>
  <c r="CB506" i="2"/>
  <c r="CC506" i="2"/>
  <c r="CE506" i="2"/>
  <c r="CF506" i="2"/>
  <c r="CG506" i="2"/>
  <c r="CK506" i="2"/>
  <c r="CG498" i="2"/>
  <c r="CF498" i="2"/>
  <c r="CC498" i="2"/>
  <c r="BZ498" i="2"/>
  <c r="BW498" i="2" a="1"/>
  <c r="BW498" i="2" s="1"/>
  <c r="BV498" i="2" a="1"/>
  <c r="BV498" i="2" s="1"/>
  <c r="BU498" i="2" a="1"/>
  <c r="BU498" i="2" s="1"/>
  <c r="BX498" i="2" s="1"/>
  <c r="CG497" i="2"/>
  <c r="CF497" i="2"/>
  <c r="CC497" i="2"/>
  <c r="BZ497" i="2"/>
  <c r="BW497" i="2" a="1"/>
  <c r="BW497" i="2" s="1"/>
  <c r="BV497" i="2" a="1"/>
  <c r="BV497" i="2" s="1"/>
  <c r="BU497" i="2" a="1"/>
  <c r="BU497" i="2" s="1"/>
  <c r="BX497" i="2" s="1"/>
  <c r="BU492" i="2" a="1"/>
  <c r="BU492" i="2" s="1"/>
  <c r="BX492" i="2" s="1"/>
  <c r="BV492" i="2" a="1"/>
  <c r="BV492" i="2" s="1"/>
  <c r="BW492" i="2" a="1"/>
  <c r="BW492" i="2" s="1"/>
  <c r="BZ492" i="2"/>
  <c r="CC492" i="2"/>
  <c r="CF492" i="2"/>
  <c r="CG492" i="2"/>
  <c r="CG488" i="2"/>
  <c r="CF488" i="2"/>
  <c r="CC488" i="2"/>
  <c r="CB488" i="2"/>
  <c r="BZ488" i="2"/>
  <c r="BW488" i="2" a="1"/>
  <c r="BW488" i="2" s="1"/>
  <c r="BV488" i="2" a="1"/>
  <c r="BV488" i="2" s="1"/>
  <c r="BU488" i="2" a="1"/>
  <c r="BU488" i="2" s="1"/>
  <c r="BX488" i="2" s="1"/>
  <c r="BU489" i="2" a="1"/>
  <c r="BU489" i="2" s="1"/>
  <c r="BX489" i="2" s="1"/>
  <c r="BV489" i="2" a="1"/>
  <c r="BV489" i="2" s="1"/>
  <c r="BW489" i="2" a="1"/>
  <c r="BW489" i="2" s="1"/>
  <c r="BZ489" i="2"/>
  <c r="CB489" i="2"/>
  <c r="CC489" i="2"/>
  <c r="CF489" i="2"/>
  <c r="CG489" i="2"/>
  <c r="BU490" i="2" a="1"/>
  <c r="BU490" i="2" s="1"/>
  <c r="BX490" i="2" s="1"/>
  <c r="BV490" i="2" a="1"/>
  <c r="BV490" i="2" s="1"/>
  <c r="BW490" i="2" a="1"/>
  <c r="BW490" i="2" s="1"/>
  <c r="BZ490" i="2"/>
  <c r="CB490" i="2"/>
  <c r="CC490" i="2"/>
  <c r="CF490" i="2"/>
  <c r="CG490" i="2"/>
  <c r="BU491" i="2" a="1"/>
  <c r="BU491" i="2" s="1"/>
  <c r="BX491" i="2" s="1"/>
  <c r="BV491" i="2" a="1"/>
  <c r="BV491" i="2" s="1"/>
  <c r="BW491" i="2" a="1"/>
  <c r="BW491" i="2" s="1"/>
  <c r="BZ491" i="2"/>
  <c r="CB491" i="2"/>
  <c r="CC491" i="2"/>
  <c r="CF491" i="2"/>
  <c r="CG491" i="2"/>
  <c r="D16" i="15"/>
  <c r="D14" i="15"/>
  <c r="D12" i="15"/>
  <c r="BU419" i="2" a="1"/>
  <c r="BU419" i="2" s="1"/>
  <c r="BX419" i="2" s="1"/>
  <c r="BV419" i="2" a="1"/>
  <c r="BV419" i="2" s="1"/>
  <c r="BW419" i="2" a="1"/>
  <c r="BW419" i="2" s="1"/>
  <c r="CK2" i="2"/>
  <c r="CB2" i="2" s="1"/>
  <c r="CB79" i="2" s="1"/>
  <c r="CB419" i="2"/>
  <c r="CF419" i="2"/>
  <c r="CG419" i="2"/>
  <c r="CI2" i="2"/>
  <c r="BU420" i="2" a="1"/>
  <c r="BU420" i="2" s="1"/>
  <c r="BX420" i="2" s="1"/>
  <c r="BV420" i="2" a="1"/>
  <c r="BV420" i="2" s="1"/>
  <c r="BW420" i="2" a="1"/>
  <c r="BW420" i="2" s="1"/>
  <c r="CB420" i="2"/>
  <c r="CF420" i="2"/>
  <c r="CG420" i="2"/>
  <c r="BU421" i="2" a="1"/>
  <c r="BU421" i="2" s="1"/>
  <c r="BX421" i="2" s="1"/>
  <c r="BV421" i="2" a="1"/>
  <c r="BV421" i="2" s="1"/>
  <c r="BW421" i="2" a="1"/>
  <c r="BW421" i="2" s="1"/>
  <c r="CB421" i="2"/>
  <c r="CF421" i="2"/>
  <c r="CG421" i="2"/>
  <c r="BU422" i="2" a="1"/>
  <c r="BU422" i="2" s="1"/>
  <c r="BX422" i="2" s="1"/>
  <c r="BV422" i="2" a="1"/>
  <c r="BV422" i="2" s="1"/>
  <c r="BW422" i="2" a="1"/>
  <c r="BW422" i="2" s="1"/>
  <c r="CB422" i="2"/>
  <c r="CF422" i="2"/>
  <c r="CG422" i="2"/>
  <c r="BU486" i="2" a="1"/>
  <c r="BU486" i="2" s="1"/>
  <c r="BX486" i="2" s="1"/>
  <c r="CB486" i="2"/>
  <c r="CG486" i="2"/>
  <c r="CF486" i="2"/>
  <c r="BW486" i="2" a="1"/>
  <c r="BW486" i="2" s="1"/>
  <c r="BV486" i="2" a="1"/>
  <c r="BV486" i="2" s="1"/>
  <c r="BU485" i="2" a="1"/>
  <c r="BU485" i="2" s="1"/>
  <c r="BX485" i="2" s="1"/>
  <c r="CB485" i="2"/>
  <c r="CG485" i="2"/>
  <c r="CF485" i="2"/>
  <c r="BW485" i="2" a="1"/>
  <c r="BW485" i="2" s="1"/>
  <c r="BV485" i="2" a="1"/>
  <c r="BV485" i="2" s="1"/>
  <c r="BU443" i="2" a="1"/>
  <c r="BU443" i="2" s="1"/>
  <c r="BX443" i="2" s="1"/>
  <c r="BV443" i="2" a="1"/>
  <c r="BV443" i="2" s="1"/>
  <c r="BW443" i="2" a="1"/>
  <c r="BW443" i="2" s="1"/>
  <c r="CB443" i="2"/>
  <c r="CF443" i="2"/>
  <c r="CG443" i="2"/>
  <c r="BU444" i="2" a="1"/>
  <c r="BU444" i="2" s="1"/>
  <c r="BX444" i="2" s="1"/>
  <c r="BV444" i="2" a="1"/>
  <c r="BV444" i="2" s="1"/>
  <c r="BW444" i="2" a="1"/>
  <c r="BW444" i="2" s="1"/>
  <c r="CB444" i="2"/>
  <c r="CF444" i="2"/>
  <c r="CG444" i="2"/>
  <c r="C7" i="15"/>
  <c r="D455" i="14"/>
  <c r="D454" i="14"/>
  <c r="D453" i="14"/>
  <c r="D452" i="14"/>
  <c r="D451" i="14"/>
  <c r="D450" i="14"/>
  <c r="D449" i="14"/>
  <c r="D448" i="14"/>
  <c r="D447" i="14"/>
  <c r="D446" i="14"/>
  <c r="CG391" i="2"/>
  <c r="CF391" i="2"/>
  <c r="E12" i="6"/>
  <c r="B12" i="6" s="1"/>
  <c r="CB391" i="2"/>
  <c r="BW391" i="2" a="1"/>
  <c r="BW391" i="2" s="1"/>
  <c r="BV391" i="2" a="1"/>
  <c r="BV391" i="2" s="1"/>
  <c r="BU391" i="2" a="1"/>
  <c r="BU391" i="2" s="1"/>
  <c r="BX391" i="2" s="1"/>
  <c r="CG452" i="2"/>
  <c r="CF452" i="2"/>
  <c r="CB452" i="2"/>
  <c r="BW452" i="2" a="1"/>
  <c r="BW452" i="2" s="1"/>
  <c r="BV452" i="2" a="1"/>
  <c r="BV452" i="2" s="1"/>
  <c r="BU452" i="2" a="1"/>
  <c r="BU452" i="2" s="1"/>
  <c r="BX452" i="2" s="1"/>
  <c r="CG507" i="2"/>
  <c r="CF507" i="2"/>
  <c r="CB507" i="2"/>
  <c r="BW507" i="2" a="1"/>
  <c r="BW507" i="2" s="1"/>
  <c r="BV507" i="2" a="1"/>
  <c r="BV507" i="2" s="1"/>
  <c r="BU507" i="2" a="1"/>
  <c r="BU507" i="2" s="1"/>
  <c r="BX507" i="2" s="1"/>
  <c r="J79" i="14"/>
  <c r="D445" i="14"/>
  <c r="D444" i="14"/>
  <c r="D443" i="14"/>
  <c r="D442" i="14"/>
  <c r="D441" i="14"/>
  <c r="D440" i="14"/>
  <c r="D439" i="14"/>
  <c r="D438" i="14"/>
  <c r="D437" i="14"/>
  <c r="D436" i="14"/>
  <c r="CF4" i="2"/>
  <c r="CF5" i="2"/>
  <c r="CF6" i="2"/>
  <c r="CF7" i="2"/>
  <c r="CF8" i="2"/>
  <c r="CF9" i="2"/>
  <c r="CF10" i="2"/>
  <c r="CF11" i="2"/>
  <c r="CF12" i="2"/>
  <c r="CF13" i="2"/>
  <c r="CF14" i="2"/>
  <c r="CF15" i="2"/>
  <c r="CF16" i="2"/>
  <c r="CF17" i="2"/>
  <c r="CF18" i="2"/>
  <c r="CF19" i="2"/>
  <c r="CF20" i="2"/>
  <c r="CF21" i="2"/>
  <c r="CF22" i="2"/>
  <c r="CF23" i="2"/>
  <c r="CF24" i="2"/>
  <c r="CF25" i="2"/>
  <c r="CF26" i="2"/>
  <c r="CF27" i="2"/>
  <c r="CF28" i="2"/>
  <c r="CF29" i="2"/>
  <c r="CF30" i="2"/>
  <c r="CF31" i="2"/>
  <c r="CF32" i="2"/>
  <c r="CF33" i="2"/>
  <c r="CF34" i="2"/>
  <c r="CF35" i="2"/>
  <c r="CF36" i="2"/>
  <c r="CF37" i="2"/>
  <c r="CF38" i="2"/>
  <c r="CF39" i="2"/>
  <c r="CF40" i="2"/>
  <c r="CF41" i="2"/>
  <c r="CF42" i="2"/>
  <c r="CF43" i="2"/>
  <c r="CF44" i="2"/>
  <c r="CF45" i="2"/>
  <c r="CF46" i="2"/>
  <c r="CF47" i="2"/>
  <c r="CF48" i="2"/>
  <c r="CF49" i="2"/>
  <c r="CF50" i="2"/>
  <c r="CF51" i="2"/>
  <c r="CF52" i="2"/>
  <c r="CF53" i="2"/>
  <c r="CF54" i="2"/>
  <c r="CF55" i="2"/>
  <c r="CF56" i="2"/>
  <c r="CF57" i="2"/>
  <c r="CF58" i="2"/>
  <c r="CF59" i="2"/>
  <c r="CF60" i="2"/>
  <c r="CF61" i="2"/>
  <c r="CF62" i="2"/>
  <c r="CF63" i="2"/>
  <c r="CF64" i="2"/>
  <c r="CF65" i="2"/>
  <c r="CF66" i="2"/>
  <c r="CF67" i="2"/>
  <c r="CF68" i="2"/>
  <c r="CF69" i="2"/>
  <c r="CF70" i="2"/>
  <c r="CF71" i="2"/>
  <c r="CF72" i="2"/>
  <c r="CF73" i="2"/>
  <c r="CF74" i="2"/>
  <c r="CF75" i="2"/>
  <c r="CF76" i="2"/>
  <c r="CF77" i="2"/>
  <c r="CF78" i="2"/>
  <c r="CF79" i="2"/>
  <c r="CF80" i="2"/>
  <c r="CF81" i="2"/>
  <c r="CF82" i="2"/>
  <c r="CF83" i="2"/>
  <c r="CF84" i="2"/>
  <c r="CF85" i="2"/>
  <c r="CF86" i="2"/>
  <c r="CF87" i="2"/>
  <c r="CF88" i="2"/>
  <c r="CF89" i="2"/>
  <c r="CF90" i="2"/>
  <c r="CF91" i="2"/>
  <c r="CF92" i="2"/>
  <c r="CF93" i="2"/>
  <c r="CF94" i="2"/>
  <c r="CF95" i="2"/>
  <c r="CF96" i="2"/>
  <c r="CF97" i="2"/>
  <c r="CF98" i="2"/>
  <c r="CF99" i="2"/>
  <c r="CF100" i="2"/>
  <c r="CF101" i="2"/>
  <c r="CF102" i="2"/>
  <c r="CF103" i="2"/>
  <c r="CF104" i="2"/>
  <c r="CF105" i="2"/>
  <c r="CF106" i="2"/>
  <c r="CF107" i="2"/>
  <c r="CF108" i="2"/>
  <c r="CF109" i="2"/>
  <c r="CF110" i="2"/>
  <c r="CF111" i="2"/>
  <c r="CF112" i="2"/>
  <c r="CF113" i="2"/>
  <c r="CF114" i="2"/>
  <c r="CF115" i="2"/>
  <c r="CF116" i="2"/>
  <c r="CF117" i="2"/>
  <c r="CF118" i="2"/>
  <c r="CF119" i="2"/>
  <c r="CF120" i="2"/>
  <c r="CF121" i="2"/>
  <c r="CF122" i="2"/>
  <c r="CF123"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147" i="2"/>
  <c r="CF148" i="2"/>
  <c r="CF149" i="2"/>
  <c r="CF150" i="2"/>
  <c r="CF151" i="2"/>
  <c r="CF152" i="2"/>
  <c r="CF153" i="2"/>
  <c r="CF154" i="2"/>
  <c r="CF155" i="2"/>
  <c r="CF156" i="2"/>
  <c r="CF157" i="2"/>
  <c r="CF158" i="2"/>
  <c r="CF159" i="2"/>
  <c r="CF160" i="2"/>
  <c r="CF161" i="2"/>
  <c r="CF162" i="2"/>
  <c r="CF163" i="2"/>
  <c r="CF164" i="2"/>
  <c r="CF165" i="2"/>
  <c r="CF166" i="2"/>
  <c r="CF167" i="2"/>
  <c r="CF168" i="2"/>
  <c r="CF169" i="2"/>
  <c r="CF170" i="2"/>
  <c r="CF171" i="2"/>
  <c r="CF172" i="2"/>
  <c r="CF173" i="2"/>
  <c r="CF174" i="2"/>
  <c r="CF175" i="2"/>
  <c r="CF176" i="2"/>
  <c r="CF177" i="2"/>
  <c r="CF178" i="2"/>
  <c r="CF179" i="2"/>
  <c r="CF180" i="2"/>
  <c r="CF181" i="2"/>
  <c r="CF182" i="2"/>
  <c r="CF183" i="2"/>
  <c r="CF184" i="2"/>
  <c r="CF185" i="2"/>
  <c r="CF186" i="2"/>
  <c r="CF187" i="2"/>
  <c r="CF188" i="2"/>
  <c r="CF189" i="2"/>
  <c r="CF190" i="2"/>
  <c r="CF191" i="2"/>
  <c r="CF192" i="2"/>
  <c r="CF193" i="2"/>
  <c r="CF194" i="2"/>
  <c r="CF195" i="2"/>
  <c r="CF196" i="2"/>
  <c r="CF197" i="2"/>
  <c r="CF198" i="2"/>
  <c r="CF199" i="2"/>
  <c r="CF200" i="2"/>
  <c r="CF201" i="2"/>
  <c r="CF202" i="2"/>
  <c r="CF203" i="2"/>
  <c r="CF204" i="2"/>
  <c r="CF205" i="2"/>
  <c r="CF206" i="2"/>
  <c r="CF207" i="2"/>
  <c r="CF208" i="2"/>
  <c r="CF209" i="2"/>
  <c r="CF210" i="2"/>
  <c r="CF211" i="2"/>
  <c r="CF212" i="2"/>
  <c r="CF213" i="2"/>
  <c r="CF214" i="2"/>
  <c r="CF215" i="2"/>
  <c r="CF216" i="2"/>
  <c r="CF217" i="2"/>
  <c r="CF218" i="2"/>
  <c r="CF219" i="2"/>
  <c r="CF220" i="2"/>
  <c r="CF221" i="2"/>
  <c r="CF222" i="2"/>
  <c r="CF223" i="2"/>
  <c r="CF224" i="2"/>
  <c r="CF225" i="2"/>
  <c r="CF226" i="2"/>
  <c r="CF227" i="2"/>
  <c r="CF228" i="2"/>
  <c r="CF229" i="2"/>
  <c r="CF230" i="2"/>
  <c r="CF231" i="2"/>
  <c r="CF232" i="2"/>
  <c r="CF233" i="2"/>
  <c r="CF234" i="2"/>
  <c r="CF235" i="2"/>
  <c r="CF236" i="2"/>
  <c r="CF237" i="2"/>
  <c r="CF238" i="2"/>
  <c r="CF239" i="2"/>
  <c r="CF240" i="2"/>
  <c r="CF241" i="2"/>
  <c r="CF242" i="2"/>
  <c r="CF243" i="2"/>
  <c r="CF244" i="2"/>
  <c r="CF245" i="2"/>
  <c r="CF246" i="2"/>
  <c r="CF247" i="2"/>
  <c r="CF248" i="2"/>
  <c r="CF249" i="2"/>
  <c r="CF250" i="2"/>
  <c r="CF251" i="2"/>
  <c r="CF252" i="2"/>
  <c r="CF253" i="2"/>
  <c r="CF254" i="2"/>
  <c r="CF255" i="2"/>
  <c r="CF256" i="2"/>
  <c r="CF257" i="2"/>
  <c r="CF258" i="2"/>
  <c r="CF259" i="2"/>
  <c r="CF260" i="2"/>
  <c r="CF261" i="2"/>
  <c r="CF262" i="2"/>
  <c r="CF263" i="2"/>
  <c r="CF264" i="2"/>
  <c r="CF265" i="2"/>
  <c r="CF266" i="2"/>
  <c r="CF267" i="2"/>
  <c r="CF268" i="2"/>
  <c r="CF269" i="2"/>
  <c r="CF270" i="2"/>
  <c r="CF271" i="2"/>
  <c r="CF272" i="2"/>
  <c r="CF273" i="2"/>
  <c r="CF274" i="2"/>
  <c r="CF275" i="2"/>
  <c r="CF276" i="2"/>
  <c r="CF277" i="2"/>
  <c r="CF278" i="2"/>
  <c r="CF279" i="2"/>
  <c r="CF280" i="2"/>
  <c r="CF281" i="2"/>
  <c r="CF282" i="2"/>
  <c r="CF283" i="2"/>
  <c r="CF284" i="2"/>
  <c r="CF285" i="2"/>
  <c r="CF286" i="2"/>
  <c r="CF287" i="2"/>
  <c r="CF288" i="2"/>
  <c r="CF289" i="2"/>
  <c r="CF290" i="2"/>
  <c r="CF291" i="2"/>
  <c r="CF292" i="2"/>
  <c r="CF293" i="2"/>
  <c r="CF294" i="2"/>
  <c r="CF295" i="2"/>
  <c r="CF296" i="2"/>
  <c r="CF297" i="2"/>
  <c r="CF298" i="2"/>
  <c r="CF299" i="2"/>
  <c r="CF300" i="2"/>
  <c r="CF301" i="2"/>
  <c r="CF302" i="2"/>
  <c r="CF303" i="2"/>
  <c r="CF304" i="2"/>
  <c r="CF305" i="2"/>
  <c r="CF306" i="2"/>
  <c r="CF307" i="2"/>
  <c r="CF308" i="2"/>
  <c r="CF309" i="2"/>
  <c r="CF310" i="2"/>
  <c r="CF311" i="2"/>
  <c r="CF312" i="2"/>
  <c r="CF313" i="2"/>
  <c r="CF314" i="2"/>
  <c r="CF315" i="2"/>
  <c r="CF316" i="2"/>
  <c r="CF317" i="2"/>
  <c r="CF318" i="2"/>
  <c r="CF319" i="2"/>
  <c r="CF320" i="2"/>
  <c r="CF321" i="2"/>
  <c r="CF322" i="2"/>
  <c r="CF323" i="2"/>
  <c r="CF324" i="2"/>
  <c r="CF325" i="2"/>
  <c r="CF326" i="2"/>
  <c r="CF327" i="2"/>
  <c r="CF328" i="2"/>
  <c r="CF329" i="2"/>
  <c r="CF330" i="2"/>
  <c r="CF331" i="2"/>
  <c r="CF332" i="2"/>
  <c r="CF333" i="2"/>
  <c r="CF334" i="2"/>
  <c r="CF335" i="2"/>
  <c r="CF336" i="2"/>
  <c r="CF337" i="2"/>
  <c r="CF338" i="2"/>
  <c r="CF339" i="2"/>
  <c r="CF340" i="2"/>
  <c r="CF341" i="2"/>
  <c r="CF342" i="2"/>
  <c r="CF343" i="2"/>
  <c r="CF344" i="2"/>
  <c r="CF345" i="2"/>
  <c r="CF346" i="2"/>
  <c r="CF347" i="2"/>
  <c r="CF348" i="2"/>
  <c r="CF349" i="2"/>
  <c r="CF350" i="2"/>
  <c r="CF351" i="2"/>
  <c r="CF352" i="2"/>
  <c r="CF353" i="2"/>
  <c r="CF354" i="2"/>
  <c r="CF355" i="2"/>
  <c r="CF356" i="2"/>
  <c r="CF357" i="2"/>
  <c r="CF358" i="2"/>
  <c r="CF359" i="2"/>
  <c r="CF360" i="2"/>
  <c r="CF361" i="2"/>
  <c r="CF362" i="2"/>
  <c r="CF363" i="2"/>
  <c r="CF364" i="2"/>
  <c r="CF365" i="2"/>
  <c r="CF366" i="2"/>
  <c r="CF367" i="2"/>
  <c r="CF368" i="2"/>
  <c r="CF369" i="2"/>
  <c r="CF370" i="2"/>
  <c r="CF371" i="2"/>
  <c r="CF372" i="2"/>
  <c r="CF373" i="2"/>
  <c r="CF374" i="2"/>
  <c r="CF375" i="2"/>
  <c r="CF376" i="2"/>
  <c r="CF377" i="2"/>
  <c r="CF378" i="2"/>
  <c r="CF379" i="2"/>
  <c r="CF380" i="2"/>
  <c r="CF381" i="2"/>
  <c r="CF382" i="2"/>
  <c r="CF383" i="2"/>
  <c r="CF384" i="2"/>
  <c r="CF385" i="2"/>
  <c r="CF386" i="2"/>
  <c r="CF387" i="2"/>
  <c r="CF388" i="2"/>
  <c r="CF389" i="2"/>
  <c r="CF390" i="2"/>
  <c r="CF392" i="2"/>
  <c r="CF393" i="2"/>
  <c r="CF394" i="2"/>
  <c r="CF395" i="2"/>
  <c r="CF396" i="2"/>
  <c r="CF397" i="2"/>
  <c r="CF398" i="2"/>
  <c r="CF399" i="2"/>
  <c r="CF400" i="2"/>
  <c r="CF401" i="2"/>
  <c r="CF402" i="2"/>
  <c r="CF403" i="2"/>
  <c r="CF404" i="2"/>
  <c r="CF405" i="2"/>
  <c r="CF406" i="2"/>
  <c r="CF407" i="2"/>
  <c r="CF415" i="2"/>
  <c r="CF416" i="2"/>
  <c r="CF417" i="2"/>
  <c r="CF418" i="2"/>
  <c r="CF423" i="2"/>
  <c r="CF424" i="2"/>
  <c r="CF425" i="2"/>
  <c r="CF426" i="2"/>
  <c r="CF427" i="2"/>
  <c r="CF428" i="2"/>
  <c r="CF429" i="2"/>
  <c r="CF430" i="2"/>
  <c r="CF431" i="2"/>
  <c r="CF432" i="2"/>
  <c r="CF433" i="2"/>
  <c r="CF434" i="2"/>
  <c r="CF435" i="2"/>
  <c r="CF436" i="2"/>
  <c r="CF437" i="2"/>
  <c r="CF438" i="2"/>
  <c r="CF439" i="2"/>
  <c r="CF440" i="2"/>
  <c r="CF441" i="2"/>
  <c r="CF442" i="2"/>
  <c r="CF445" i="2"/>
  <c r="CF446" i="2"/>
  <c r="CF447" i="2"/>
  <c r="CF448" i="2"/>
  <c r="CF449" i="2"/>
  <c r="CF450" i="2"/>
  <c r="CF451" i="2"/>
  <c r="CF453" i="2"/>
  <c r="CF454" i="2"/>
  <c r="CF455" i="2"/>
  <c r="CF456" i="2"/>
  <c r="CF457" i="2"/>
  <c r="CF458" i="2"/>
  <c r="CF459" i="2"/>
  <c r="CF460" i="2"/>
  <c r="CF461" i="2"/>
  <c r="CF462" i="2"/>
  <c r="CF463" i="2"/>
  <c r="CF464" i="2"/>
  <c r="CF465" i="2"/>
  <c r="CF466" i="2"/>
  <c r="CF467" i="2"/>
  <c r="CF468" i="2"/>
  <c r="CF469" i="2"/>
  <c r="CF470" i="2"/>
  <c r="CF471" i="2"/>
  <c r="CF472" i="2"/>
  <c r="CF473" i="2"/>
  <c r="CF474" i="2"/>
  <c r="CF475" i="2"/>
  <c r="CF476" i="2"/>
  <c r="CF477" i="2"/>
  <c r="CF478" i="2"/>
  <c r="CF479" i="2"/>
  <c r="CF481" i="2"/>
  <c r="CF482" i="2"/>
  <c r="CF483" i="2"/>
  <c r="CF484" i="2"/>
  <c r="CF487" i="2"/>
  <c r="BZ211" i="2"/>
  <c r="BZ212" i="2"/>
  <c r="BZ213" i="2"/>
  <c r="BZ214" i="2"/>
  <c r="BZ215" i="2"/>
  <c r="BZ216" i="2"/>
  <c r="BZ217" i="2"/>
  <c r="BZ218" i="2"/>
  <c r="BZ219" i="2"/>
  <c r="BZ220" i="2"/>
  <c r="BZ221" i="2"/>
  <c r="BZ222" i="2"/>
  <c r="BZ223" i="2"/>
  <c r="BZ224" i="2"/>
  <c r="BZ225" i="2"/>
  <c r="BZ226" i="2"/>
  <c r="BZ227" i="2"/>
  <c r="BZ228" i="2"/>
  <c r="BZ229" i="2"/>
  <c r="BZ230" i="2"/>
  <c r="BZ231" i="2"/>
  <c r="BZ232" i="2"/>
  <c r="BZ233" i="2"/>
  <c r="BZ234" i="2"/>
  <c r="BZ235" i="2"/>
  <c r="BZ236" i="2"/>
  <c r="BZ237" i="2"/>
  <c r="BZ238" i="2"/>
  <c r="BZ239" i="2"/>
  <c r="BZ240" i="2"/>
  <c r="BZ241" i="2"/>
  <c r="BZ242" i="2"/>
  <c r="BZ243" i="2"/>
  <c r="BZ244" i="2"/>
  <c r="BZ245" i="2"/>
  <c r="BZ246" i="2"/>
  <c r="BZ383" i="2"/>
  <c r="BZ384" i="2"/>
  <c r="BZ385" i="2"/>
  <c r="BZ386" i="2"/>
  <c r="BZ387" i="2"/>
  <c r="BZ388" i="2"/>
  <c r="BZ389" i="2"/>
  <c r="BZ390" i="2"/>
  <c r="BZ394" i="2"/>
  <c r="BZ395" i="2"/>
  <c r="BZ401" i="2"/>
  <c r="BZ446" i="2"/>
  <c r="BZ466" i="2"/>
  <c r="BZ473" i="2"/>
  <c r="BZ474" i="2"/>
  <c r="BZ475" i="2"/>
  <c r="BZ476" i="2"/>
  <c r="BZ487" i="2"/>
  <c r="E27" i="15" a="1"/>
  <c r="E27" i="15" s="1"/>
  <c r="CG481" i="2"/>
  <c r="CB481" i="2"/>
  <c r="BW481" i="2" a="1"/>
  <c r="BW481" i="2" s="1"/>
  <c r="BV481" i="2" a="1"/>
  <c r="BV481" i="2" s="1"/>
  <c r="BU481" i="2" a="1"/>
  <c r="BU481" i="2" s="1"/>
  <c r="BX481" i="2" s="1"/>
  <c r="CG484" i="2"/>
  <c r="CB484" i="2"/>
  <c r="BW484" i="2" a="1"/>
  <c r="BW484" i="2" s="1"/>
  <c r="BV484" i="2" a="1"/>
  <c r="BV484" i="2" s="1"/>
  <c r="BU484" i="2" a="1"/>
  <c r="BU484" i="2" s="1"/>
  <c r="BX484" i="2" s="1"/>
  <c r="CG479" i="2"/>
  <c r="CB479" i="2"/>
  <c r="BW479" i="2" a="1"/>
  <c r="BW479" i="2" s="1"/>
  <c r="BV479" i="2" a="1"/>
  <c r="BV479" i="2" s="1"/>
  <c r="BU479" i="2" a="1"/>
  <c r="BU479" i="2" s="1"/>
  <c r="BX479" i="2" s="1"/>
  <c r="CG483" i="2"/>
  <c r="CB483" i="2"/>
  <c r="BW483" i="2" a="1"/>
  <c r="BW483" i="2" s="1"/>
  <c r="BV483" i="2" a="1"/>
  <c r="BV483" i="2" s="1"/>
  <c r="BU483" i="2" a="1"/>
  <c r="BU483" i="2" s="1"/>
  <c r="BX483" i="2" s="1"/>
  <c r="CG482" i="2"/>
  <c r="CB482" i="2"/>
  <c r="BW482" i="2" a="1"/>
  <c r="BW482" i="2" s="1"/>
  <c r="BV482" i="2" a="1"/>
  <c r="BV482" i="2" s="1"/>
  <c r="BU482" i="2" a="1"/>
  <c r="BU482" i="2" s="1"/>
  <c r="BX482" i="2" s="1"/>
  <c r="CG478" i="2"/>
  <c r="CB478" i="2"/>
  <c r="BW478" i="2" a="1"/>
  <c r="BW478" i="2" s="1"/>
  <c r="BV478" i="2" a="1"/>
  <c r="BV478" i="2" s="1"/>
  <c r="BU478" i="2" a="1"/>
  <c r="BU478" i="2" s="1"/>
  <c r="BX478" i="2" s="1"/>
  <c r="BU487" i="2" a="1"/>
  <c r="BU487" i="2" s="1"/>
  <c r="BX487" i="2" s="1"/>
  <c r="BY487" i="2" s="1"/>
  <c r="CA487" i="2" s="1"/>
  <c r="BV487" i="2" a="1"/>
  <c r="BV487" i="2" s="1"/>
  <c r="BW487" i="2" a="1"/>
  <c r="BW487" i="2" s="1"/>
  <c r="CG487" i="2"/>
  <c r="CG469" i="2"/>
  <c r="CB469" i="2"/>
  <c r="BW469" i="2" a="1"/>
  <c r="BW469" i="2" s="1"/>
  <c r="BV469" i="2" a="1"/>
  <c r="BV469" i="2" s="1"/>
  <c r="BU469" i="2" a="1"/>
  <c r="BU469" i="2" s="1"/>
  <c r="BX469" i="2" s="1"/>
  <c r="CG60" i="2"/>
  <c r="CB60" i="2"/>
  <c r="BW60" i="2" a="1"/>
  <c r="BW60" i="2" s="1"/>
  <c r="BV60" i="2" a="1"/>
  <c r="BV60" i="2" s="1"/>
  <c r="BU60" i="2" a="1"/>
  <c r="BU60" i="2" s="1"/>
  <c r="BX60" i="2" s="1"/>
  <c r="CG48" i="2"/>
  <c r="CB48" i="2"/>
  <c r="BW48" i="2" a="1"/>
  <c r="BW48" i="2" s="1"/>
  <c r="BV48" i="2" a="1"/>
  <c r="BV48" i="2" s="1"/>
  <c r="BU48" i="2" a="1"/>
  <c r="BU48" i="2" s="1"/>
  <c r="BX48" i="2" s="1"/>
  <c r="J78" i="14"/>
  <c r="D435" i="14"/>
  <c r="D434" i="14"/>
  <c r="D433" i="14"/>
  <c r="D432" i="14"/>
  <c r="D431" i="14"/>
  <c r="D430" i="14"/>
  <c r="D429" i="14"/>
  <c r="D428" i="14"/>
  <c r="D427" i="14"/>
  <c r="D426" i="14"/>
  <c r="CG395" i="2"/>
  <c r="CB395" i="2"/>
  <c r="BW395" i="2" a="1"/>
  <c r="BW395" i="2" s="1"/>
  <c r="BV395" i="2" a="1"/>
  <c r="BV395" i="2" s="1"/>
  <c r="BU395" i="2" a="1"/>
  <c r="BU395" i="2" s="1"/>
  <c r="BX395" i="2" s="1"/>
  <c r="BY395" i="2" s="1"/>
  <c r="CA395" i="2" s="1"/>
  <c r="CG407" i="2"/>
  <c r="BW407" i="2" a="1"/>
  <c r="BW407" i="2" s="1"/>
  <c r="BV407" i="2" a="1"/>
  <c r="BV407" i="2" s="1"/>
  <c r="BU407" i="2" a="1"/>
  <c r="BU407" i="2" s="1"/>
  <c r="BX407" i="2" s="1"/>
  <c r="CG458" i="2"/>
  <c r="BW458" i="2" a="1"/>
  <c r="BW458" i="2" s="1"/>
  <c r="BV458" i="2" a="1"/>
  <c r="BV458" i="2" s="1"/>
  <c r="BU458" i="2" a="1"/>
  <c r="BU458" i="2" s="1"/>
  <c r="BX458" i="2" s="1"/>
  <c r="CG457" i="2"/>
  <c r="BW457" i="2" a="1"/>
  <c r="BW457" i="2" s="1"/>
  <c r="BV457" i="2" a="1"/>
  <c r="BV457" i="2" s="1"/>
  <c r="BU457" i="2" a="1"/>
  <c r="BU457" i="2" s="1"/>
  <c r="BX457" i="2" s="1"/>
  <c r="CG456" i="2"/>
  <c r="BW456" i="2" a="1"/>
  <c r="BW456" i="2" s="1"/>
  <c r="BV456" i="2" a="1"/>
  <c r="BV456" i="2" s="1"/>
  <c r="BU456" i="2" a="1"/>
  <c r="BU456" i="2" s="1"/>
  <c r="BX456" i="2" s="1"/>
  <c r="CG435" i="2"/>
  <c r="BW435" i="2" a="1"/>
  <c r="BW435" i="2" s="1"/>
  <c r="BV435" i="2" a="1"/>
  <c r="BV435" i="2" s="1"/>
  <c r="BU435" i="2" a="1"/>
  <c r="BU435" i="2" s="1"/>
  <c r="BX435" i="2" s="1"/>
  <c r="CG434" i="2"/>
  <c r="BW434" i="2" a="1"/>
  <c r="BW434" i="2" s="1"/>
  <c r="BV434" i="2" a="1"/>
  <c r="BV434" i="2" s="1"/>
  <c r="BU434" i="2" a="1"/>
  <c r="BU434" i="2" s="1"/>
  <c r="BX434" i="2" s="1"/>
  <c r="CG433" i="2"/>
  <c r="BW433" i="2" a="1"/>
  <c r="BW433" i="2" s="1"/>
  <c r="BV433" i="2" a="1"/>
  <c r="BV433" i="2" s="1"/>
  <c r="BU433" i="2" a="1"/>
  <c r="BU433" i="2" s="1"/>
  <c r="BX433" i="2" s="1"/>
  <c r="CG426" i="2"/>
  <c r="BW426" i="2" a="1"/>
  <c r="BW426" i="2" s="1"/>
  <c r="BV426" i="2" a="1"/>
  <c r="BV426" i="2" s="1"/>
  <c r="BU426" i="2" a="1"/>
  <c r="BU426" i="2" s="1"/>
  <c r="BX426" i="2" s="1"/>
  <c r="CG425" i="2"/>
  <c r="BW425" i="2" a="1"/>
  <c r="BW425" i="2" s="1"/>
  <c r="BV425" i="2" a="1"/>
  <c r="BV425" i="2" s="1"/>
  <c r="BU425" i="2" a="1"/>
  <c r="BU425" i="2" s="1"/>
  <c r="BX425" i="2" s="1"/>
  <c r="CG424" i="2"/>
  <c r="BW424" i="2" a="1"/>
  <c r="BW424" i="2" s="1"/>
  <c r="BV424" i="2" a="1"/>
  <c r="BV424" i="2" s="1"/>
  <c r="BU424" i="2" a="1"/>
  <c r="BU424" i="2" s="1"/>
  <c r="BX424" i="2" s="1"/>
  <c r="BW477" i="2" a="1"/>
  <c r="BW477" i="2" s="1"/>
  <c r="BW475" i="2" a="1"/>
  <c r="BW475" i="2" s="1"/>
  <c r="BV477" i="2" a="1"/>
  <c r="BV477" i="2" s="1"/>
  <c r="CG477" i="2"/>
  <c r="CB477" i="2"/>
  <c r="BU477" i="2" a="1"/>
  <c r="BU477" i="2" s="1"/>
  <c r="BX477" i="2" s="1"/>
  <c r="CG346" i="2"/>
  <c r="CB346" i="2"/>
  <c r="BW346" i="2" a="1"/>
  <c r="BW346" i="2" s="1"/>
  <c r="BV346" i="2" a="1"/>
  <c r="BV346" i="2" s="1"/>
  <c r="BU346" i="2" a="1"/>
  <c r="BU346" i="2" s="1"/>
  <c r="BX346" i="2" s="1"/>
  <c r="CG430" i="2"/>
  <c r="CB430" i="2"/>
  <c r="BW430" i="2" a="1"/>
  <c r="BW430" i="2" s="1"/>
  <c r="BV430" i="2" a="1"/>
  <c r="BV430" i="2" s="1"/>
  <c r="BU430" i="2" a="1"/>
  <c r="BU430" i="2" s="1"/>
  <c r="BX430" i="2" s="1"/>
  <c r="CG429" i="2"/>
  <c r="CB429" i="2"/>
  <c r="BW429" i="2" a="1"/>
  <c r="BW429" i="2" s="1"/>
  <c r="BV429" i="2" a="1"/>
  <c r="BV429" i="2" s="1"/>
  <c r="BU429" i="2" a="1"/>
  <c r="BU429" i="2" s="1"/>
  <c r="BX429" i="2" s="1"/>
  <c r="CG428" i="2"/>
  <c r="CB428" i="2"/>
  <c r="BW428" i="2" a="1"/>
  <c r="BW428" i="2" s="1"/>
  <c r="BV428" i="2" a="1"/>
  <c r="BV428" i="2" s="1"/>
  <c r="BU428" i="2" a="1"/>
  <c r="BU428" i="2" s="1"/>
  <c r="BX428" i="2" s="1"/>
  <c r="CG427" i="2"/>
  <c r="CB427" i="2"/>
  <c r="BW427" i="2" a="1"/>
  <c r="BW427" i="2" s="1"/>
  <c r="BV427" i="2" a="1"/>
  <c r="BV427" i="2" s="1"/>
  <c r="BU427" i="2" a="1"/>
  <c r="BU427" i="2" s="1"/>
  <c r="BX427" i="2" s="1"/>
  <c r="CG440" i="2"/>
  <c r="CB440" i="2"/>
  <c r="BW440" i="2" a="1"/>
  <c r="BW440" i="2" s="1"/>
  <c r="BV440" i="2" a="1"/>
  <c r="BV440" i="2" s="1"/>
  <c r="BU440" i="2" a="1"/>
  <c r="BU440" i="2" s="1"/>
  <c r="BX440" i="2" s="1"/>
  <c r="CG439" i="2"/>
  <c r="CB439" i="2"/>
  <c r="BW439" i="2" a="1"/>
  <c r="BW439" i="2" s="1"/>
  <c r="BV439" i="2" a="1"/>
  <c r="BV439" i="2" s="1"/>
  <c r="BU439" i="2" a="1"/>
  <c r="BU439" i="2" s="1"/>
  <c r="BX439" i="2" s="1"/>
  <c r="CG438" i="2"/>
  <c r="CB438" i="2"/>
  <c r="BW438" i="2" a="1"/>
  <c r="BW438" i="2" s="1"/>
  <c r="BV438" i="2" a="1"/>
  <c r="BV438" i="2" s="1"/>
  <c r="BU438" i="2" a="1"/>
  <c r="BU438" i="2" s="1"/>
  <c r="BX438" i="2" s="1"/>
  <c r="CG461" i="2"/>
  <c r="CB461" i="2"/>
  <c r="BW461" i="2" a="1"/>
  <c r="BW461" i="2" s="1"/>
  <c r="BV461" i="2" a="1"/>
  <c r="BV461" i="2" s="1"/>
  <c r="BU461" i="2" a="1"/>
  <c r="BU461" i="2" s="1"/>
  <c r="BX461" i="2" s="1"/>
  <c r="CG464" i="2"/>
  <c r="CB464" i="2"/>
  <c r="BW464" i="2" a="1"/>
  <c r="BW464" i="2" s="1"/>
  <c r="BV464" i="2" a="1"/>
  <c r="BV464" i="2" s="1"/>
  <c r="BU464" i="2" a="1"/>
  <c r="BU464" i="2" s="1"/>
  <c r="BX464" i="2" s="1"/>
  <c r="CG463" i="2"/>
  <c r="CB463" i="2"/>
  <c r="BW463" i="2" a="1"/>
  <c r="BW463" i="2" s="1"/>
  <c r="BV463" i="2" a="1"/>
  <c r="BV463" i="2" s="1"/>
  <c r="BU463" i="2" a="1"/>
  <c r="BU463" i="2" s="1"/>
  <c r="BX463" i="2" s="1"/>
  <c r="CG462" i="2"/>
  <c r="CB462" i="2"/>
  <c r="BW462" i="2" a="1"/>
  <c r="BW462" i="2" s="1"/>
  <c r="BV462" i="2" a="1"/>
  <c r="BV462" i="2" s="1"/>
  <c r="BU462" i="2" a="1"/>
  <c r="BU462" i="2" s="1"/>
  <c r="BX462" i="2" s="1"/>
  <c r="CG405" i="2"/>
  <c r="CB405" i="2"/>
  <c r="BW405" i="2" a="1"/>
  <c r="BW405" i="2" s="1"/>
  <c r="BV405" i="2" a="1"/>
  <c r="BV405" i="2" s="1"/>
  <c r="BU405" i="2" a="1"/>
  <c r="BU405" i="2" s="1"/>
  <c r="BX405" i="2" s="1"/>
  <c r="CG404" i="2"/>
  <c r="CB404" i="2"/>
  <c r="BW404" i="2" a="1"/>
  <c r="BW404" i="2" s="1"/>
  <c r="BV404" i="2" a="1"/>
  <c r="BV404" i="2" s="1"/>
  <c r="BU404" i="2" a="1"/>
  <c r="BU404" i="2" s="1"/>
  <c r="BX404" i="2" s="1"/>
  <c r="CG403" i="2"/>
  <c r="CB403" i="2"/>
  <c r="BW403" i="2" a="1"/>
  <c r="BW403" i="2" s="1"/>
  <c r="BV403" i="2" a="1"/>
  <c r="BV403" i="2" s="1"/>
  <c r="BU403" i="2" a="1"/>
  <c r="BU403" i="2" s="1"/>
  <c r="BX403" i="2" s="1"/>
  <c r="CB5" i="2"/>
  <c r="CG5" i="2"/>
  <c r="CB6" i="2"/>
  <c r="CG6" i="2"/>
  <c r="CB7" i="2"/>
  <c r="CG7" i="2"/>
  <c r="CB8" i="2"/>
  <c r="CG8" i="2"/>
  <c r="CB9" i="2"/>
  <c r="CG9" i="2"/>
  <c r="CB10" i="2"/>
  <c r="CG10" i="2"/>
  <c r="CB11" i="2"/>
  <c r="CG11" i="2"/>
  <c r="CG12" i="2"/>
  <c r="CB13" i="2"/>
  <c r="CG13" i="2"/>
  <c r="CB14" i="2"/>
  <c r="CG14" i="2"/>
  <c r="CB15" i="2"/>
  <c r="CG15" i="2"/>
  <c r="CB16" i="2"/>
  <c r="CG16" i="2"/>
  <c r="CB17" i="2"/>
  <c r="CG17" i="2"/>
  <c r="CB18" i="2"/>
  <c r="CG18" i="2"/>
  <c r="CB19" i="2"/>
  <c r="CG19" i="2"/>
  <c r="CB20" i="2"/>
  <c r="CG20" i="2"/>
  <c r="CB21" i="2"/>
  <c r="CG21" i="2"/>
  <c r="CB22" i="2"/>
  <c r="CG22" i="2"/>
  <c r="CB23" i="2"/>
  <c r="CG23" i="2"/>
  <c r="CB24" i="2"/>
  <c r="CG24" i="2"/>
  <c r="CB25" i="2"/>
  <c r="CG25" i="2"/>
  <c r="CB26" i="2"/>
  <c r="CG26" i="2"/>
  <c r="CB27" i="2"/>
  <c r="CG27" i="2"/>
  <c r="CB28" i="2"/>
  <c r="CG28" i="2"/>
  <c r="CB29" i="2"/>
  <c r="CG29" i="2"/>
  <c r="CB30" i="2"/>
  <c r="CG30" i="2"/>
  <c r="CB31" i="2"/>
  <c r="CG31" i="2"/>
  <c r="CB32" i="2"/>
  <c r="CG32" i="2"/>
  <c r="CB33" i="2"/>
  <c r="CG33" i="2"/>
  <c r="CB34" i="2"/>
  <c r="CG34" i="2"/>
  <c r="CB35" i="2"/>
  <c r="CG35" i="2"/>
  <c r="CB36" i="2"/>
  <c r="CG36" i="2"/>
  <c r="CB37" i="2"/>
  <c r="CG37" i="2"/>
  <c r="CB38" i="2"/>
  <c r="CG38" i="2"/>
  <c r="CB39" i="2"/>
  <c r="CG39" i="2"/>
  <c r="CB40" i="2"/>
  <c r="CG40" i="2"/>
  <c r="CB41" i="2"/>
  <c r="CG41" i="2"/>
  <c r="CB42" i="2"/>
  <c r="CG42" i="2"/>
  <c r="CB43" i="2"/>
  <c r="CG43" i="2"/>
  <c r="CB44" i="2"/>
  <c r="CG44" i="2"/>
  <c r="CB45" i="2"/>
  <c r="CG45" i="2"/>
  <c r="CB46" i="2"/>
  <c r="CG46" i="2"/>
  <c r="CB47" i="2"/>
  <c r="CG47" i="2"/>
  <c r="CB49" i="2"/>
  <c r="CG49" i="2"/>
  <c r="CB50" i="2"/>
  <c r="CG50" i="2"/>
  <c r="CB51" i="2"/>
  <c r="CG51" i="2"/>
  <c r="CB52" i="2"/>
  <c r="CG52" i="2"/>
  <c r="CB53" i="2"/>
  <c r="CG53" i="2"/>
  <c r="CB54" i="2"/>
  <c r="CG54" i="2"/>
  <c r="CB55" i="2"/>
  <c r="CG55" i="2"/>
  <c r="CB56" i="2"/>
  <c r="CG56" i="2"/>
  <c r="CB57" i="2"/>
  <c r="CG57" i="2"/>
  <c r="CB58" i="2"/>
  <c r="CG58" i="2"/>
  <c r="CB59" i="2"/>
  <c r="CG59" i="2"/>
  <c r="CB61" i="2"/>
  <c r="CG61" i="2"/>
  <c r="CG62" i="2"/>
  <c r="CG63" i="2"/>
  <c r="CG64" i="2"/>
  <c r="CG65" i="2"/>
  <c r="CG66" i="2"/>
  <c r="CG67" i="2"/>
  <c r="CG68" i="2"/>
  <c r="CG69" i="2"/>
  <c r="CG70" i="2"/>
  <c r="CG71" i="2"/>
  <c r="CG72" i="2"/>
  <c r="CG73" i="2"/>
  <c r="CG74" i="2"/>
  <c r="CG75" i="2"/>
  <c r="CG76" i="2"/>
  <c r="CG77" i="2"/>
  <c r="CG78" i="2"/>
  <c r="CG79" i="2"/>
  <c r="CG80" i="2"/>
  <c r="CG81" i="2"/>
  <c r="CG82" i="2"/>
  <c r="CG83" i="2"/>
  <c r="CG84" i="2"/>
  <c r="CG85" i="2"/>
  <c r="CG86" i="2"/>
  <c r="CG87" i="2"/>
  <c r="CG88" i="2"/>
  <c r="CG89" i="2"/>
  <c r="CG90" i="2"/>
  <c r="CG91" i="2"/>
  <c r="CG92" i="2"/>
  <c r="CG93" i="2"/>
  <c r="CG94" i="2"/>
  <c r="CG95" i="2"/>
  <c r="CG96" i="2"/>
  <c r="CG97" i="2"/>
  <c r="CG98" i="2"/>
  <c r="CG99" i="2"/>
  <c r="CG100" i="2"/>
  <c r="CG101" i="2"/>
  <c r="CG102" i="2"/>
  <c r="CG103" i="2"/>
  <c r="CG104" i="2"/>
  <c r="CG105" i="2"/>
  <c r="CG106" i="2"/>
  <c r="CG107" i="2"/>
  <c r="CG108" i="2"/>
  <c r="CG109" i="2"/>
  <c r="CG110" i="2"/>
  <c r="CG111" i="2"/>
  <c r="CG112" i="2"/>
  <c r="CG113" i="2"/>
  <c r="CG114" i="2"/>
  <c r="CG115" i="2"/>
  <c r="CG116" i="2"/>
  <c r="CB117" i="2"/>
  <c r="CG117" i="2"/>
  <c r="CB118" i="2"/>
  <c r="CG118" i="2"/>
  <c r="CB119" i="2"/>
  <c r="CG119" i="2"/>
  <c r="CB120" i="2"/>
  <c r="CG120" i="2"/>
  <c r="CB121" i="2"/>
  <c r="CG121" i="2"/>
  <c r="CB122" i="2"/>
  <c r="CG122" i="2"/>
  <c r="CB123" i="2"/>
  <c r="CG123"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147" i="2"/>
  <c r="CG147" i="2"/>
  <c r="CB148" i="2"/>
  <c r="CG148" i="2"/>
  <c r="CB149" i="2"/>
  <c r="CG149" i="2"/>
  <c r="CB150" i="2"/>
  <c r="CG150" i="2"/>
  <c r="CB151" i="2"/>
  <c r="CG151" i="2"/>
  <c r="CB152" i="2"/>
  <c r="CG152" i="2"/>
  <c r="CB153" i="2"/>
  <c r="CG153" i="2"/>
  <c r="CB154" i="2"/>
  <c r="CG154" i="2"/>
  <c r="CB155" i="2"/>
  <c r="CG155" i="2"/>
  <c r="CB156" i="2"/>
  <c r="CG156" i="2"/>
  <c r="CB157" i="2"/>
  <c r="CG157" i="2"/>
  <c r="CB158" i="2"/>
  <c r="CG158" i="2"/>
  <c r="CB159" i="2"/>
  <c r="CG159" i="2"/>
  <c r="CB160" i="2"/>
  <c r="CG160" i="2"/>
  <c r="CB161" i="2"/>
  <c r="CG161" i="2"/>
  <c r="CB162" i="2"/>
  <c r="CG162" i="2"/>
  <c r="CB163" i="2"/>
  <c r="CG163" i="2"/>
  <c r="CB164" i="2"/>
  <c r="CG164" i="2"/>
  <c r="CB165" i="2"/>
  <c r="CG165" i="2"/>
  <c r="CB166" i="2"/>
  <c r="CG166" i="2"/>
  <c r="CB167" i="2"/>
  <c r="CG167" i="2"/>
  <c r="CB168" i="2"/>
  <c r="CG168" i="2"/>
  <c r="CB169" i="2"/>
  <c r="CG169" i="2"/>
  <c r="CB170" i="2"/>
  <c r="CG170" i="2"/>
  <c r="CB171" i="2"/>
  <c r="CG171" i="2"/>
  <c r="CB172" i="2"/>
  <c r="CG172" i="2"/>
  <c r="CB173" i="2"/>
  <c r="CG173" i="2"/>
  <c r="CB174" i="2"/>
  <c r="CG174" i="2"/>
  <c r="CB175" i="2"/>
  <c r="CG175" i="2"/>
  <c r="CB176" i="2"/>
  <c r="CG176" i="2"/>
  <c r="CB177" i="2"/>
  <c r="CG177" i="2"/>
  <c r="CB178" i="2"/>
  <c r="CG178" i="2"/>
  <c r="CB179" i="2"/>
  <c r="CG179" i="2"/>
  <c r="CB180" i="2"/>
  <c r="CG180" i="2"/>
  <c r="CB181" i="2"/>
  <c r="CG181" i="2"/>
  <c r="CB182" i="2"/>
  <c r="CG182" i="2"/>
  <c r="CB183" i="2"/>
  <c r="CG183" i="2"/>
  <c r="CB184" i="2"/>
  <c r="CG184" i="2"/>
  <c r="CB185" i="2"/>
  <c r="CG185" i="2"/>
  <c r="CB186" i="2"/>
  <c r="CG186" i="2"/>
  <c r="CB187" i="2"/>
  <c r="CG187" i="2"/>
  <c r="CB188" i="2"/>
  <c r="CG188" i="2"/>
  <c r="CB189" i="2"/>
  <c r="CG189" i="2"/>
  <c r="CB190" i="2"/>
  <c r="CG190" i="2"/>
  <c r="CB191" i="2"/>
  <c r="CG191" i="2"/>
  <c r="CB192" i="2"/>
  <c r="CG192" i="2"/>
  <c r="CB193" i="2"/>
  <c r="CG193" i="2"/>
  <c r="CB194" i="2"/>
  <c r="CG194" i="2"/>
  <c r="CB195" i="2"/>
  <c r="CG195" i="2"/>
  <c r="CB196" i="2"/>
  <c r="CG196" i="2"/>
  <c r="CB197" i="2"/>
  <c r="CG197" i="2"/>
  <c r="CB198" i="2"/>
  <c r="CG198" i="2"/>
  <c r="CB199" i="2"/>
  <c r="CG199" i="2"/>
  <c r="CB200" i="2"/>
  <c r="CG200" i="2"/>
  <c r="CB201" i="2"/>
  <c r="CG201" i="2"/>
  <c r="CB202" i="2"/>
  <c r="CG202" i="2"/>
  <c r="CB203" i="2"/>
  <c r="CG203" i="2"/>
  <c r="CB204" i="2"/>
  <c r="CG204" i="2"/>
  <c r="CB205" i="2"/>
  <c r="CG205" i="2"/>
  <c r="CB206" i="2"/>
  <c r="CG206" i="2"/>
  <c r="CB207" i="2"/>
  <c r="CG207" i="2"/>
  <c r="CB209" i="2"/>
  <c r="CG209" i="2"/>
  <c r="CB208" i="2"/>
  <c r="CG208" i="2"/>
  <c r="CB210" i="2"/>
  <c r="CG210" i="2"/>
  <c r="CB211" i="2"/>
  <c r="CG211" i="2"/>
  <c r="CB212" i="2"/>
  <c r="CG212" i="2"/>
  <c r="CB213" i="2"/>
  <c r="CG213" i="2"/>
  <c r="CB214" i="2"/>
  <c r="CG214" i="2"/>
  <c r="CB215" i="2"/>
  <c r="CG215" i="2"/>
  <c r="CB216" i="2"/>
  <c r="CG216" i="2"/>
  <c r="CB217" i="2"/>
  <c r="CG217" i="2"/>
  <c r="CB218" i="2"/>
  <c r="CG218" i="2"/>
  <c r="CB219" i="2"/>
  <c r="CG219" i="2"/>
  <c r="CB220" i="2"/>
  <c r="CG220" i="2"/>
  <c r="CB221" i="2"/>
  <c r="CG221" i="2"/>
  <c r="CB222" i="2"/>
  <c r="CG222" i="2"/>
  <c r="CB223" i="2"/>
  <c r="CG223" i="2"/>
  <c r="CB224" i="2"/>
  <c r="CG224" i="2"/>
  <c r="CB225" i="2"/>
  <c r="CG225" i="2"/>
  <c r="CB226" i="2"/>
  <c r="CG226" i="2"/>
  <c r="CB227" i="2"/>
  <c r="CG227" i="2"/>
  <c r="CB228" i="2"/>
  <c r="CG228" i="2"/>
  <c r="CB229" i="2"/>
  <c r="CG229" i="2"/>
  <c r="CB230" i="2"/>
  <c r="CG230" i="2"/>
  <c r="CB231" i="2"/>
  <c r="CG231" i="2"/>
  <c r="CB232" i="2"/>
  <c r="CG232" i="2"/>
  <c r="CB233" i="2"/>
  <c r="CG233" i="2"/>
  <c r="CB234" i="2"/>
  <c r="CG234" i="2"/>
  <c r="CB235" i="2"/>
  <c r="CG235" i="2"/>
  <c r="CB236" i="2"/>
  <c r="CG236" i="2"/>
  <c r="CB237" i="2"/>
  <c r="CG237" i="2"/>
  <c r="CB238" i="2"/>
  <c r="CG238" i="2"/>
  <c r="CB239" i="2"/>
  <c r="CG239" i="2"/>
  <c r="CB240" i="2"/>
  <c r="CG240" i="2"/>
  <c r="CB241" i="2"/>
  <c r="CG241" i="2"/>
  <c r="CB242" i="2"/>
  <c r="CG242" i="2"/>
  <c r="CB243" i="2"/>
  <c r="CG243" i="2"/>
  <c r="CB244" i="2"/>
  <c r="CG244" i="2"/>
  <c r="CB245" i="2"/>
  <c r="CG245" i="2"/>
  <c r="CB246" i="2"/>
  <c r="CG246" i="2"/>
  <c r="CB247" i="2"/>
  <c r="CG247" i="2"/>
  <c r="CB248" i="2"/>
  <c r="CG248" i="2"/>
  <c r="CB249" i="2"/>
  <c r="CG249" i="2"/>
  <c r="CB250" i="2"/>
  <c r="CG250" i="2"/>
  <c r="CB251" i="2"/>
  <c r="CG251" i="2"/>
  <c r="CB252" i="2"/>
  <c r="CG252" i="2"/>
  <c r="CB253" i="2"/>
  <c r="CG253" i="2"/>
  <c r="CB254" i="2"/>
  <c r="CG254" i="2"/>
  <c r="CB255" i="2"/>
  <c r="CG255" i="2"/>
  <c r="CB256" i="2"/>
  <c r="CG256" i="2"/>
  <c r="CB257" i="2"/>
  <c r="CG257" i="2"/>
  <c r="CB258" i="2"/>
  <c r="CG258" i="2"/>
  <c r="CB259" i="2"/>
  <c r="CG259" i="2"/>
  <c r="CB260" i="2"/>
  <c r="CG260" i="2"/>
  <c r="CB261" i="2"/>
  <c r="CG261" i="2"/>
  <c r="CB262" i="2"/>
  <c r="CG262" i="2"/>
  <c r="CB263" i="2"/>
  <c r="CG263" i="2"/>
  <c r="CB264" i="2"/>
  <c r="CG264" i="2"/>
  <c r="CB265" i="2"/>
  <c r="CG265" i="2"/>
  <c r="CB266" i="2"/>
  <c r="CG266" i="2"/>
  <c r="CB267" i="2"/>
  <c r="CG267" i="2"/>
  <c r="CB268" i="2"/>
  <c r="CG268" i="2"/>
  <c r="CB269" i="2"/>
  <c r="CG269" i="2"/>
  <c r="CB270" i="2"/>
  <c r="CG270" i="2"/>
  <c r="CB271" i="2"/>
  <c r="CG271" i="2"/>
  <c r="CB272" i="2"/>
  <c r="CG272" i="2"/>
  <c r="CB273" i="2"/>
  <c r="CG273" i="2"/>
  <c r="CB274" i="2"/>
  <c r="CG274" i="2"/>
  <c r="CB275" i="2"/>
  <c r="CG275" i="2"/>
  <c r="CB276" i="2"/>
  <c r="CG276" i="2"/>
  <c r="CB277" i="2"/>
  <c r="CG277" i="2"/>
  <c r="CB278" i="2"/>
  <c r="CG278" i="2"/>
  <c r="CB279" i="2"/>
  <c r="CG279" i="2"/>
  <c r="CB280" i="2"/>
  <c r="CG280" i="2"/>
  <c r="CB281" i="2"/>
  <c r="CG281" i="2"/>
  <c r="CB282" i="2"/>
  <c r="CG282"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0" i="2"/>
  <c r="CG300" i="2"/>
  <c r="CB301" i="2"/>
  <c r="CG301" i="2"/>
  <c r="CB302" i="2"/>
  <c r="CG302" i="2"/>
  <c r="CB303" i="2"/>
  <c r="CG303" i="2"/>
  <c r="CB304" i="2"/>
  <c r="CG304" i="2"/>
  <c r="CB305" i="2"/>
  <c r="CG305" i="2"/>
  <c r="CB306" i="2"/>
  <c r="CG306" i="2"/>
  <c r="CB307" i="2"/>
  <c r="CG307" i="2"/>
  <c r="CB308" i="2"/>
  <c r="CG308" i="2"/>
  <c r="CB309" i="2"/>
  <c r="CG309" i="2"/>
  <c r="CB310" i="2"/>
  <c r="CG310" i="2"/>
  <c r="CB311" i="2"/>
  <c r="CG311" i="2"/>
  <c r="CB312" i="2"/>
  <c r="CG312" i="2"/>
  <c r="CB313" i="2"/>
  <c r="CG313" i="2"/>
  <c r="CB314" i="2"/>
  <c r="CG314" i="2"/>
  <c r="CB315" i="2"/>
  <c r="CG315" i="2"/>
  <c r="CB316" i="2"/>
  <c r="CG316" i="2"/>
  <c r="CB317" i="2"/>
  <c r="CG317" i="2"/>
  <c r="CB318" i="2"/>
  <c r="CG318" i="2"/>
  <c r="CB319" i="2"/>
  <c r="CG319" i="2"/>
  <c r="CB320" i="2"/>
  <c r="CG320" i="2"/>
  <c r="CB321" i="2"/>
  <c r="CG321" i="2"/>
  <c r="CB322" i="2"/>
  <c r="CG322" i="2"/>
  <c r="CB323" i="2"/>
  <c r="CG323" i="2"/>
  <c r="CB324" i="2"/>
  <c r="CG324" i="2"/>
  <c r="CB325" i="2"/>
  <c r="CG325" i="2"/>
  <c r="CB326" i="2"/>
  <c r="CG326" i="2"/>
  <c r="CB327" i="2"/>
  <c r="CG327" i="2"/>
  <c r="CB328" i="2"/>
  <c r="CG328" i="2"/>
  <c r="CB329" i="2"/>
  <c r="CG329" i="2"/>
  <c r="CB330" i="2"/>
  <c r="CG330" i="2"/>
  <c r="CB331" i="2"/>
  <c r="CG331" i="2"/>
  <c r="CB332" i="2"/>
  <c r="CG332" i="2"/>
  <c r="CB333" i="2"/>
  <c r="CG333" i="2"/>
  <c r="CB334" i="2"/>
  <c r="CG334" i="2"/>
  <c r="CB335" i="2"/>
  <c r="CG335" i="2"/>
  <c r="CB336" i="2"/>
  <c r="CG336" i="2"/>
  <c r="CB337" i="2"/>
  <c r="CG337" i="2"/>
  <c r="CB338" i="2"/>
  <c r="CG338" i="2"/>
  <c r="CB339" i="2"/>
  <c r="CG339" i="2"/>
  <c r="CB340" i="2"/>
  <c r="CG340" i="2"/>
  <c r="CB341" i="2"/>
  <c r="CG341" i="2"/>
  <c r="CB342" i="2"/>
  <c r="CG342" i="2"/>
  <c r="CB343" i="2"/>
  <c r="CG343" i="2"/>
  <c r="CB344" i="2"/>
  <c r="CG344" i="2"/>
  <c r="CB345" i="2"/>
  <c r="CG345" i="2"/>
  <c r="CB347" i="2"/>
  <c r="CG347" i="2"/>
  <c r="CB348" i="2"/>
  <c r="CG348" i="2"/>
  <c r="CB349" i="2"/>
  <c r="CG349" i="2"/>
  <c r="CB350" i="2"/>
  <c r="CG350" i="2"/>
  <c r="CB351" i="2"/>
  <c r="CG351" i="2"/>
  <c r="CB352" i="2"/>
  <c r="CG352" i="2"/>
  <c r="CB353" i="2"/>
  <c r="CG353" i="2"/>
  <c r="CB354" i="2"/>
  <c r="CG354" i="2"/>
  <c r="CB355" i="2"/>
  <c r="CG355" i="2"/>
  <c r="CB356" i="2"/>
  <c r="CG356" i="2"/>
  <c r="CB357" i="2"/>
  <c r="CG357" i="2"/>
  <c r="CB358" i="2"/>
  <c r="CG358" i="2"/>
  <c r="CB359" i="2"/>
  <c r="CG359" i="2"/>
  <c r="CB360" i="2"/>
  <c r="CG360" i="2"/>
  <c r="CB361" i="2"/>
  <c r="CG361" i="2"/>
  <c r="CB362" i="2"/>
  <c r="CG362" i="2"/>
  <c r="CB363" i="2"/>
  <c r="CG363" i="2"/>
  <c r="CB364" i="2"/>
  <c r="CG364" i="2"/>
  <c r="CB365" i="2"/>
  <c r="CG365" i="2"/>
  <c r="CB366" i="2"/>
  <c r="CG366" i="2"/>
  <c r="CB367" i="2"/>
  <c r="CG367" i="2"/>
  <c r="CB368" i="2"/>
  <c r="CG368" i="2"/>
  <c r="CB369" i="2"/>
  <c r="CG369" i="2"/>
  <c r="CB370" i="2"/>
  <c r="CG370" i="2"/>
  <c r="CB371" i="2"/>
  <c r="CG371" i="2"/>
  <c r="CB372" i="2"/>
  <c r="CG372" i="2"/>
  <c r="CB373" i="2"/>
  <c r="CG373" i="2"/>
  <c r="CB374" i="2"/>
  <c r="CG374" i="2"/>
  <c r="CB375" i="2"/>
  <c r="CG375" i="2"/>
  <c r="CB376" i="2"/>
  <c r="CG376" i="2"/>
  <c r="CB377" i="2"/>
  <c r="CG377" i="2"/>
  <c r="CB378" i="2"/>
  <c r="CG378" i="2"/>
  <c r="CB379" i="2"/>
  <c r="CG379" i="2"/>
  <c r="CB380" i="2"/>
  <c r="CG380" i="2"/>
  <c r="CB381" i="2"/>
  <c r="CG381" i="2"/>
  <c r="CB382" i="2"/>
  <c r="CG382" i="2"/>
  <c r="CB383" i="2"/>
  <c r="CG383" i="2"/>
  <c r="CB384" i="2"/>
  <c r="CG384" i="2"/>
  <c r="CB385" i="2"/>
  <c r="CG385" i="2"/>
  <c r="CB386" i="2"/>
  <c r="CG386" i="2"/>
  <c r="CB387" i="2"/>
  <c r="CG387" i="2"/>
  <c r="CB388" i="2"/>
  <c r="CG388" i="2"/>
  <c r="CB389" i="2"/>
  <c r="CG389" i="2"/>
  <c r="CB390" i="2"/>
  <c r="CG390" i="2"/>
  <c r="CB392" i="2"/>
  <c r="CG392" i="2"/>
  <c r="CB393" i="2"/>
  <c r="CG393" i="2"/>
  <c r="CB394" i="2"/>
  <c r="CG394" i="2"/>
  <c r="CB396" i="2"/>
  <c r="CG396" i="2"/>
  <c r="CB397" i="2"/>
  <c r="CG397" i="2"/>
  <c r="CB398" i="2"/>
  <c r="CG398" i="2"/>
  <c r="CB399" i="2"/>
  <c r="CG399" i="2"/>
  <c r="CB400" i="2"/>
  <c r="CG400" i="2"/>
  <c r="CB401" i="2"/>
  <c r="CG401" i="2"/>
  <c r="CB402" i="2"/>
  <c r="CG402" i="2"/>
  <c r="CB406" i="2"/>
  <c r="CG406" i="2"/>
  <c r="CB415" i="2"/>
  <c r="CG415" i="2"/>
  <c r="CB416" i="2"/>
  <c r="CG416" i="2"/>
  <c r="CB417" i="2"/>
  <c r="CG417" i="2"/>
  <c r="CB418" i="2"/>
  <c r="CG418" i="2"/>
  <c r="CG423" i="2"/>
  <c r="CB431" i="2"/>
  <c r="CG431" i="2"/>
  <c r="CG432" i="2"/>
  <c r="CB436" i="2"/>
  <c r="CG436" i="2"/>
  <c r="CB437" i="2"/>
  <c r="CG437" i="2"/>
  <c r="CB441" i="2"/>
  <c r="CG441" i="2"/>
  <c r="CB442" i="2"/>
  <c r="CG442" i="2"/>
  <c r="CB445" i="2"/>
  <c r="CG445" i="2"/>
  <c r="CB446" i="2"/>
  <c r="CG446" i="2"/>
  <c r="CB447" i="2"/>
  <c r="CG447" i="2"/>
  <c r="CB448" i="2"/>
  <c r="CG448" i="2"/>
  <c r="CB449" i="2"/>
  <c r="CG449" i="2"/>
  <c r="CB450" i="2"/>
  <c r="CG450" i="2"/>
  <c r="CB451" i="2"/>
  <c r="CG451" i="2"/>
  <c r="CB453" i="2"/>
  <c r="CG453" i="2"/>
  <c r="CB454" i="2"/>
  <c r="CG454" i="2"/>
  <c r="CG455" i="2"/>
  <c r="CB459" i="2"/>
  <c r="CG459" i="2"/>
  <c r="CB460" i="2"/>
  <c r="CG460" i="2"/>
  <c r="CB465" i="2"/>
  <c r="CG465" i="2"/>
  <c r="CB466" i="2"/>
  <c r="CG466" i="2"/>
  <c r="CB467" i="2"/>
  <c r="CG467" i="2"/>
  <c r="CB468" i="2"/>
  <c r="CG468" i="2"/>
  <c r="CB470" i="2"/>
  <c r="CG470" i="2"/>
  <c r="CB471" i="2"/>
  <c r="CG471" i="2"/>
  <c r="CB472" i="2"/>
  <c r="CG472" i="2"/>
  <c r="CB473" i="2"/>
  <c r="CG473" i="2"/>
  <c r="CB474" i="2"/>
  <c r="CG474" i="2"/>
  <c r="CB475" i="2"/>
  <c r="CG475" i="2"/>
  <c r="CB476" i="2"/>
  <c r="CG476" i="2"/>
  <c r="BU5" i="2" a="1"/>
  <c r="BU5" i="2" s="1"/>
  <c r="BX5" i="2" s="1"/>
  <c r="BU6" i="2" a="1"/>
  <c r="BU6" i="2" s="1"/>
  <c r="BX6" i="2" s="1"/>
  <c r="BU7" i="2" a="1"/>
  <c r="BU7" i="2" s="1"/>
  <c r="BX7" i="2" s="1"/>
  <c r="BU8" i="2" a="1"/>
  <c r="BU8" i="2" s="1"/>
  <c r="BX8" i="2" s="1"/>
  <c r="BU9" i="2" a="1"/>
  <c r="BU9" i="2" s="1"/>
  <c r="BX9" i="2" s="1"/>
  <c r="BU10" i="2" a="1"/>
  <c r="BU10" i="2" s="1"/>
  <c r="BX10" i="2" s="1"/>
  <c r="BU11" i="2" a="1"/>
  <c r="BU11" i="2" s="1"/>
  <c r="BX11" i="2" s="1"/>
  <c r="BU12" i="2" a="1"/>
  <c r="BU12" i="2" s="1"/>
  <c r="BX12" i="2" s="1"/>
  <c r="BU13" i="2" a="1"/>
  <c r="BU13" i="2" s="1"/>
  <c r="BX13" i="2" s="1"/>
  <c r="BU14" i="2" a="1"/>
  <c r="BU14" i="2" s="1"/>
  <c r="BX14" i="2" s="1"/>
  <c r="BU15" i="2" a="1"/>
  <c r="BU15" i="2" s="1"/>
  <c r="BX15" i="2" s="1"/>
  <c r="BU16" i="2" a="1"/>
  <c r="BU16" i="2" s="1"/>
  <c r="BX16" i="2" s="1"/>
  <c r="BU17" i="2" a="1"/>
  <c r="BU17" i="2" s="1"/>
  <c r="BX17" i="2" s="1"/>
  <c r="BU18" i="2" a="1"/>
  <c r="BU18" i="2" s="1"/>
  <c r="BX18" i="2" s="1"/>
  <c r="BU19" i="2" a="1"/>
  <c r="BU19" i="2" s="1"/>
  <c r="BX19" i="2" s="1"/>
  <c r="BU20" i="2" a="1"/>
  <c r="BU20" i="2" s="1"/>
  <c r="BX20" i="2" s="1"/>
  <c r="BU21" i="2" a="1"/>
  <c r="BU21" i="2" s="1"/>
  <c r="BX21" i="2" s="1"/>
  <c r="BU22" i="2" a="1"/>
  <c r="BU22" i="2" s="1"/>
  <c r="BX22" i="2" s="1"/>
  <c r="BU23" i="2" a="1"/>
  <c r="BU23" i="2" s="1"/>
  <c r="BX23" i="2" s="1"/>
  <c r="BU24" i="2" a="1"/>
  <c r="BU24" i="2" s="1"/>
  <c r="BX24" i="2" s="1"/>
  <c r="BU25" i="2" a="1"/>
  <c r="BU25" i="2" s="1"/>
  <c r="BX25" i="2" s="1"/>
  <c r="BU26" i="2" a="1"/>
  <c r="BU26" i="2" s="1"/>
  <c r="BX26" i="2" s="1"/>
  <c r="BU27" i="2" a="1"/>
  <c r="BU27" i="2" s="1"/>
  <c r="BX27" i="2" s="1"/>
  <c r="BU28" i="2" a="1"/>
  <c r="BU28" i="2" s="1"/>
  <c r="BX28" i="2" s="1"/>
  <c r="BU29" i="2" a="1"/>
  <c r="BU29" i="2" s="1"/>
  <c r="BX29" i="2" s="1"/>
  <c r="BU30" i="2" a="1"/>
  <c r="BU30" i="2" s="1"/>
  <c r="BX30" i="2" s="1"/>
  <c r="BU31" i="2" a="1"/>
  <c r="BU31" i="2" s="1"/>
  <c r="BX31" i="2" s="1"/>
  <c r="BU32" i="2" a="1"/>
  <c r="BU32" i="2" s="1"/>
  <c r="BX32" i="2" s="1"/>
  <c r="BU33" i="2" a="1"/>
  <c r="BU33" i="2" s="1"/>
  <c r="BX33" i="2" s="1"/>
  <c r="BU34" i="2" a="1"/>
  <c r="BU34" i="2" s="1"/>
  <c r="BX34" i="2" s="1"/>
  <c r="BU35" i="2" a="1"/>
  <c r="BU35" i="2" s="1"/>
  <c r="BX35" i="2" s="1"/>
  <c r="BU36" i="2" a="1"/>
  <c r="BU36" i="2" s="1"/>
  <c r="BX36" i="2" s="1"/>
  <c r="BU37" i="2" a="1"/>
  <c r="BU37" i="2" s="1"/>
  <c r="BX37"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s="1"/>
  <c r="BX47"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56" i="2" a="1"/>
  <c r="BU56" i="2" s="1"/>
  <c r="BX56" i="2" s="1"/>
  <c r="BU57" i="2" a="1"/>
  <c r="BU57" i="2" s="1"/>
  <c r="BX57" i="2" s="1"/>
  <c r="BU58" i="2" a="1"/>
  <c r="BU58" i="2" s="1"/>
  <c r="BX58" i="2" s="1"/>
  <c r="BU59" i="2" a="1"/>
  <c r="BU59" i="2" s="1"/>
  <c r="BX59" i="2" s="1"/>
  <c r="BU61" i="2" a="1"/>
  <c r="BU61" i="2" s="1"/>
  <c r="BX61" i="2" s="1"/>
  <c r="BU62" i="2" a="1"/>
  <c r="BU62" i="2" s="1"/>
  <c r="BX62" i="2" s="1"/>
  <c r="BU63" i="2" a="1"/>
  <c r="BU63" i="2" s="1"/>
  <c r="BX63" i="2" s="1"/>
  <c r="BU64" i="2" a="1"/>
  <c r="BU64" i="2" s="1"/>
  <c r="BX64" i="2" s="1"/>
  <c r="BU65" i="2" a="1"/>
  <c r="BU65" i="2" s="1"/>
  <c r="BX65"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U74" i="2" a="1"/>
  <c r="BU74" i="2" s="1"/>
  <c r="BX74" i="2" s="1"/>
  <c r="BU75" i="2" a="1"/>
  <c r="BU75" i="2" s="1"/>
  <c r="BX75" i="2" s="1"/>
  <c r="BU76" i="2" a="1"/>
  <c r="BU76" i="2" s="1"/>
  <c r="BX76" i="2" s="1"/>
  <c r="BU77" i="2" a="1"/>
  <c r="BU77" i="2" s="1"/>
  <c r="BX77" i="2" s="1"/>
  <c r="BU78" i="2" a="1"/>
  <c r="BU78" i="2" s="1"/>
  <c r="BX78" i="2" s="1"/>
  <c r="BU79" i="2" a="1"/>
  <c r="BU79" i="2" s="1"/>
  <c r="BX79" i="2" s="1"/>
  <c r="BU80" i="2" a="1"/>
  <c r="BU80" i="2" s="1"/>
  <c r="BX80" i="2" s="1"/>
  <c r="BU81" i="2" a="1"/>
  <c r="BU81" i="2" s="1"/>
  <c r="BX81" i="2" s="1"/>
  <c r="BU82" i="2" a="1"/>
  <c r="BU82" i="2" s="1"/>
  <c r="BX82" i="2" s="1"/>
  <c r="BU83" i="2" a="1"/>
  <c r="BU83" i="2" s="1"/>
  <c r="BX83" i="2" s="1"/>
  <c r="BU84" i="2" a="1"/>
  <c r="BU84" i="2" s="1"/>
  <c r="BX84" i="2" s="1"/>
  <c r="BU85" i="2" a="1"/>
  <c r="BU85" i="2" s="1"/>
  <c r="BX85" i="2" s="1"/>
  <c r="BU86" i="2" a="1"/>
  <c r="BU86" i="2" s="1"/>
  <c r="BX86" i="2" s="1"/>
  <c r="BU87" i="2" a="1"/>
  <c r="BU87" i="2" s="1"/>
  <c r="BX87" i="2" s="1"/>
  <c r="BU88" i="2" a="1"/>
  <c r="BU88" i="2" s="1"/>
  <c r="BX88"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U96" i="2" a="1"/>
  <c r="BU96" i="2" s="1"/>
  <c r="BX96" i="2" s="1"/>
  <c r="BU97" i="2" a="1"/>
  <c r="BU97" i="2" s="1"/>
  <c r="BX97" i="2" s="1"/>
  <c r="BU98" i="2" a="1"/>
  <c r="BU98" i="2" s="1"/>
  <c r="BX98" i="2" s="1"/>
  <c r="BU99" i="2" a="1"/>
  <c r="BU99" i="2" s="1"/>
  <c r="BX99" i="2" s="1"/>
  <c r="BU100" i="2" a="1"/>
  <c r="BU100" i="2" s="1"/>
  <c r="BX100"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U108" i="2" a="1"/>
  <c r="BU108" i="2" s="1"/>
  <c r="BX108" i="2" s="1"/>
  <c r="BU109" i="2" a="1"/>
  <c r="BU109" i="2" s="1"/>
  <c r="BX109" i="2" s="1"/>
  <c r="BU110" i="2" a="1"/>
  <c r="BU110" i="2" s="1"/>
  <c r="BX110" i="2" s="1"/>
  <c r="BU111" i="2" a="1"/>
  <c r="BU111" i="2" s="1"/>
  <c r="BX111" i="2" s="1"/>
  <c r="BU112" i="2" a="1"/>
  <c r="BU112" i="2" s="1"/>
  <c r="BX112" i="2" s="1"/>
  <c r="BU113" i="2" a="1"/>
  <c r="BU113" i="2" s="1"/>
  <c r="BX113" i="2" s="1"/>
  <c r="BU114" i="2" a="1"/>
  <c r="BU114" i="2" s="1"/>
  <c r="BX114" i="2" s="1"/>
  <c r="BU115" i="2" a="1"/>
  <c r="BU115" i="2" s="1"/>
  <c r="BX115" i="2" s="1"/>
  <c r="BU116" i="2" a="1"/>
  <c r="BU116" i="2" s="1"/>
  <c r="BX116" i="2" s="1"/>
  <c r="BU117" i="2" a="1"/>
  <c r="BU117" i="2" s="1"/>
  <c r="BX117" i="2" s="1"/>
  <c r="BU118" i="2" a="1"/>
  <c r="BU118" i="2" s="1"/>
  <c r="BX118" i="2" s="1"/>
  <c r="BU119" i="2" a="1"/>
  <c r="BU119" i="2" s="1"/>
  <c r="BX119" i="2" s="1"/>
  <c r="BU120" i="2" a="1"/>
  <c r="BU120" i="2" s="1"/>
  <c r="BX120" i="2" s="1"/>
  <c r="BU121" i="2" a="1"/>
  <c r="BU121" i="2" s="1"/>
  <c r="BX121" i="2" s="1"/>
  <c r="BU122" i="2" a="1"/>
  <c r="BU122" i="2" s="1"/>
  <c r="BX122" i="2" s="1"/>
  <c r="BU123" i="2" a="1"/>
  <c r="BU123" i="2" s="1"/>
  <c r="BX123" i="2" s="1"/>
  <c r="BU124" i="2" a="1"/>
  <c r="BU124" i="2" s="1"/>
  <c r="BX124" i="2" s="1"/>
  <c r="BU125" i="2" a="1"/>
  <c r="BU125" i="2" s="1"/>
  <c r="BX125" i="2" s="1"/>
  <c r="BU126" i="2" a="1"/>
  <c r="BU126" i="2" s="1"/>
  <c r="BX126" i="2" s="1"/>
  <c r="BU127" i="2" a="1"/>
  <c r="BU127" i="2" s="1"/>
  <c r="BX127" i="2" s="1"/>
  <c r="BU128" i="2" a="1"/>
  <c r="BU128" i="2" s="1"/>
  <c r="BX128" i="2" s="1"/>
  <c r="BU129" i="2" a="1"/>
  <c r="BU129" i="2" s="1"/>
  <c r="BX129" i="2" s="1"/>
  <c r="BU130" i="2" a="1"/>
  <c r="BU130" i="2" s="1"/>
  <c r="BX130" i="2" s="1"/>
  <c r="BU131" i="2" a="1"/>
  <c r="BU131" i="2" s="1"/>
  <c r="BX131" i="2" s="1"/>
  <c r="BU133" i="2" a="1"/>
  <c r="BU133" i="2" s="1"/>
  <c r="BX133" i="2" s="1"/>
  <c r="BU134" i="2" a="1"/>
  <c r="BU134" i="2" s="1"/>
  <c r="BX134" i="2" s="1"/>
  <c r="BU135" i="2" a="1"/>
  <c r="BU135" i="2" s="1"/>
  <c r="BX135" i="2" s="1"/>
  <c r="BU136" i="2" a="1"/>
  <c r="BU136" i="2" s="1"/>
  <c r="BX136" i="2" s="1"/>
  <c r="BU137" i="2" a="1"/>
  <c r="BU137" i="2" s="1"/>
  <c r="BX137" i="2" s="1"/>
  <c r="BU138" i="2" a="1"/>
  <c r="BU138" i="2" s="1"/>
  <c r="BX138" i="2" s="1"/>
  <c r="BU140" i="2" a="1"/>
  <c r="BU140" i="2" s="1"/>
  <c r="BX140" i="2" s="1"/>
  <c r="BU141" i="2" a="1"/>
  <c r="BU141" i="2" s="1"/>
  <c r="BX141" i="2" s="1"/>
  <c r="BU142" i="2" a="1"/>
  <c r="BU142" i="2" s="1"/>
  <c r="BX142" i="2" s="1"/>
  <c r="BU144" i="2" a="1"/>
  <c r="BU144" i="2" s="1"/>
  <c r="BX144" i="2" s="1"/>
  <c r="BU145" i="2" a="1"/>
  <c r="BU145" i="2" s="1"/>
  <c r="BX145" i="2" s="1"/>
  <c r="BU146" i="2" a="1"/>
  <c r="BU146" i="2" s="1"/>
  <c r="BX146" i="2" s="1"/>
  <c r="BU147" i="2" a="1"/>
  <c r="BU147" i="2" s="1"/>
  <c r="BX147" i="2" s="1"/>
  <c r="BU148" i="2" a="1"/>
  <c r="BU148" i="2" s="1"/>
  <c r="BX148" i="2" s="1"/>
  <c r="BU149" i="2" a="1"/>
  <c r="BU149" i="2" s="1"/>
  <c r="BX149" i="2" s="1"/>
  <c r="BU151" i="2" a="1"/>
  <c r="BU151" i="2" s="1"/>
  <c r="BX151" i="2" s="1"/>
  <c r="BU152" i="2" a="1"/>
  <c r="BU152" i="2" s="1"/>
  <c r="BX152" i="2" s="1"/>
  <c r="BU153" i="2" a="1"/>
  <c r="BU153" i="2" s="1"/>
  <c r="BX153" i="2" s="1"/>
  <c r="BU154" i="2" a="1"/>
  <c r="BU154" i="2" s="1"/>
  <c r="BX154" i="2" s="1"/>
  <c r="BU155" i="2" a="1"/>
  <c r="BU155" i="2" s="1"/>
  <c r="BX155" i="2" s="1"/>
  <c r="BU156" i="2" a="1"/>
  <c r="BU156" i="2" s="1"/>
  <c r="BX156" i="2" s="1"/>
  <c r="BU157" i="2" a="1"/>
  <c r="BU157" i="2" s="1"/>
  <c r="BX157" i="2" s="1"/>
  <c r="BU158" i="2" a="1"/>
  <c r="BU158" i="2" s="1"/>
  <c r="BX158" i="2" s="1"/>
  <c r="BU159" i="2" a="1"/>
  <c r="BU159" i="2" s="1"/>
  <c r="BX159" i="2" s="1"/>
  <c r="BU160" i="2" a="1"/>
  <c r="BU160" i="2" s="1"/>
  <c r="BX160" i="2" s="1"/>
  <c r="BU161" i="2" a="1"/>
  <c r="BU161" i="2" s="1"/>
  <c r="BX161" i="2" s="1"/>
  <c r="BU162" i="2" a="1"/>
  <c r="BU162" i="2" s="1"/>
  <c r="BX162" i="2" s="1"/>
  <c r="BU163" i="2" a="1"/>
  <c r="BU163" i="2" s="1"/>
  <c r="BX163" i="2" s="1"/>
  <c r="BU164" i="2" a="1"/>
  <c r="BU164" i="2" s="1"/>
  <c r="BX164" i="2" s="1"/>
  <c r="BU165" i="2" a="1"/>
  <c r="BU165" i="2" s="1"/>
  <c r="BX165" i="2" s="1"/>
  <c r="BU166" i="2" a="1"/>
  <c r="BU166" i="2" s="1"/>
  <c r="BX166" i="2" s="1"/>
  <c r="BU167" i="2" a="1"/>
  <c r="BU167" i="2" s="1"/>
  <c r="BX167" i="2" s="1"/>
  <c r="BU168" i="2" a="1"/>
  <c r="BU168" i="2" s="1"/>
  <c r="BX168" i="2" s="1"/>
  <c r="BU169" i="2" a="1"/>
  <c r="BU169" i="2" s="1"/>
  <c r="BX169" i="2" s="1"/>
  <c r="BU170" i="2" a="1"/>
  <c r="BU170" i="2" s="1"/>
  <c r="BX170" i="2" s="1"/>
  <c r="BU171" i="2" a="1"/>
  <c r="BU171" i="2" s="1"/>
  <c r="BX171" i="2" s="1"/>
  <c r="BU172" i="2" a="1"/>
  <c r="BU172" i="2" s="1"/>
  <c r="BX172" i="2" s="1"/>
  <c r="BU173" i="2" a="1"/>
  <c r="BU173" i="2" s="1"/>
  <c r="BX173" i="2" s="1"/>
  <c r="BU174" i="2" a="1"/>
  <c r="BU174" i="2" s="1"/>
  <c r="BX174" i="2" s="1"/>
  <c r="BU175" i="2" a="1"/>
  <c r="BU175" i="2" s="1"/>
  <c r="BX175" i="2" s="1"/>
  <c r="BU176" i="2" a="1"/>
  <c r="BU176" i="2" s="1"/>
  <c r="BX176" i="2" s="1"/>
  <c r="BU177" i="2" a="1"/>
  <c r="BU177" i="2" s="1"/>
  <c r="BX177" i="2" s="1"/>
  <c r="BU178" i="2" a="1"/>
  <c r="BU178" i="2" s="1"/>
  <c r="BX178" i="2" s="1"/>
  <c r="BU179" i="2" a="1"/>
  <c r="BU179" i="2" s="1"/>
  <c r="BX179" i="2" s="1"/>
  <c r="BU180" i="2" a="1"/>
  <c r="BU180" i="2" s="1"/>
  <c r="BX180" i="2" s="1"/>
  <c r="BU181" i="2" a="1"/>
  <c r="BU181" i="2" s="1"/>
  <c r="BX181" i="2" s="1"/>
  <c r="BU182" i="2" a="1"/>
  <c r="BU182" i="2" s="1"/>
  <c r="BX182" i="2" s="1"/>
  <c r="BU183" i="2" a="1"/>
  <c r="BU183" i="2" s="1"/>
  <c r="BX183" i="2" s="1"/>
  <c r="BU184" i="2" a="1"/>
  <c r="BU184" i="2" s="1"/>
  <c r="BX184" i="2" s="1"/>
  <c r="BU185" i="2" a="1"/>
  <c r="BU185" i="2" s="1"/>
  <c r="BX185"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U193" i="2" a="1"/>
  <c r="BU193" i="2" s="1"/>
  <c r="BX193" i="2" s="1"/>
  <c r="BU194" i="2" a="1"/>
  <c r="BU194" i="2" s="1"/>
  <c r="BX194" i="2" s="1"/>
  <c r="BU195" i="2" a="1"/>
  <c r="BU195" i="2" s="1"/>
  <c r="BX195" i="2" s="1"/>
  <c r="BU196" i="2" a="1"/>
  <c r="BU196" i="2" s="1"/>
  <c r="BX196" i="2" s="1"/>
  <c r="BU197" i="2" a="1"/>
  <c r="BU197" i="2" s="1"/>
  <c r="BX197" i="2" s="1"/>
  <c r="BU198" i="2" a="1"/>
  <c r="BU198" i="2" s="1"/>
  <c r="BX198" i="2" s="1"/>
  <c r="BU199" i="2" a="1"/>
  <c r="BU199" i="2" s="1"/>
  <c r="BX199" i="2" s="1"/>
  <c r="BU200" i="2" a="1"/>
  <c r="BU200" i="2" s="1"/>
  <c r="BX200" i="2" s="1"/>
  <c r="BU201" i="2" a="1"/>
  <c r="BU201" i="2" s="1"/>
  <c r="BX201" i="2" s="1"/>
  <c r="BU202" i="2" a="1"/>
  <c r="BU202" i="2" s="1"/>
  <c r="BX202" i="2" s="1"/>
  <c r="BU203" i="2" a="1"/>
  <c r="BU203" i="2" s="1"/>
  <c r="BX203" i="2" s="1"/>
  <c r="BU204" i="2" a="1"/>
  <c r="BU204" i="2" s="1"/>
  <c r="BX204" i="2" s="1"/>
  <c r="BU205" i="2" a="1"/>
  <c r="BU205" i="2" s="1"/>
  <c r="BX205" i="2" s="1"/>
  <c r="BU206" i="2" a="1"/>
  <c r="BU206" i="2" s="1"/>
  <c r="BX206" i="2" s="1"/>
  <c r="BU207" i="2" a="1"/>
  <c r="BU207" i="2" s="1"/>
  <c r="BX207" i="2" s="1"/>
  <c r="BU209" i="2" a="1"/>
  <c r="BU209" i="2" s="1"/>
  <c r="BX209" i="2" s="1"/>
  <c r="BU208" i="2" a="1"/>
  <c r="BU208" i="2" s="1"/>
  <c r="BX208" i="2" s="1"/>
  <c r="BU210" i="2" a="1"/>
  <c r="BU210" i="2" s="1"/>
  <c r="BX210" i="2" s="1"/>
  <c r="BU211" i="2" a="1"/>
  <c r="BU211" i="2" s="1"/>
  <c r="BX211" i="2" s="1"/>
  <c r="BY211" i="2" s="1"/>
  <c r="CA211" i="2" s="1"/>
  <c r="BU212" i="2" a="1"/>
  <c r="BU212" i="2" s="1"/>
  <c r="BX212" i="2" s="1"/>
  <c r="BY212" i="2" s="1"/>
  <c r="CA212" i="2" s="1"/>
  <c r="BU213" i="2" a="1"/>
  <c r="BU213" i="2" s="1"/>
  <c r="BX213" i="2" s="1"/>
  <c r="BY213" i="2" s="1"/>
  <c r="BU214" i="2" a="1"/>
  <c r="BU214" i="2" s="1"/>
  <c r="BX214" i="2" s="1"/>
  <c r="BY214" i="2" s="1"/>
  <c r="CA214" i="2" s="1"/>
  <c r="BU215" i="2" a="1"/>
  <c r="BU215" i="2" s="1"/>
  <c r="BX215" i="2" s="1"/>
  <c r="BY215" i="2" s="1"/>
  <c r="CA215" i="2" s="1"/>
  <c r="BU216" i="2" a="1"/>
  <c r="BU216" i="2" s="1"/>
  <c r="BX216" i="2" s="1"/>
  <c r="BY216" i="2" s="1"/>
  <c r="CA216" i="2" s="1"/>
  <c r="BU217" i="2" a="1"/>
  <c r="BU217" i="2" s="1"/>
  <c r="BX217" i="2" s="1"/>
  <c r="BY217" i="2" s="1"/>
  <c r="BU218" i="2" a="1"/>
  <c r="BU218" i="2" s="1"/>
  <c r="BX218" i="2" s="1"/>
  <c r="BY218" i="2" s="1"/>
  <c r="CA218" i="2" s="1"/>
  <c r="BU219" i="2" a="1"/>
  <c r="BU219" i="2" s="1"/>
  <c r="BX219" i="2" s="1"/>
  <c r="BY219" i="2" s="1"/>
  <c r="CA219" i="2" s="1"/>
  <c r="BU220" i="2" a="1"/>
  <c r="BU220" i="2" s="1"/>
  <c r="BX220" i="2" s="1"/>
  <c r="BY220" i="2" s="1"/>
  <c r="CA220" i="2" s="1"/>
  <c r="BU221" i="2" a="1"/>
  <c r="BU221" i="2" s="1"/>
  <c r="BX221" i="2" s="1"/>
  <c r="BY221" i="2" s="1"/>
  <c r="BU222" i="2" a="1"/>
  <c r="BU222" i="2" s="1"/>
  <c r="BX222" i="2" s="1"/>
  <c r="BY222" i="2" s="1"/>
  <c r="BU223" i="2" a="1"/>
  <c r="BU223" i="2" s="1"/>
  <c r="BX223" i="2" s="1"/>
  <c r="BY223" i="2" s="1"/>
  <c r="CA223" i="2" s="1"/>
  <c r="BU224" i="2" a="1"/>
  <c r="BU224" i="2" s="1"/>
  <c r="BX224" i="2" s="1"/>
  <c r="BY224" i="2" s="1"/>
  <c r="CA224" i="2" s="1"/>
  <c r="BU225" i="2" a="1"/>
  <c r="BU225" i="2" s="1"/>
  <c r="BX225" i="2" s="1"/>
  <c r="BY225" i="2" s="1"/>
  <c r="CA225" i="2" s="1"/>
  <c r="BU226" i="2" a="1"/>
  <c r="BU226" i="2" s="1"/>
  <c r="BX226" i="2" s="1"/>
  <c r="BY226" i="2" s="1"/>
  <c r="CA226" i="2" s="1"/>
  <c r="BU227" i="2" a="1"/>
  <c r="BU227" i="2" s="1"/>
  <c r="BX227" i="2" s="1"/>
  <c r="BY227" i="2" s="1"/>
  <c r="CA227" i="2" s="1"/>
  <c r="BU228" i="2" a="1"/>
  <c r="BU228" i="2" s="1"/>
  <c r="BX228" i="2" s="1"/>
  <c r="BY228" i="2" s="1"/>
  <c r="CA228" i="2" s="1"/>
  <c r="BU229" i="2" a="1"/>
  <c r="BU229" i="2" s="1"/>
  <c r="BX229" i="2" s="1"/>
  <c r="BY229" i="2" s="1"/>
  <c r="BU230" i="2" a="1"/>
  <c r="BU230" i="2" s="1"/>
  <c r="BX230" i="2" s="1"/>
  <c r="BY230" i="2" s="1"/>
  <c r="BU231" i="2" a="1"/>
  <c r="BU231" i="2" s="1"/>
  <c r="BX231" i="2" s="1"/>
  <c r="BY231" i="2" s="1"/>
  <c r="CA231" i="2" s="1"/>
  <c r="BU233" i="2" a="1"/>
  <c r="BU233" i="2" s="1"/>
  <c r="BX233" i="2" s="1"/>
  <c r="BY233" i="2" s="1"/>
  <c r="CA233" i="2" s="1"/>
  <c r="BU234" i="2" a="1"/>
  <c r="BU234" i="2" s="1"/>
  <c r="BX234" i="2" s="1"/>
  <c r="BY234" i="2" s="1"/>
  <c r="BU235" i="2" a="1"/>
  <c r="BU235" i="2" s="1"/>
  <c r="BX235" i="2" s="1"/>
  <c r="BY235" i="2" s="1"/>
  <c r="BU236" i="2" a="1"/>
  <c r="BU236" i="2" s="1"/>
  <c r="BX236" i="2" s="1"/>
  <c r="BY236" i="2" s="1"/>
  <c r="CA236" i="2" s="1"/>
  <c r="BU237" i="2" a="1"/>
  <c r="BU237" i="2" s="1"/>
  <c r="BX237" i="2" s="1"/>
  <c r="BY237" i="2" s="1"/>
  <c r="CA237" i="2" s="1"/>
  <c r="BU238" i="2" a="1"/>
  <c r="BU238" i="2" s="1"/>
  <c r="BX238" i="2" s="1"/>
  <c r="BY238" i="2" s="1"/>
  <c r="BU239" i="2" a="1"/>
  <c r="BU239" i="2" s="1"/>
  <c r="BX239" i="2" s="1"/>
  <c r="BY239" i="2" s="1"/>
  <c r="CA239" i="2" s="1"/>
  <c r="BU240" i="2" a="1"/>
  <c r="BU240" i="2" s="1"/>
  <c r="BX240" i="2" s="1"/>
  <c r="BY240" i="2" s="1"/>
  <c r="BU241" i="2" a="1"/>
  <c r="BU241" i="2" s="1"/>
  <c r="BX241" i="2" s="1"/>
  <c r="BY241" i="2" s="1"/>
  <c r="CA241" i="2" s="1"/>
  <c r="BU242" i="2" a="1"/>
  <c r="BU242" i="2" s="1"/>
  <c r="BX242" i="2" s="1"/>
  <c r="BY242" i="2" s="1"/>
  <c r="CA242" i="2" s="1"/>
  <c r="BU243" i="2" a="1"/>
  <c r="BU243" i="2" s="1"/>
  <c r="BX243" i="2" s="1"/>
  <c r="BY243" i="2" s="1"/>
  <c r="BU244" i="2" a="1"/>
  <c r="BU244" i="2" s="1"/>
  <c r="BX244" i="2" s="1"/>
  <c r="BY244" i="2" s="1"/>
  <c r="BU245" i="2" a="1"/>
  <c r="BU245" i="2" s="1"/>
  <c r="BX245" i="2" s="1"/>
  <c r="BY245" i="2" s="1"/>
  <c r="CA245" i="2" s="1"/>
  <c r="BU246" i="2" a="1"/>
  <c r="BU246" i="2" s="1"/>
  <c r="BX246" i="2" s="1"/>
  <c r="BY246" i="2" s="1"/>
  <c r="CA246" i="2" s="1"/>
  <c r="BU247" i="2" a="1"/>
  <c r="BU247" i="2" s="1"/>
  <c r="BX247" i="2" s="1"/>
  <c r="BU248" i="2" a="1"/>
  <c r="BU248" i="2" s="1"/>
  <c r="BX248" i="2" s="1"/>
  <c r="BU249" i="2" a="1"/>
  <c r="BU249" i="2" s="1"/>
  <c r="BX249" i="2" s="1"/>
  <c r="BU250" i="2" a="1"/>
  <c r="BU250" i="2" s="1"/>
  <c r="BX250" i="2" s="1"/>
  <c r="BU251" i="2" a="1"/>
  <c r="BU251" i="2" s="1"/>
  <c r="BX251" i="2" s="1"/>
  <c r="BU252" i="2" a="1"/>
  <c r="BU252" i="2" s="1"/>
  <c r="BX252" i="2" s="1"/>
  <c r="BU253" i="2" a="1"/>
  <c r="BU253" i="2" s="1"/>
  <c r="BX253" i="2" s="1"/>
  <c r="BU254" i="2" a="1"/>
  <c r="BU254" i="2" s="1"/>
  <c r="BX254" i="2" s="1"/>
  <c r="BU255" i="2" a="1"/>
  <c r="BU255" i="2" s="1"/>
  <c r="BX255" i="2" s="1"/>
  <c r="BU256" i="2" a="1"/>
  <c r="BU256" i="2" s="1"/>
  <c r="BX256" i="2" s="1"/>
  <c r="BU257" i="2" a="1"/>
  <c r="BU257" i="2" s="1"/>
  <c r="BX257" i="2" s="1"/>
  <c r="BU258" i="2" a="1"/>
  <c r="BU258" i="2" s="1"/>
  <c r="BX258" i="2" s="1"/>
  <c r="BU259" i="2" a="1"/>
  <c r="BU259" i="2" s="1"/>
  <c r="BX259" i="2" s="1"/>
  <c r="BU260" i="2" a="1"/>
  <c r="BU260" i="2" s="1"/>
  <c r="BX260" i="2" s="1"/>
  <c r="BU261" i="2" a="1"/>
  <c r="BU261" i="2" s="1"/>
  <c r="BX261" i="2" s="1"/>
  <c r="BU262" i="2" a="1"/>
  <c r="BU262" i="2" s="1"/>
  <c r="BX262" i="2" s="1"/>
  <c r="BU263" i="2" a="1"/>
  <c r="BU263" i="2" s="1"/>
  <c r="BX263" i="2" s="1"/>
  <c r="BU264" i="2" a="1"/>
  <c r="BU264" i="2" s="1"/>
  <c r="BX264" i="2" s="1"/>
  <c r="BU265" i="2" a="1"/>
  <c r="BU265" i="2" s="1"/>
  <c r="BX265" i="2" s="1"/>
  <c r="BU266" i="2" a="1"/>
  <c r="BU266" i="2" s="1"/>
  <c r="BX266" i="2" s="1"/>
  <c r="BU267" i="2" a="1"/>
  <c r="BU267" i="2" s="1"/>
  <c r="BX267" i="2" s="1"/>
  <c r="BU268" i="2" a="1"/>
  <c r="BU268" i="2" s="1"/>
  <c r="BX268" i="2" s="1"/>
  <c r="BU269" i="2" a="1"/>
  <c r="BU269" i="2" s="1"/>
  <c r="BX269" i="2" s="1"/>
  <c r="BU270" i="2" a="1"/>
  <c r="BU270" i="2" s="1"/>
  <c r="BX270" i="2" s="1"/>
  <c r="BU271" i="2" a="1"/>
  <c r="BU271" i="2" s="1"/>
  <c r="BX271" i="2" s="1"/>
  <c r="BU272" i="2" a="1"/>
  <c r="BU272" i="2" s="1"/>
  <c r="BX272" i="2" s="1"/>
  <c r="BU273" i="2" a="1"/>
  <c r="BU273" i="2" s="1"/>
  <c r="BX273" i="2" s="1"/>
  <c r="BU274" i="2" a="1"/>
  <c r="BU274" i="2" s="1"/>
  <c r="BX274"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U295" i="2" a="1"/>
  <c r="BU295" i="2" s="1"/>
  <c r="BX295" i="2" s="1"/>
  <c r="BU296" i="2" a="1"/>
  <c r="BU296" i="2" s="1"/>
  <c r="BX296" i="2" s="1"/>
  <c r="BU297" i="2" a="1"/>
  <c r="BU297" i="2" s="1"/>
  <c r="BX297" i="2" s="1"/>
  <c r="BU298" i="2" a="1"/>
  <c r="BU298" i="2" s="1"/>
  <c r="BX298" i="2" s="1"/>
  <c r="BU299" i="2" a="1"/>
  <c r="BU299" i="2" s="1"/>
  <c r="BX299" i="2" s="1"/>
  <c r="BU300" i="2" a="1"/>
  <c r="BU300" i="2" s="1"/>
  <c r="BX300" i="2" s="1"/>
  <c r="BU301" i="2" a="1"/>
  <c r="BU301" i="2" s="1"/>
  <c r="BX301" i="2" s="1"/>
  <c r="BU302" i="2" a="1"/>
  <c r="BU302" i="2" s="1"/>
  <c r="BX302" i="2" s="1"/>
  <c r="BU303" i="2" a="1"/>
  <c r="BU303" i="2" s="1"/>
  <c r="BX303" i="2" s="1"/>
  <c r="BU304" i="2" a="1"/>
  <c r="BU304" i="2" s="1"/>
  <c r="BX304" i="2" s="1"/>
  <c r="BU305" i="2" a="1"/>
  <c r="BU305" i="2" s="1"/>
  <c r="BX305" i="2" s="1"/>
  <c r="BU306" i="2" a="1"/>
  <c r="BU306" i="2" s="1"/>
  <c r="BX306" i="2" s="1"/>
  <c r="BU307" i="2" a="1"/>
  <c r="BU307" i="2" s="1"/>
  <c r="BX307" i="2" s="1"/>
  <c r="BU308" i="2" a="1"/>
  <c r="BU308" i="2" s="1"/>
  <c r="BX308" i="2" s="1"/>
  <c r="BU309" i="2" a="1"/>
  <c r="BU309" i="2" s="1"/>
  <c r="BX309" i="2" s="1"/>
  <c r="BU310" i="2" a="1"/>
  <c r="BU310" i="2" s="1"/>
  <c r="BX310" i="2" s="1"/>
  <c r="BU311" i="2" a="1"/>
  <c r="BU311" i="2" s="1"/>
  <c r="BX311" i="2" s="1"/>
  <c r="BU312" i="2" a="1"/>
  <c r="BU312" i="2" s="1"/>
  <c r="BX312" i="2" s="1"/>
  <c r="BU313" i="2" a="1"/>
  <c r="BU313" i="2" s="1"/>
  <c r="BX313" i="2" s="1"/>
  <c r="BU314" i="2" a="1"/>
  <c r="BU314" i="2" s="1"/>
  <c r="BX314" i="2" s="1"/>
  <c r="BU315" i="2" a="1"/>
  <c r="BU315" i="2" s="1"/>
  <c r="BX315" i="2" s="1"/>
  <c r="BU316" i="2" a="1"/>
  <c r="BU316" i="2" s="1"/>
  <c r="BX316" i="2" s="1"/>
  <c r="BU317" i="2" a="1"/>
  <c r="BU317" i="2" s="1"/>
  <c r="BX317" i="2" s="1"/>
  <c r="BU318" i="2" a="1"/>
  <c r="BU318" i="2" s="1"/>
  <c r="BX318" i="2" s="1"/>
  <c r="BU319" i="2" a="1"/>
  <c r="BU319" i="2" s="1"/>
  <c r="BX319" i="2" s="1"/>
  <c r="BU320" i="2" a="1"/>
  <c r="BU320" i="2" s="1"/>
  <c r="BX320" i="2" s="1"/>
  <c r="BU321" i="2" a="1"/>
  <c r="BU321" i="2" s="1"/>
  <c r="BX321" i="2" s="1"/>
  <c r="BU322" i="2" a="1"/>
  <c r="BU322" i="2" s="1"/>
  <c r="BX322" i="2" s="1"/>
  <c r="BU323" i="2" a="1"/>
  <c r="BU323" i="2" s="1"/>
  <c r="BX323" i="2" s="1"/>
  <c r="BU324" i="2" a="1"/>
  <c r="BU324" i="2" s="1"/>
  <c r="BX324" i="2" s="1"/>
  <c r="BU325" i="2" a="1"/>
  <c r="BU325" i="2" s="1"/>
  <c r="BX325" i="2" s="1"/>
  <c r="BU326" i="2" a="1"/>
  <c r="BU326" i="2" s="1"/>
  <c r="BX326" i="2" s="1"/>
  <c r="BU327" i="2" a="1"/>
  <c r="BU327" i="2" s="1"/>
  <c r="BX327" i="2" s="1"/>
  <c r="BU328" i="2" a="1"/>
  <c r="BU328" i="2" s="1"/>
  <c r="BX328" i="2" s="1"/>
  <c r="BU329" i="2" a="1"/>
  <c r="BU329" i="2" s="1"/>
  <c r="BX329" i="2" s="1"/>
  <c r="BU330" i="2" a="1"/>
  <c r="BU330" i="2" s="1"/>
  <c r="BX330" i="2" s="1"/>
  <c r="BU331" i="2" a="1"/>
  <c r="BU331" i="2" s="1"/>
  <c r="BX331" i="2" s="1"/>
  <c r="BU332" i="2" a="1"/>
  <c r="BU332" i="2" s="1"/>
  <c r="BX332" i="2" s="1"/>
  <c r="BU333" i="2" a="1"/>
  <c r="BU333" i="2" s="1"/>
  <c r="BX333" i="2" s="1"/>
  <c r="BU334" i="2" a="1"/>
  <c r="BU334" i="2" s="1"/>
  <c r="BX334" i="2" s="1"/>
  <c r="BU335" i="2" a="1"/>
  <c r="BU335" i="2" s="1"/>
  <c r="BX335" i="2" s="1"/>
  <c r="BU336" i="2" a="1"/>
  <c r="BU336" i="2" s="1"/>
  <c r="BX336" i="2" s="1"/>
  <c r="BU337" i="2" a="1"/>
  <c r="BU337" i="2" s="1"/>
  <c r="BX337" i="2" s="1"/>
  <c r="BU338" i="2" a="1"/>
  <c r="BU338" i="2" s="1"/>
  <c r="BX338" i="2" s="1"/>
  <c r="BU339" i="2" a="1"/>
  <c r="BU339" i="2" s="1"/>
  <c r="BX339" i="2" s="1"/>
  <c r="BU340" i="2" a="1"/>
  <c r="BU340" i="2" s="1"/>
  <c r="BX340" i="2" s="1"/>
  <c r="BU341" i="2" a="1"/>
  <c r="BU341" i="2" s="1"/>
  <c r="BX341" i="2" s="1"/>
  <c r="BU342" i="2" a="1"/>
  <c r="BU342" i="2" s="1"/>
  <c r="BX342" i="2" s="1"/>
  <c r="BU343" i="2" a="1"/>
  <c r="BU343" i="2" s="1"/>
  <c r="BX343" i="2" s="1"/>
  <c r="BU344" i="2" a="1"/>
  <c r="BU344" i="2" s="1"/>
  <c r="BX344" i="2" s="1"/>
  <c r="BU345" i="2" a="1"/>
  <c r="BU345" i="2" s="1"/>
  <c r="BX345" i="2" s="1"/>
  <c r="BU347" i="2" a="1"/>
  <c r="BU347" i="2" s="1"/>
  <c r="BX347" i="2" s="1"/>
  <c r="BU348" i="2" a="1"/>
  <c r="BU348" i="2" s="1"/>
  <c r="BX348" i="2" s="1"/>
  <c r="BU349" i="2" a="1"/>
  <c r="BU349" i="2" s="1"/>
  <c r="BX349" i="2" s="1"/>
  <c r="BU350" i="2" a="1"/>
  <c r="BU350" i="2" s="1"/>
  <c r="BX350" i="2" s="1"/>
  <c r="BU351" i="2" a="1"/>
  <c r="BU351" i="2" s="1"/>
  <c r="BX351" i="2" s="1"/>
  <c r="BU352" i="2" a="1"/>
  <c r="BU352" i="2" s="1"/>
  <c r="BX352" i="2" s="1"/>
  <c r="BU353" i="2" a="1"/>
  <c r="BU353" i="2" s="1"/>
  <c r="BX353" i="2" s="1"/>
  <c r="BU354" i="2" a="1"/>
  <c r="BU354" i="2" s="1"/>
  <c r="BX354" i="2" s="1"/>
  <c r="BU355" i="2" a="1"/>
  <c r="BU355" i="2" s="1"/>
  <c r="BX355" i="2" s="1"/>
  <c r="BU356" i="2" a="1"/>
  <c r="BU356" i="2" s="1"/>
  <c r="BX356" i="2" s="1"/>
  <c r="BU357" i="2" a="1"/>
  <c r="BU357" i="2" s="1"/>
  <c r="BX357" i="2" s="1"/>
  <c r="BU358" i="2" a="1"/>
  <c r="BU358" i="2" s="1"/>
  <c r="BX358" i="2" s="1"/>
  <c r="BU359" i="2" a="1"/>
  <c r="BU359" i="2" s="1"/>
  <c r="BX359" i="2" s="1"/>
  <c r="BU360" i="2" a="1"/>
  <c r="BU360" i="2" s="1"/>
  <c r="BX360" i="2" s="1"/>
  <c r="BU361" i="2" a="1"/>
  <c r="BU361" i="2" s="1"/>
  <c r="BX361" i="2" s="1"/>
  <c r="BU362" i="2" a="1"/>
  <c r="BU362" i="2" s="1"/>
  <c r="BX362" i="2" s="1"/>
  <c r="BU363" i="2" a="1"/>
  <c r="BU363" i="2" s="1"/>
  <c r="BX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370" i="2" a="1"/>
  <c r="BU370" i="2" s="1"/>
  <c r="BX370" i="2" s="1"/>
  <c r="BU371" i="2" a="1"/>
  <c r="BU371" i="2" s="1"/>
  <c r="BX371" i="2" s="1"/>
  <c r="BU372" i="2" a="1"/>
  <c r="BU372" i="2" s="1"/>
  <c r="BX372" i="2" s="1"/>
  <c r="BU373" i="2" a="1"/>
  <c r="BU373" i="2" s="1"/>
  <c r="BX373" i="2" s="1"/>
  <c r="BU374" i="2" a="1"/>
  <c r="BU374" i="2" s="1"/>
  <c r="BX374" i="2" s="1"/>
  <c r="BU375" i="2" a="1"/>
  <c r="BU375" i="2" s="1"/>
  <c r="BX375" i="2" s="1"/>
  <c r="BU376" i="2" a="1"/>
  <c r="BU376" i="2" s="1"/>
  <c r="BX376" i="2" s="1"/>
  <c r="BU377" i="2" a="1"/>
  <c r="BU377" i="2" s="1"/>
  <c r="BX377" i="2" s="1"/>
  <c r="BU378" i="2" a="1"/>
  <c r="BU378" i="2" s="1"/>
  <c r="BX378" i="2" s="1"/>
  <c r="BU379" i="2" a="1"/>
  <c r="BU379" i="2" s="1"/>
  <c r="BX379" i="2" s="1"/>
  <c r="BU380" i="2" a="1"/>
  <c r="BU380" i="2" s="1"/>
  <c r="BX380" i="2" s="1"/>
  <c r="BU381" i="2" a="1"/>
  <c r="BU381" i="2" s="1"/>
  <c r="BX381" i="2" s="1"/>
  <c r="BU382" i="2" a="1"/>
  <c r="BU382" i="2" s="1"/>
  <c r="BX382" i="2" s="1"/>
  <c r="BU383" i="2" a="1"/>
  <c r="BU383" i="2" s="1"/>
  <c r="BX383" i="2" s="1"/>
  <c r="BY383" i="2" s="1"/>
  <c r="CA383" i="2" s="1"/>
  <c r="BU384" i="2" a="1"/>
  <c r="BU384" i="2" s="1"/>
  <c r="BX384" i="2" s="1"/>
  <c r="BY384" i="2" s="1"/>
  <c r="CA384" i="2" s="1"/>
  <c r="BU385" i="2" a="1"/>
  <c r="BU385" i="2" s="1"/>
  <c r="BX385" i="2" s="1"/>
  <c r="BY385" i="2" s="1"/>
  <c r="CA385" i="2" s="1"/>
  <c r="BU386" i="2" a="1"/>
  <c r="BU386" i="2" s="1"/>
  <c r="BX386" i="2" s="1"/>
  <c r="BY386" i="2" s="1"/>
  <c r="BU387" i="2" a="1"/>
  <c r="BU387" i="2" s="1"/>
  <c r="BX387" i="2" s="1"/>
  <c r="BY387" i="2" s="1"/>
  <c r="BU388" i="2" a="1"/>
  <c r="BU388" i="2" s="1"/>
  <c r="BX388" i="2" s="1"/>
  <c r="BY388" i="2" s="1"/>
  <c r="CA388" i="2" s="1"/>
  <c r="BU389" i="2" a="1"/>
  <c r="BU389" i="2" s="1"/>
  <c r="BX389" i="2" s="1"/>
  <c r="BY389" i="2" s="1"/>
  <c r="CA389" i="2" s="1"/>
  <c r="BU390" i="2" a="1"/>
  <c r="BU390" i="2" s="1"/>
  <c r="BX390" i="2" s="1"/>
  <c r="BY390" i="2" s="1"/>
  <c r="CA390" i="2" s="1"/>
  <c r="BU392" i="2" a="1"/>
  <c r="BU392" i="2" s="1"/>
  <c r="BX392" i="2" s="1"/>
  <c r="BU393" i="2" a="1"/>
  <c r="BU393" i="2" s="1"/>
  <c r="BX393" i="2" s="1"/>
  <c r="BU394" i="2" a="1"/>
  <c r="BU394" i="2" s="1"/>
  <c r="BX394" i="2" s="1"/>
  <c r="BY394" i="2" s="1"/>
  <c r="CA394" i="2" s="1"/>
  <c r="BU396" i="2" a="1"/>
  <c r="BU396" i="2" s="1"/>
  <c r="BX396" i="2" s="1"/>
  <c r="BU397" i="2" a="1"/>
  <c r="BU397" i="2" s="1"/>
  <c r="BX397" i="2" s="1"/>
  <c r="BU398" i="2" a="1"/>
  <c r="BU398" i="2" s="1"/>
  <c r="BX398" i="2" s="1"/>
  <c r="BU399" i="2" a="1"/>
  <c r="BU399" i="2" s="1"/>
  <c r="BX399" i="2" s="1"/>
  <c r="BU400" i="2" a="1"/>
  <c r="BU400" i="2" s="1"/>
  <c r="BX400" i="2" s="1"/>
  <c r="BU401" i="2" a="1"/>
  <c r="BU401" i="2" s="1"/>
  <c r="BX401" i="2" s="1"/>
  <c r="BY401" i="2" s="1"/>
  <c r="CA401" i="2" s="1"/>
  <c r="BU402" i="2" a="1"/>
  <c r="BU402" i="2" s="1"/>
  <c r="BX402" i="2" s="1"/>
  <c r="BU406" i="2" a="1"/>
  <c r="BU406" i="2" s="1"/>
  <c r="BX406" i="2" s="1"/>
  <c r="BU415" i="2" a="1"/>
  <c r="BU415" i="2" s="1"/>
  <c r="BX415" i="2" s="1"/>
  <c r="BU416" i="2" a="1"/>
  <c r="BU416" i="2" s="1"/>
  <c r="BX416" i="2" s="1"/>
  <c r="BU417" i="2" a="1"/>
  <c r="BU417" i="2" s="1"/>
  <c r="BX417" i="2" s="1"/>
  <c r="BU418" i="2" a="1"/>
  <c r="BU418" i="2" s="1"/>
  <c r="BX418" i="2" s="1"/>
  <c r="BU423" i="2" a="1"/>
  <c r="BU423" i="2" s="1"/>
  <c r="BX423" i="2" s="1"/>
  <c r="BU431" i="2" a="1"/>
  <c r="BU431" i="2" s="1"/>
  <c r="BX431" i="2" s="1"/>
  <c r="BU432" i="2" a="1"/>
  <c r="BU432" i="2" s="1"/>
  <c r="BX432" i="2" s="1"/>
  <c r="BU436" i="2" a="1"/>
  <c r="BU436" i="2" s="1"/>
  <c r="BX436" i="2" s="1"/>
  <c r="BU437" i="2" a="1"/>
  <c r="BU437" i="2" s="1"/>
  <c r="BX437" i="2" s="1"/>
  <c r="BU441" i="2" a="1"/>
  <c r="BU441" i="2" s="1"/>
  <c r="BX441" i="2" s="1"/>
  <c r="BU442" i="2" a="1"/>
  <c r="BU442" i="2" s="1"/>
  <c r="BX442" i="2" s="1"/>
  <c r="BU445" i="2" a="1"/>
  <c r="BU445" i="2" s="1"/>
  <c r="BX445" i="2" s="1"/>
  <c r="BU446" i="2" a="1"/>
  <c r="BU446" i="2" s="1"/>
  <c r="BX446" i="2" s="1"/>
  <c r="BY446" i="2" s="1"/>
  <c r="BU447" i="2" a="1"/>
  <c r="BU447" i="2" s="1"/>
  <c r="BX447" i="2" s="1"/>
  <c r="BU448" i="2" a="1"/>
  <c r="BU448" i="2" s="1"/>
  <c r="BX448" i="2" s="1"/>
  <c r="BU449" i="2" a="1"/>
  <c r="BU449" i="2" s="1"/>
  <c r="BX449" i="2" s="1"/>
  <c r="BU450" i="2" a="1"/>
  <c r="BU450" i="2" s="1"/>
  <c r="BX450" i="2" s="1"/>
  <c r="BU451" i="2" a="1"/>
  <c r="BU451" i="2" s="1"/>
  <c r="BX451" i="2" s="1"/>
  <c r="BU453" i="2" a="1"/>
  <c r="BU453" i="2" s="1"/>
  <c r="BX453" i="2" s="1"/>
  <c r="BU454" i="2" a="1"/>
  <c r="BU454" i="2" s="1"/>
  <c r="BX454" i="2" s="1"/>
  <c r="BU455" i="2" a="1"/>
  <c r="BU455" i="2" s="1"/>
  <c r="BX455" i="2" s="1"/>
  <c r="BU459" i="2" a="1"/>
  <c r="BU459" i="2" s="1"/>
  <c r="BX459" i="2" s="1"/>
  <c r="BU460" i="2" a="1"/>
  <c r="BU460" i="2" s="1"/>
  <c r="BX460" i="2" s="1"/>
  <c r="BU465" i="2" a="1"/>
  <c r="BU465" i="2" s="1"/>
  <c r="BX465" i="2" s="1"/>
  <c r="BU466" i="2" a="1"/>
  <c r="BU466" i="2" s="1"/>
  <c r="BX466" i="2" s="1"/>
  <c r="BY466" i="2" s="1"/>
  <c r="CA466" i="2" s="1"/>
  <c r="BU467" i="2" a="1"/>
  <c r="BU467" i="2" s="1"/>
  <c r="BX467" i="2" s="1"/>
  <c r="BU468" i="2" a="1"/>
  <c r="BU468" i="2" s="1"/>
  <c r="BX468" i="2" s="1"/>
  <c r="BU470" i="2" a="1"/>
  <c r="BU470" i="2" s="1"/>
  <c r="BX470" i="2" s="1"/>
  <c r="BU471" i="2" a="1"/>
  <c r="BU471" i="2" s="1"/>
  <c r="BX471" i="2" s="1"/>
  <c r="BU472" i="2" a="1"/>
  <c r="BU472" i="2" s="1"/>
  <c r="BX472" i="2" s="1"/>
  <c r="BU473" i="2" a="1"/>
  <c r="BU473" i="2" s="1"/>
  <c r="BX473" i="2" s="1"/>
  <c r="BY473" i="2" s="1"/>
  <c r="CA473" i="2" s="1"/>
  <c r="BU474" i="2" a="1"/>
  <c r="BU474" i="2" s="1"/>
  <c r="BX474" i="2" s="1"/>
  <c r="BY474" i="2" s="1"/>
  <c r="BU475" i="2" a="1"/>
  <c r="BU475" i="2" s="1"/>
  <c r="BX475" i="2" s="1"/>
  <c r="BY475" i="2" s="1"/>
  <c r="CA475" i="2" s="1"/>
  <c r="BU476" i="2" a="1"/>
  <c r="BU476" i="2" s="1"/>
  <c r="BX476" i="2" s="1"/>
  <c r="BY476" i="2" s="1"/>
  <c r="BW5" i="2" a="1"/>
  <c r="BW5" i="2" s="1"/>
  <c r="BW6" i="2" a="1"/>
  <c r="BW6" i="2" s="1"/>
  <c r="BW7" i="2" a="1"/>
  <c r="BW7" i="2" s="1"/>
  <c r="BW8" i="2" a="1"/>
  <c r="BW8" i="2" s="1"/>
  <c r="BW9" i="2" a="1"/>
  <c r="BW9" i="2" s="1"/>
  <c r="BW10" i="2" a="1"/>
  <c r="BW10" i="2" s="1"/>
  <c r="BW11" i="2" a="1"/>
  <c r="BW11" i="2" s="1"/>
  <c r="BW12" i="2" a="1"/>
  <c r="BW12" i="2" s="1"/>
  <c r="BW13" i="2" a="1"/>
  <c r="BW13" i="2" s="1"/>
  <c r="BW14" i="2" a="1"/>
  <c r="BW14" i="2" s="1"/>
  <c r="BW15" i="2" a="1"/>
  <c r="BW15" i="2" s="1"/>
  <c r="BW16" i="2" a="1"/>
  <c r="BW16" i="2" s="1"/>
  <c r="BW17" i="2" a="1"/>
  <c r="BW17" i="2" s="1"/>
  <c r="BW18" i="2" a="1"/>
  <c r="BW18" i="2" s="1"/>
  <c r="BW19" i="2" a="1"/>
  <c r="BW19" i="2" s="1"/>
  <c r="BW20" i="2" a="1"/>
  <c r="BW20" i="2" s="1"/>
  <c r="BW21" i="2" a="1"/>
  <c r="BW21" i="2" s="1"/>
  <c r="BW22" i="2" a="1"/>
  <c r="BW22" i="2" s="1"/>
  <c r="BW23" i="2" a="1"/>
  <c r="BW23" i="2" s="1"/>
  <c r="BW24" i="2" a="1"/>
  <c r="BW24" i="2" s="1"/>
  <c r="BW25" i="2" a="1"/>
  <c r="BW25" i="2" s="1"/>
  <c r="BW26" i="2" a="1"/>
  <c r="BW26" i="2" s="1"/>
  <c r="BW27" i="2" a="1"/>
  <c r="BW27" i="2" s="1"/>
  <c r="BW28" i="2" a="1"/>
  <c r="BW28" i="2" s="1"/>
  <c r="BW29" i="2" a="1"/>
  <c r="BW29" i="2" s="1"/>
  <c r="BW30" i="2" a="1"/>
  <c r="BW30" i="2" s="1"/>
  <c r="BW31" i="2" a="1"/>
  <c r="BW31" i="2" s="1"/>
  <c r="BW32" i="2" a="1"/>
  <c r="BW32" i="2" s="1"/>
  <c r="BW33" i="2" a="1"/>
  <c r="BW33" i="2" s="1"/>
  <c r="BW34" i="2" a="1"/>
  <c r="BW34" i="2" s="1"/>
  <c r="BW35" i="2" a="1"/>
  <c r="BW35" i="2" s="1"/>
  <c r="BW36" i="2" a="1"/>
  <c r="BW36" i="2" s="1"/>
  <c r="BW37" i="2" a="1"/>
  <c r="BW37"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9" i="2" a="1"/>
  <c r="BW49" i="2" s="1"/>
  <c r="BW50" i="2" a="1"/>
  <c r="BW50" i="2" s="1"/>
  <c r="BW51" i="2" a="1"/>
  <c r="BW51" i="2" s="1"/>
  <c r="BW52" i="2" a="1"/>
  <c r="BW52" i="2" s="1"/>
  <c r="BW53" i="2" a="1"/>
  <c r="BW53" i="2" s="1"/>
  <c r="BW54" i="2" a="1"/>
  <c r="BW54" i="2" s="1"/>
  <c r="BW55" i="2" a="1"/>
  <c r="BW55" i="2" s="1"/>
  <c r="BW56" i="2" a="1"/>
  <c r="BW56" i="2" s="1"/>
  <c r="BW57" i="2" a="1"/>
  <c r="BW57" i="2" s="1"/>
  <c r="BW58" i="2" a="1"/>
  <c r="BW58" i="2" s="1"/>
  <c r="BW59" i="2" a="1"/>
  <c r="BW59" i="2" s="1"/>
  <c r="BW61" i="2" a="1"/>
  <c r="BW61" i="2" s="1"/>
  <c r="BW62" i="2" a="1"/>
  <c r="BW62" i="2" s="1"/>
  <c r="BW63" i="2" a="1"/>
  <c r="BW63" i="2" s="1"/>
  <c r="BW64" i="2" a="1"/>
  <c r="BW64" i="2" s="1"/>
  <c r="BW65" i="2" a="1"/>
  <c r="BW65"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78" i="2" a="1"/>
  <c r="BW78" i="2" s="1"/>
  <c r="BW79" i="2" a="1"/>
  <c r="BW79" i="2" s="1"/>
  <c r="BW80" i="2" a="1"/>
  <c r="BW80" i="2" s="1"/>
  <c r="BW81" i="2" a="1"/>
  <c r="BW81" i="2" s="1"/>
  <c r="BW82" i="2" a="1"/>
  <c r="BW82" i="2" s="1"/>
  <c r="BW83" i="2" a="1"/>
  <c r="BW83" i="2" s="1"/>
  <c r="BW84" i="2" a="1"/>
  <c r="BW84" i="2" s="1"/>
  <c r="BW85" i="2" a="1"/>
  <c r="BW85" i="2" s="1"/>
  <c r="BW86" i="2" a="1"/>
  <c r="BW86" i="2" s="1"/>
  <c r="BW87" i="2" a="1"/>
  <c r="BW87" i="2" s="1"/>
  <c r="BW88" i="2" a="1"/>
  <c r="BW88" i="2" s="1"/>
  <c r="BW89" i="2" a="1"/>
  <c r="BW89" i="2" s="1"/>
  <c r="BW90" i="2" a="1"/>
  <c r="BW90" i="2" s="1"/>
  <c r="BW91" i="2" a="1"/>
  <c r="BW91" i="2" s="1"/>
  <c r="BW92" i="2" a="1"/>
  <c r="BW92" i="2" s="1"/>
  <c r="BW93" i="2" a="1"/>
  <c r="BW93" i="2" s="1"/>
  <c r="BW94" i="2" a="1"/>
  <c r="BW94" i="2" s="1"/>
  <c r="BW95" i="2" a="1"/>
  <c r="BW95" i="2" s="1"/>
  <c r="BW96" i="2" a="1"/>
  <c r="BW96" i="2" s="1"/>
  <c r="BW97" i="2" a="1"/>
  <c r="BW97" i="2" s="1"/>
  <c r="BW98" i="2" a="1"/>
  <c r="BW98" i="2" s="1"/>
  <c r="BW99" i="2" a="1"/>
  <c r="BW99" i="2" s="1"/>
  <c r="BW100" i="2" a="1"/>
  <c r="BW100"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s="1"/>
  <c r="BW113" i="2" a="1"/>
  <c r="BW113" i="2" s="1"/>
  <c r="BW114" i="2" a="1"/>
  <c r="BW114" i="2" s="1"/>
  <c r="BW115" i="2" a="1"/>
  <c r="BW115" i="2" s="1"/>
  <c r="BW116" i="2" a="1"/>
  <c r="BW116" i="2" s="1"/>
  <c r="BW117" i="2" a="1"/>
  <c r="BW117" i="2" s="1"/>
  <c r="BW118" i="2" a="1"/>
  <c r="BW118" i="2" s="1"/>
  <c r="BW119" i="2" a="1"/>
  <c r="BW119" i="2" s="1"/>
  <c r="BW120" i="2" a="1"/>
  <c r="BW120" i="2" s="1"/>
  <c r="BW121" i="2" a="1"/>
  <c r="BW121" i="2" s="1"/>
  <c r="BW122" i="2" a="1"/>
  <c r="BW122" i="2" s="1"/>
  <c r="BW123" i="2" a="1"/>
  <c r="BW123"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40" i="2" a="1"/>
  <c r="BW140" i="2" s="1"/>
  <c r="BW141" i="2" a="1"/>
  <c r="BW141" i="2" s="1"/>
  <c r="BW142" i="2" a="1"/>
  <c r="BW142" i="2" s="1"/>
  <c r="BW144" i="2" a="1"/>
  <c r="BW144" i="2" s="1"/>
  <c r="BW145" i="2" a="1"/>
  <c r="BW145" i="2" s="1"/>
  <c r="BW146" i="2" a="1"/>
  <c r="BW146" i="2" s="1"/>
  <c r="BW147" i="2" a="1"/>
  <c r="BW147" i="2" s="1"/>
  <c r="BW148" i="2" a="1"/>
  <c r="BW148" i="2" s="1"/>
  <c r="BW149" i="2" a="1"/>
  <c r="BW149" i="2" s="1"/>
  <c r="BW151" i="2" a="1"/>
  <c r="BW151" i="2" s="1"/>
  <c r="BW152" i="2" a="1"/>
  <c r="BW152" i="2" s="1"/>
  <c r="BW153" i="2" a="1"/>
  <c r="BW153" i="2" s="1"/>
  <c r="BW154" i="2" a="1"/>
  <c r="BW154" i="2" s="1"/>
  <c r="BW155" i="2" a="1"/>
  <c r="BW155" i="2" s="1"/>
  <c r="BW156" i="2" a="1"/>
  <c r="BW156" i="2" s="1"/>
  <c r="BW157" i="2" a="1"/>
  <c r="BW157" i="2" s="1"/>
  <c r="BW158" i="2" a="1"/>
  <c r="BW158" i="2" s="1"/>
  <c r="BW159" i="2" a="1"/>
  <c r="BW159" i="2" s="1"/>
  <c r="BW160" i="2" a="1"/>
  <c r="BW160" i="2" s="1"/>
  <c r="BW161" i="2" a="1"/>
  <c r="BW161" i="2" s="1"/>
  <c r="BW162" i="2" a="1"/>
  <c r="BW162" i="2" s="1"/>
  <c r="BW163" i="2" a="1"/>
  <c r="BW163" i="2" s="1"/>
  <c r="BW164" i="2" a="1"/>
  <c r="BW164" i="2" s="1"/>
  <c r="BW165" i="2" a="1"/>
  <c r="BW165" i="2" s="1"/>
  <c r="BW166" i="2" a="1"/>
  <c r="BW166" i="2" s="1"/>
  <c r="BW167" i="2" a="1"/>
  <c r="BW167" i="2" s="1"/>
  <c r="BW168" i="2" a="1"/>
  <c r="BW168" i="2" s="1"/>
  <c r="BW169" i="2" a="1"/>
  <c r="BW169" i="2" s="1"/>
  <c r="BW170" i="2" a="1"/>
  <c r="BW170" i="2" s="1"/>
  <c r="BW171" i="2" a="1"/>
  <c r="BW171" i="2" s="1"/>
  <c r="BW172" i="2" a="1"/>
  <c r="BW172" i="2" s="1"/>
  <c r="BW173" i="2" a="1"/>
  <c r="BW173" i="2" s="1"/>
  <c r="BW174" i="2" a="1"/>
  <c r="BW174" i="2" s="1"/>
  <c r="BW175" i="2" a="1"/>
  <c r="BW175" i="2" s="1"/>
  <c r="BW176" i="2" a="1"/>
  <c r="BW176" i="2" s="1"/>
  <c r="BW177" i="2" a="1"/>
  <c r="BW177" i="2" s="1"/>
  <c r="BW178" i="2" a="1"/>
  <c r="BW178" i="2" s="1"/>
  <c r="BW179" i="2" a="1"/>
  <c r="BW179" i="2" s="1"/>
  <c r="BW180" i="2" a="1"/>
  <c r="BW180" i="2" s="1"/>
  <c r="BW181" i="2" a="1"/>
  <c r="BW181" i="2" s="1"/>
  <c r="BW182" i="2" a="1"/>
  <c r="BW182" i="2" s="1"/>
  <c r="BW183" i="2" a="1"/>
  <c r="BW183" i="2" s="1"/>
  <c r="BW184" i="2" a="1"/>
  <c r="BW184" i="2" s="1"/>
  <c r="BW185" i="2" a="1"/>
  <c r="BW185" i="2" s="1"/>
  <c r="BW186" i="2" a="1"/>
  <c r="BW186" i="2" s="1"/>
  <c r="BW187" i="2" a="1"/>
  <c r="BW187" i="2" s="1"/>
  <c r="BW188" i="2" a="1"/>
  <c r="BW188" i="2" s="1"/>
  <c r="BW189" i="2" a="1"/>
  <c r="BW189" i="2" s="1"/>
  <c r="BW190" i="2" a="1"/>
  <c r="BW190" i="2" s="1"/>
  <c r="BW191" i="2" a="1"/>
  <c r="BW191" i="2" s="1"/>
  <c r="BW192" i="2" a="1"/>
  <c r="BW192" i="2" s="1"/>
  <c r="BW193" i="2" a="1"/>
  <c r="BW193" i="2" s="1"/>
  <c r="BW194" i="2" a="1"/>
  <c r="BW194" i="2" s="1"/>
  <c r="BW195" i="2" a="1"/>
  <c r="BW195" i="2" s="1"/>
  <c r="BW196" i="2" a="1"/>
  <c r="BW196" i="2" s="1"/>
  <c r="BW197" i="2" a="1"/>
  <c r="BW197" i="2" s="1"/>
  <c r="BW198" i="2" a="1"/>
  <c r="BW198" i="2" s="1"/>
  <c r="BW199" i="2" a="1"/>
  <c r="BW199" i="2" s="1"/>
  <c r="BW200" i="2" a="1"/>
  <c r="BW200" i="2" s="1"/>
  <c r="BW201" i="2" a="1"/>
  <c r="BW201" i="2" s="1"/>
  <c r="BW202" i="2" a="1"/>
  <c r="BW202" i="2" s="1"/>
  <c r="BW203" i="2" a="1"/>
  <c r="BW203" i="2" s="1"/>
  <c r="BW204" i="2" a="1"/>
  <c r="BW204" i="2" s="1"/>
  <c r="BW205" i="2" a="1"/>
  <c r="BW205" i="2" s="1"/>
  <c r="BW206" i="2" a="1"/>
  <c r="BW206" i="2" s="1"/>
  <c r="BW207" i="2" a="1"/>
  <c r="BW207" i="2" s="1"/>
  <c r="BW209" i="2" a="1"/>
  <c r="BW209" i="2" s="1"/>
  <c r="BW208" i="2" a="1"/>
  <c r="BW208" i="2" s="1"/>
  <c r="BW210" i="2" a="1"/>
  <c r="BW210" i="2" s="1"/>
  <c r="BW211" i="2" a="1"/>
  <c r="BW211" i="2" s="1"/>
  <c r="BW212" i="2" a="1"/>
  <c r="BW212" i="2" s="1"/>
  <c r="BW213" i="2" a="1"/>
  <c r="BW213" i="2" s="1"/>
  <c r="BW214" i="2" a="1"/>
  <c r="BW214" i="2" s="1"/>
  <c r="BW215" i="2" a="1"/>
  <c r="BW215" i="2" s="1"/>
  <c r="BW216" i="2" a="1"/>
  <c r="BW216" i="2" s="1"/>
  <c r="BW217" i="2" a="1"/>
  <c r="BW217" i="2" s="1"/>
  <c r="BW218" i="2" a="1"/>
  <c r="BW218" i="2" s="1"/>
  <c r="BW219" i="2" a="1"/>
  <c r="BW219" i="2" s="1"/>
  <c r="BW220" i="2" a="1"/>
  <c r="BW220" i="2" s="1"/>
  <c r="BW221" i="2" a="1"/>
  <c r="BW221" i="2" s="1"/>
  <c r="BW222" i="2" a="1"/>
  <c r="BW222" i="2" s="1"/>
  <c r="BW223" i="2" a="1"/>
  <c r="BW223" i="2" s="1"/>
  <c r="BW224" i="2" a="1"/>
  <c r="BW224" i="2" s="1"/>
  <c r="BW225" i="2" a="1"/>
  <c r="BW225" i="2" s="1"/>
  <c r="BW226" i="2" a="1"/>
  <c r="BW226" i="2" s="1"/>
  <c r="BW227" i="2" a="1"/>
  <c r="BW227" i="2" s="1"/>
  <c r="BW228" i="2" a="1"/>
  <c r="BW228" i="2" s="1"/>
  <c r="BW229" i="2" a="1"/>
  <c r="BW229" i="2" s="1"/>
  <c r="BW230" i="2" a="1"/>
  <c r="BW230" i="2" s="1"/>
  <c r="BW231" i="2" a="1"/>
  <c r="BW231" i="2" s="1"/>
  <c r="BW232" i="2" a="1"/>
  <c r="BW232" i="2" s="1"/>
  <c r="BW233" i="2" a="1"/>
  <c r="BW233" i="2" s="1"/>
  <c r="BW234" i="2" a="1"/>
  <c r="BW234" i="2" s="1"/>
  <c r="BW235" i="2" a="1"/>
  <c r="BW235" i="2" s="1"/>
  <c r="BW236" i="2" a="1"/>
  <c r="BW236" i="2" s="1"/>
  <c r="BW237" i="2" a="1"/>
  <c r="BW237" i="2" s="1"/>
  <c r="BW238" i="2" a="1"/>
  <c r="BW238" i="2" s="1"/>
  <c r="BW239" i="2" a="1"/>
  <c r="BW239" i="2" s="1"/>
  <c r="BW240" i="2" a="1"/>
  <c r="BW240" i="2" s="1"/>
  <c r="BW241" i="2" a="1"/>
  <c r="BW241" i="2" s="1"/>
  <c r="BW242" i="2" a="1"/>
  <c r="BW242" i="2" s="1"/>
  <c r="BW243" i="2" a="1"/>
  <c r="BW243" i="2" s="1"/>
  <c r="BW244" i="2" a="1"/>
  <c r="BW244" i="2" s="1"/>
  <c r="BW245" i="2" a="1"/>
  <c r="BW245" i="2" s="1"/>
  <c r="BW246" i="2" a="1"/>
  <c r="BW246" i="2" s="1"/>
  <c r="BW247" i="2" a="1"/>
  <c r="BW247" i="2" s="1"/>
  <c r="BW248" i="2" a="1"/>
  <c r="BW248" i="2" s="1"/>
  <c r="BW249" i="2" a="1"/>
  <c r="BW249" i="2" s="1"/>
  <c r="BW250" i="2" a="1"/>
  <c r="BW250" i="2" s="1"/>
  <c r="BW251" i="2" a="1"/>
  <c r="BW251" i="2" s="1"/>
  <c r="BW252" i="2" a="1"/>
  <c r="BW252" i="2" s="1"/>
  <c r="BW253" i="2" a="1"/>
  <c r="BW253" i="2" s="1"/>
  <c r="BW254" i="2" a="1"/>
  <c r="BW254" i="2" s="1"/>
  <c r="BW255" i="2" a="1"/>
  <c r="BW255" i="2" s="1"/>
  <c r="BW256" i="2" a="1"/>
  <c r="BW256" i="2" s="1"/>
  <c r="BW257" i="2" a="1"/>
  <c r="BW257" i="2" s="1"/>
  <c r="BW258" i="2" a="1"/>
  <c r="BW258" i="2" s="1"/>
  <c r="BW259" i="2" a="1"/>
  <c r="BW259" i="2" s="1"/>
  <c r="BW260" i="2" a="1"/>
  <c r="BW260" i="2" s="1"/>
  <c r="BW261" i="2" a="1"/>
  <c r="BW261" i="2" s="1"/>
  <c r="BW262" i="2" a="1"/>
  <c r="BW262" i="2" s="1"/>
  <c r="BW263" i="2" a="1"/>
  <c r="BW263" i="2" s="1"/>
  <c r="BW264" i="2" a="1"/>
  <c r="BW264" i="2" s="1"/>
  <c r="BW265" i="2" a="1"/>
  <c r="BW265" i="2" s="1"/>
  <c r="BW266" i="2" a="1"/>
  <c r="BW266" i="2" s="1"/>
  <c r="BW267" i="2" a="1"/>
  <c r="BW267" i="2" s="1"/>
  <c r="BW268" i="2" a="1"/>
  <c r="BW268" i="2" s="1"/>
  <c r="BW269" i="2" a="1"/>
  <c r="BW269" i="2" s="1"/>
  <c r="BW270" i="2" a="1"/>
  <c r="BW270" i="2" s="1"/>
  <c r="BW271" i="2" a="1"/>
  <c r="BW271" i="2" s="1"/>
  <c r="BW272" i="2" a="1"/>
  <c r="BW272" i="2" s="1"/>
  <c r="BW273" i="2" a="1"/>
  <c r="BW273" i="2" s="1"/>
  <c r="BW274" i="2" a="1"/>
  <c r="BW274" i="2" s="1"/>
  <c r="BW275" i="2" a="1"/>
  <c r="BW275" i="2" s="1"/>
  <c r="BW276" i="2" a="1"/>
  <c r="BW276" i="2" s="1"/>
  <c r="BW277" i="2" a="1"/>
  <c r="BW277" i="2" s="1"/>
  <c r="BW278" i="2" a="1"/>
  <c r="BW278" i="2" s="1"/>
  <c r="BW279" i="2" a="1"/>
  <c r="BW279" i="2" s="1"/>
  <c r="BW280" i="2" a="1"/>
  <c r="BW280" i="2" s="1"/>
  <c r="BW281" i="2" a="1"/>
  <c r="BW281" i="2" s="1"/>
  <c r="BW282" i="2" a="1"/>
  <c r="BW282"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0" i="2" a="1"/>
  <c r="BW300" i="2" s="1"/>
  <c r="BW301" i="2" a="1"/>
  <c r="BW301" i="2" s="1"/>
  <c r="BW302" i="2" a="1"/>
  <c r="BW302" i="2" s="1"/>
  <c r="BW303" i="2" a="1"/>
  <c r="BW303" i="2" s="1"/>
  <c r="BW304" i="2" a="1"/>
  <c r="BW304" i="2" s="1"/>
  <c r="BW305" i="2" a="1"/>
  <c r="BW305" i="2" s="1"/>
  <c r="BW306" i="2" a="1"/>
  <c r="BW306" i="2" s="1"/>
  <c r="BW307" i="2" a="1"/>
  <c r="BW307" i="2" s="1"/>
  <c r="BW308" i="2" a="1"/>
  <c r="BW308" i="2" s="1"/>
  <c r="BW309" i="2" a="1"/>
  <c r="BW309" i="2" s="1"/>
  <c r="BW310" i="2" a="1"/>
  <c r="BW310" i="2" s="1"/>
  <c r="BW311" i="2" a="1"/>
  <c r="BW311" i="2" s="1"/>
  <c r="BW312" i="2" a="1"/>
  <c r="BW312" i="2" s="1"/>
  <c r="BW313" i="2" a="1"/>
  <c r="BW313" i="2" s="1"/>
  <c r="BW314" i="2" a="1"/>
  <c r="BW314" i="2" s="1"/>
  <c r="BW315" i="2" a="1"/>
  <c r="BW315" i="2" s="1"/>
  <c r="BW316" i="2" a="1"/>
  <c r="BW316" i="2" s="1"/>
  <c r="BW317" i="2" a="1"/>
  <c r="BW317" i="2" s="1"/>
  <c r="BW318" i="2" a="1"/>
  <c r="BW318" i="2" s="1"/>
  <c r="BW319" i="2" a="1"/>
  <c r="BW319" i="2" s="1"/>
  <c r="BW320" i="2" a="1"/>
  <c r="BW320" i="2" s="1"/>
  <c r="BW321" i="2" a="1"/>
  <c r="BW321" i="2" s="1"/>
  <c r="BW322" i="2" a="1"/>
  <c r="BW322" i="2" s="1"/>
  <c r="BW323" i="2" a="1"/>
  <c r="BW323" i="2" s="1"/>
  <c r="BW324" i="2" a="1"/>
  <c r="BW324" i="2" s="1"/>
  <c r="BW325" i="2" a="1"/>
  <c r="BW325" i="2" s="1"/>
  <c r="BW326" i="2" a="1"/>
  <c r="BW326" i="2" s="1"/>
  <c r="BW327" i="2" a="1"/>
  <c r="BW327" i="2" s="1"/>
  <c r="BW328" i="2" a="1"/>
  <c r="BW328" i="2" s="1"/>
  <c r="BW329" i="2" a="1"/>
  <c r="BW329" i="2" s="1"/>
  <c r="BW330" i="2" a="1"/>
  <c r="BW330" i="2" s="1"/>
  <c r="BW331" i="2" a="1"/>
  <c r="BW331" i="2" s="1"/>
  <c r="BW332" i="2" a="1"/>
  <c r="BW332" i="2" s="1"/>
  <c r="BW333" i="2" a="1"/>
  <c r="BW333" i="2" s="1"/>
  <c r="BW334" i="2" a="1"/>
  <c r="BW334" i="2" s="1"/>
  <c r="BW335" i="2" a="1"/>
  <c r="BW335" i="2" s="1"/>
  <c r="BW336" i="2" a="1"/>
  <c r="BW336" i="2" s="1"/>
  <c r="BW337" i="2" a="1"/>
  <c r="BW337" i="2" s="1"/>
  <c r="BW338" i="2" a="1"/>
  <c r="BW338" i="2" s="1"/>
  <c r="BW339" i="2" a="1"/>
  <c r="BW339" i="2" s="1"/>
  <c r="BW340" i="2" a="1"/>
  <c r="BW340" i="2" s="1"/>
  <c r="BW341" i="2" a="1"/>
  <c r="BW341" i="2" s="1"/>
  <c r="BW342" i="2" a="1"/>
  <c r="BW342" i="2" s="1"/>
  <c r="BW343" i="2" a="1"/>
  <c r="BW343" i="2" s="1"/>
  <c r="BW344" i="2" a="1"/>
  <c r="BW344" i="2" s="1"/>
  <c r="BW345" i="2" a="1"/>
  <c r="BW345" i="2" s="1"/>
  <c r="BW347" i="2" a="1"/>
  <c r="BW347" i="2" s="1"/>
  <c r="BW348" i="2" a="1"/>
  <c r="BW348" i="2" s="1"/>
  <c r="BW349" i="2" a="1"/>
  <c r="BW349" i="2" s="1"/>
  <c r="BW350" i="2" a="1"/>
  <c r="BW350" i="2" s="1"/>
  <c r="BW351" i="2" a="1"/>
  <c r="BW351" i="2" s="1"/>
  <c r="BW352" i="2" a="1"/>
  <c r="BW352" i="2" s="1"/>
  <c r="BW353" i="2" a="1"/>
  <c r="BW353" i="2" s="1"/>
  <c r="BW354" i="2" a="1"/>
  <c r="BW354" i="2" s="1"/>
  <c r="BW355" i="2" a="1"/>
  <c r="BW355" i="2" s="1"/>
  <c r="BW356" i="2" a="1"/>
  <c r="BW356" i="2" s="1"/>
  <c r="BW357" i="2" a="1"/>
  <c r="BW357" i="2" s="1"/>
  <c r="BW358" i="2" a="1"/>
  <c r="BW358" i="2" s="1"/>
  <c r="BW359" i="2" a="1"/>
  <c r="BW359" i="2" s="1"/>
  <c r="BW360" i="2" a="1"/>
  <c r="BW360" i="2" s="1"/>
  <c r="BW361" i="2" a="1"/>
  <c r="BW361" i="2" s="1"/>
  <c r="BW362" i="2" a="1"/>
  <c r="BW362" i="2" s="1"/>
  <c r="BW363" i="2" a="1"/>
  <c r="BW363" i="2" s="1"/>
  <c r="BW364" i="2" a="1"/>
  <c r="BW364" i="2" s="1"/>
  <c r="BW365" i="2" a="1"/>
  <c r="BW365" i="2" s="1"/>
  <c r="BW366" i="2" a="1"/>
  <c r="BW366" i="2" s="1"/>
  <c r="BW367" i="2" a="1"/>
  <c r="BW367" i="2" s="1"/>
  <c r="BW368" i="2" a="1"/>
  <c r="BW368" i="2" s="1"/>
  <c r="BW369" i="2" a="1"/>
  <c r="BW369" i="2" s="1"/>
  <c r="BW370" i="2" a="1"/>
  <c r="BW370" i="2" s="1"/>
  <c r="BW371" i="2" a="1"/>
  <c r="BW371" i="2" s="1"/>
  <c r="BW372" i="2" a="1"/>
  <c r="BW372" i="2" s="1"/>
  <c r="BW373" i="2" a="1"/>
  <c r="BW373" i="2" s="1"/>
  <c r="BW374" i="2" a="1"/>
  <c r="BW374" i="2" s="1"/>
  <c r="BW375" i="2" a="1"/>
  <c r="BW375" i="2" s="1"/>
  <c r="BW376" i="2" a="1"/>
  <c r="BW376" i="2" s="1"/>
  <c r="BW377" i="2" a="1"/>
  <c r="BW377" i="2" s="1"/>
  <c r="BW378" i="2" a="1"/>
  <c r="BW378" i="2" s="1"/>
  <c r="BW379" i="2" a="1"/>
  <c r="BW379" i="2" s="1"/>
  <c r="BW380" i="2" a="1"/>
  <c r="BW380" i="2" s="1"/>
  <c r="BW381" i="2" a="1"/>
  <c r="BW381" i="2" s="1"/>
  <c r="BW382" i="2" a="1"/>
  <c r="BW382" i="2" s="1"/>
  <c r="BW383" i="2" a="1"/>
  <c r="BW383" i="2" s="1"/>
  <c r="BW384" i="2" a="1"/>
  <c r="BW384" i="2" s="1"/>
  <c r="BW385" i="2" a="1"/>
  <c r="BW385" i="2" s="1"/>
  <c r="BW386" i="2" a="1"/>
  <c r="BW386" i="2" s="1"/>
  <c r="BW387" i="2" a="1"/>
  <c r="BW387" i="2" s="1"/>
  <c r="BW388" i="2" a="1"/>
  <c r="BW388" i="2" s="1"/>
  <c r="BW389" i="2" a="1"/>
  <c r="BW389" i="2" s="1"/>
  <c r="BW390" i="2" a="1"/>
  <c r="BW390" i="2" s="1"/>
  <c r="BW392" i="2" a="1"/>
  <c r="BW392" i="2" s="1"/>
  <c r="BW393" i="2" a="1"/>
  <c r="BW393" i="2" s="1"/>
  <c r="BW394" i="2" a="1"/>
  <c r="BW394" i="2" s="1"/>
  <c r="BW396" i="2" a="1"/>
  <c r="BW396" i="2" s="1"/>
  <c r="BW397" i="2" a="1"/>
  <c r="BW397" i="2" s="1"/>
  <c r="BW398" i="2" a="1"/>
  <c r="BW398" i="2" s="1"/>
  <c r="BW399" i="2" a="1"/>
  <c r="BW399" i="2" s="1"/>
  <c r="BW400" i="2" a="1"/>
  <c r="BW400" i="2" s="1"/>
  <c r="BW401" i="2" a="1"/>
  <c r="BW401" i="2" s="1"/>
  <c r="BW402" i="2" a="1"/>
  <c r="BW402" i="2" s="1"/>
  <c r="BW406" i="2" a="1"/>
  <c r="BW406" i="2" s="1"/>
  <c r="BW415" i="2" a="1"/>
  <c r="BW415" i="2" s="1"/>
  <c r="BW416" i="2" a="1"/>
  <c r="BW416" i="2" s="1"/>
  <c r="BW417" i="2" a="1"/>
  <c r="BW417" i="2" s="1"/>
  <c r="BW418" i="2" a="1"/>
  <c r="BW418" i="2" s="1"/>
  <c r="BW423" i="2" a="1"/>
  <c r="BW423" i="2" s="1"/>
  <c r="BW431" i="2" a="1"/>
  <c r="BW431" i="2" s="1"/>
  <c r="BW432" i="2" a="1"/>
  <c r="BW432" i="2" s="1"/>
  <c r="BW436" i="2" a="1"/>
  <c r="BW436" i="2" s="1"/>
  <c r="BW437" i="2" a="1"/>
  <c r="BW437" i="2" s="1"/>
  <c r="BW441" i="2" a="1"/>
  <c r="BW441" i="2" s="1"/>
  <c r="BW442" i="2" a="1"/>
  <c r="BW442" i="2" s="1"/>
  <c r="BW445" i="2" a="1"/>
  <c r="BW445" i="2" s="1"/>
  <c r="BW446" i="2" a="1"/>
  <c r="BW446" i="2" s="1"/>
  <c r="BW447" i="2" a="1"/>
  <c r="BW447" i="2" s="1"/>
  <c r="BW448" i="2" a="1"/>
  <c r="BW448" i="2" s="1"/>
  <c r="BW449" i="2" a="1"/>
  <c r="BW449" i="2" s="1"/>
  <c r="BW450" i="2" a="1"/>
  <c r="BW450" i="2" s="1"/>
  <c r="BW451" i="2" a="1"/>
  <c r="BW451" i="2" s="1"/>
  <c r="BW453" i="2" a="1"/>
  <c r="BW453" i="2" s="1"/>
  <c r="BW454" i="2" a="1"/>
  <c r="BW454" i="2" s="1"/>
  <c r="BW455" i="2" a="1"/>
  <c r="BW455" i="2" s="1"/>
  <c r="BW459" i="2" a="1"/>
  <c r="BW459" i="2" s="1"/>
  <c r="BW460" i="2" a="1"/>
  <c r="BW460" i="2" s="1"/>
  <c r="BW465" i="2" a="1"/>
  <c r="BW465" i="2" s="1"/>
  <c r="BW466" i="2" a="1"/>
  <c r="BW466" i="2" s="1"/>
  <c r="BW467" i="2" a="1"/>
  <c r="BW467" i="2" s="1"/>
  <c r="BW468" i="2" a="1"/>
  <c r="BW468" i="2" s="1"/>
  <c r="BW470" i="2" a="1"/>
  <c r="BW470" i="2" s="1"/>
  <c r="BW471" i="2" a="1"/>
  <c r="BW471" i="2" s="1"/>
  <c r="BW472" i="2" a="1"/>
  <c r="BW472" i="2" s="1"/>
  <c r="BW473" i="2" a="1"/>
  <c r="BW473" i="2" s="1"/>
  <c r="BW474" i="2" a="1"/>
  <c r="BW474" i="2" s="1"/>
  <c r="BW476" i="2" a="1"/>
  <c r="BW476" i="2" s="1"/>
  <c r="BW4" i="2" a="1"/>
  <c r="BW4" i="2" s="1"/>
  <c r="BV4" i="2" a="1"/>
  <c r="BV4" i="2" s="1"/>
  <c r="BV5" i="2" a="1"/>
  <c r="BV5" i="2" s="1"/>
  <c r="BV6" i="2" a="1"/>
  <c r="BV6" i="2" s="1"/>
  <c r="BV7" i="2" a="1"/>
  <c r="BV7" i="2" s="1"/>
  <c r="BV8" i="2" a="1"/>
  <c r="BV8" i="2" s="1"/>
  <c r="BV9" i="2" a="1"/>
  <c r="BV9" i="2" s="1"/>
  <c r="BV10" i="2" a="1"/>
  <c r="BV10" i="2" s="1"/>
  <c r="BV11" i="2" a="1"/>
  <c r="BV11" i="2" s="1"/>
  <c r="BV12" i="2" a="1"/>
  <c r="BV12" i="2" s="1"/>
  <c r="BV13" i="2" a="1"/>
  <c r="BV13" i="2" s="1"/>
  <c r="BV14" i="2" a="1"/>
  <c r="BV14" i="2" s="1"/>
  <c r="BV15" i="2" a="1"/>
  <c r="BV15" i="2" s="1"/>
  <c r="BV16" i="2" a="1"/>
  <c r="BV16" i="2" s="1"/>
  <c r="BV17" i="2" a="1"/>
  <c r="BV17" i="2" s="1"/>
  <c r="BV18" i="2" a="1"/>
  <c r="BV18" i="2" s="1"/>
  <c r="BV19" i="2" a="1"/>
  <c r="BV19" i="2" s="1"/>
  <c r="BV20" i="2" a="1"/>
  <c r="BV20" i="2" s="1"/>
  <c r="BV21" i="2" a="1"/>
  <c r="BV21" i="2" s="1"/>
  <c r="BV22" i="2" a="1"/>
  <c r="BV22" i="2" s="1"/>
  <c r="BV23" i="2" a="1"/>
  <c r="BV23" i="2" s="1"/>
  <c r="BV24" i="2" a="1"/>
  <c r="BV24" i="2" s="1"/>
  <c r="BV25" i="2" a="1"/>
  <c r="BV25" i="2" s="1"/>
  <c r="BV26" i="2" a="1"/>
  <c r="BV26" i="2" s="1"/>
  <c r="BV27" i="2" a="1"/>
  <c r="BV27" i="2" s="1"/>
  <c r="BV28" i="2" a="1"/>
  <c r="BV28" i="2" s="1"/>
  <c r="BV29" i="2" a="1"/>
  <c r="BV29" i="2" s="1"/>
  <c r="BV30" i="2" a="1"/>
  <c r="BV30" i="2" s="1"/>
  <c r="BV31" i="2" a="1"/>
  <c r="BV31" i="2" s="1"/>
  <c r="BV32" i="2" a="1"/>
  <c r="BV32" i="2" s="1"/>
  <c r="BV33" i="2" a="1"/>
  <c r="BV33" i="2" s="1"/>
  <c r="BV34" i="2" a="1"/>
  <c r="BV34" i="2" s="1"/>
  <c r="BV35" i="2" a="1"/>
  <c r="BV35" i="2" s="1"/>
  <c r="BV36" i="2" a="1"/>
  <c r="BV36" i="2" s="1"/>
  <c r="BV37" i="2" a="1"/>
  <c r="BV37"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9" i="2" a="1"/>
  <c r="BV49" i="2" s="1"/>
  <c r="BV50" i="2" a="1"/>
  <c r="BV50" i="2" s="1"/>
  <c r="BV51" i="2" a="1"/>
  <c r="BV51" i="2" s="1"/>
  <c r="BV52" i="2" a="1"/>
  <c r="BV52" i="2" s="1"/>
  <c r="BV53" i="2" a="1"/>
  <c r="BV53" i="2" s="1"/>
  <c r="BV54" i="2" a="1"/>
  <c r="BV54" i="2" s="1"/>
  <c r="BV55" i="2" a="1"/>
  <c r="BV55" i="2" s="1"/>
  <c r="BV56" i="2" a="1"/>
  <c r="BV56" i="2" s="1"/>
  <c r="BV57" i="2" a="1"/>
  <c r="BV57" i="2" s="1"/>
  <c r="BV58" i="2" a="1"/>
  <c r="BV58" i="2" s="1"/>
  <c r="BV59" i="2" a="1"/>
  <c r="BV59" i="2" s="1"/>
  <c r="BV61" i="2" a="1"/>
  <c r="BV61" i="2" s="1"/>
  <c r="BV62" i="2" a="1"/>
  <c r="BV62" i="2" s="1"/>
  <c r="BV63" i="2" a="1"/>
  <c r="BV63" i="2" s="1"/>
  <c r="BV64" i="2" a="1"/>
  <c r="BV64" i="2" s="1"/>
  <c r="BV65" i="2" a="1"/>
  <c r="BV65"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78" i="2" a="1"/>
  <c r="BV78" i="2" s="1"/>
  <c r="BV79" i="2" a="1"/>
  <c r="BV79" i="2" s="1"/>
  <c r="BV80" i="2" a="1"/>
  <c r="BV80" i="2" s="1"/>
  <c r="BV81" i="2" a="1"/>
  <c r="BV81" i="2" s="1"/>
  <c r="BV82" i="2" a="1"/>
  <c r="BV82" i="2" s="1"/>
  <c r="BV83" i="2" a="1"/>
  <c r="BV83" i="2" s="1"/>
  <c r="BV84" i="2" a="1"/>
  <c r="BV84" i="2" s="1"/>
  <c r="BV85" i="2" a="1"/>
  <c r="BV85" i="2" s="1"/>
  <c r="BV86" i="2" a="1"/>
  <c r="BV86" i="2" s="1"/>
  <c r="BV87" i="2" a="1"/>
  <c r="BV87" i="2" s="1"/>
  <c r="BV88" i="2" a="1"/>
  <c r="BV88" i="2" s="1"/>
  <c r="BV89" i="2" a="1"/>
  <c r="BV89" i="2" s="1"/>
  <c r="BV90" i="2" a="1"/>
  <c r="BV90" i="2" s="1"/>
  <c r="BV91" i="2" a="1"/>
  <c r="BV91" i="2" s="1"/>
  <c r="BV92" i="2" a="1"/>
  <c r="BV92" i="2" s="1"/>
  <c r="BV93" i="2" a="1"/>
  <c r="BV93" i="2" s="1"/>
  <c r="BV94" i="2" a="1"/>
  <c r="BV94" i="2" s="1"/>
  <c r="BV95" i="2" a="1"/>
  <c r="BV95" i="2" s="1"/>
  <c r="BV96" i="2" a="1"/>
  <c r="BV96" i="2" s="1"/>
  <c r="BV97" i="2" a="1"/>
  <c r="BV97" i="2" s="1"/>
  <c r="BV98" i="2" a="1"/>
  <c r="BV98" i="2" s="1"/>
  <c r="BV99" i="2" a="1"/>
  <c r="BV99" i="2" s="1"/>
  <c r="BV100" i="2" a="1"/>
  <c r="BV100"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113" i="2" a="1"/>
  <c r="BV113" i="2" s="1"/>
  <c r="BV114" i="2" a="1"/>
  <c r="BV114" i="2" s="1"/>
  <c r="BV115" i="2" a="1"/>
  <c r="BV115" i="2" s="1"/>
  <c r="BV116" i="2" a="1"/>
  <c r="BV116" i="2" s="1"/>
  <c r="BV117" i="2" a="1"/>
  <c r="BV117" i="2" s="1"/>
  <c r="BV118" i="2" a="1"/>
  <c r="BV118" i="2" s="1"/>
  <c r="BV119" i="2" a="1"/>
  <c r="BV119" i="2" s="1"/>
  <c r="BV120" i="2" a="1"/>
  <c r="BV120" i="2" s="1"/>
  <c r="BV121" i="2" a="1"/>
  <c r="BV121" i="2" s="1"/>
  <c r="BV122" i="2" a="1"/>
  <c r="BV122" i="2" s="1"/>
  <c r="BV123" i="2" a="1"/>
  <c r="BV123" i="2" s="1"/>
  <c r="BV124" i="2" a="1"/>
  <c r="BV124" i="2" s="1"/>
  <c r="BV125" i="2" a="1"/>
  <c r="BV125" i="2" s="1"/>
  <c r="BV126" i="2" a="1"/>
  <c r="BV126" i="2" s="1"/>
  <c r="BV127" i="2" a="1"/>
  <c r="BV127" i="2" s="1"/>
  <c r="BV128" i="2" a="1"/>
  <c r="BV128" i="2" s="1"/>
  <c r="BV129" i="2" a="1"/>
  <c r="BV129" i="2" s="1"/>
  <c r="BV130" i="2" a="1"/>
  <c r="BV130" i="2" s="1"/>
  <c r="BV131" i="2" a="1"/>
  <c r="BV131" i="2" s="1"/>
  <c r="BV133" i="2" a="1"/>
  <c r="BV133" i="2" s="1"/>
  <c r="BV134" i="2" a="1"/>
  <c r="BV134" i="2" s="1"/>
  <c r="BV135" i="2" a="1"/>
  <c r="BV135" i="2" s="1"/>
  <c r="BV136" i="2" a="1"/>
  <c r="BV136" i="2" s="1"/>
  <c r="BV137" i="2" a="1"/>
  <c r="BV137" i="2" s="1"/>
  <c r="BV138" i="2" a="1"/>
  <c r="BV138" i="2" s="1"/>
  <c r="BV140" i="2" a="1"/>
  <c r="BV140" i="2" s="1"/>
  <c r="BV141" i="2" a="1"/>
  <c r="BV141" i="2" s="1"/>
  <c r="BV142" i="2" a="1"/>
  <c r="BV142" i="2" s="1"/>
  <c r="BV144" i="2" a="1"/>
  <c r="BV144" i="2" s="1"/>
  <c r="BV145" i="2" a="1"/>
  <c r="BV145" i="2" s="1"/>
  <c r="BV146" i="2" a="1"/>
  <c r="BV146" i="2" s="1"/>
  <c r="BV147" i="2" a="1"/>
  <c r="BV147" i="2" s="1"/>
  <c r="BV148" i="2" a="1"/>
  <c r="BV148" i="2" s="1"/>
  <c r="BV149" i="2" a="1"/>
  <c r="BV149" i="2" s="1"/>
  <c r="BV151" i="2" a="1"/>
  <c r="BV151" i="2" s="1"/>
  <c r="BV152" i="2" a="1"/>
  <c r="BV152" i="2" s="1"/>
  <c r="BV153" i="2" a="1"/>
  <c r="BV153" i="2" s="1"/>
  <c r="BV154" i="2" a="1"/>
  <c r="BV154" i="2" s="1"/>
  <c r="BV155" i="2" a="1"/>
  <c r="BV155" i="2" s="1"/>
  <c r="BV156" i="2" a="1"/>
  <c r="BV156" i="2" s="1"/>
  <c r="BV157" i="2" a="1"/>
  <c r="BV157" i="2" s="1"/>
  <c r="BV158" i="2" a="1"/>
  <c r="BV158" i="2" s="1"/>
  <c r="BV159" i="2" a="1"/>
  <c r="BV159" i="2" s="1"/>
  <c r="BV160" i="2" a="1"/>
  <c r="BV160" i="2" s="1"/>
  <c r="BV161" i="2" a="1"/>
  <c r="BV161" i="2" s="1"/>
  <c r="BV162" i="2" a="1"/>
  <c r="BV162" i="2" s="1"/>
  <c r="BV163" i="2" a="1"/>
  <c r="BV163" i="2" s="1"/>
  <c r="BV164" i="2" a="1"/>
  <c r="BV164" i="2" s="1"/>
  <c r="BV165" i="2" a="1"/>
  <c r="BV165" i="2" s="1"/>
  <c r="BV166" i="2" a="1"/>
  <c r="BV166" i="2" s="1"/>
  <c r="BV167" i="2" a="1"/>
  <c r="BV167" i="2" s="1"/>
  <c r="BV168" i="2" a="1"/>
  <c r="BV168" i="2" s="1"/>
  <c r="BV169" i="2" a="1"/>
  <c r="BV169" i="2" s="1"/>
  <c r="BV170" i="2" a="1"/>
  <c r="BV170" i="2" s="1"/>
  <c r="BV171" i="2" a="1"/>
  <c r="BV171" i="2" s="1"/>
  <c r="BV172" i="2" a="1"/>
  <c r="BV172" i="2" s="1"/>
  <c r="BV173" i="2" a="1"/>
  <c r="BV173" i="2" s="1"/>
  <c r="BV174" i="2" a="1"/>
  <c r="BV174" i="2" s="1"/>
  <c r="BV175" i="2" a="1"/>
  <c r="BV175" i="2" s="1"/>
  <c r="BV176" i="2" a="1"/>
  <c r="BV176" i="2" s="1"/>
  <c r="BV177" i="2" a="1"/>
  <c r="BV177" i="2" s="1"/>
  <c r="BV178" i="2" a="1"/>
  <c r="BV178" i="2" s="1"/>
  <c r="BV179" i="2" a="1"/>
  <c r="BV179" i="2" s="1"/>
  <c r="BV180" i="2" a="1"/>
  <c r="BV180" i="2" s="1"/>
  <c r="BV181" i="2" a="1"/>
  <c r="BV181" i="2" s="1"/>
  <c r="BV182" i="2" a="1"/>
  <c r="BV182" i="2" s="1"/>
  <c r="BV183" i="2" a="1"/>
  <c r="BV183" i="2" s="1"/>
  <c r="BV184" i="2" a="1"/>
  <c r="BV184" i="2" s="1"/>
  <c r="BV185" i="2" a="1"/>
  <c r="BV185" i="2" s="1"/>
  <c r="BV186" i="2" a="1"/>
  <c r="BV186" i="2" s="1"/>
  <c r="BV187" i="2" a="1"/>
  <c r="BV187" i="2" s="1"/>
  <c r="BV188" i="2" a="1"/>
  <c r="BV188" i="2" s="1"/>
  <c r="BV189" i="2" a="1"/>
  <c r="BV189" i="2" s="1"/>
  <c r="BV190" i="2" a="1"/>
  <c r="BV190" i="2" s="1"/>
  <c r="BV191" i="2" a="1"/>
  <c r="BV191" i="2" s="1"/>
  <c r="BV192" i="2" a="1"/>
  <c r="BV192" i="2" s="1"/>
  <c r="BV193" i="2" a="1"/>
  <c r="BV193" i="2" s="1"/>
  <c r="BV194" i="2" a="1"/>
  <c r="BV194" i="2" s="1"/>
  <c r="BV195" i="2" a="1"/>
  <c r="BV195" i="2" s="1"/>
  <c r="BV196" i="2" a="1"/>
  <c r="BV196" i="2" s="1"/>
  <c r="BV197" i="2" a="1"/>
  <c r="BV197" i="2" s="1"/>
  <c r="BV198" i="2" a="1"/>
  <c r="BV198" i="2" s="1"/>
  <c r="BV199" i="2" a="1"/>
  <c r="BV199" i="2" s="1"/>
  <c r="BV200" i="2" a="1"/>
  <c r="BV200" i="2" s="1"/>
  <c r="BV201" i="2" a="1"/>
  <c r="BV201" i="2" s="1"/>
  <c r="BV202" i="2" a="1"/>
  <c r="BV202" i="2" s="1"/>
  <c r="BV203" i="2" a="1"/>
  <c r="BV203" i="2" s="1"/>
  <c r="BV204" i="2" a="1"/>
  <c r="BV204" i="2" s="1"/>
  <c r="BV205" i="2" a="1"/>
  <c r="BV205" i="2" s="1"/>
  <c r="BV206" i="2" a="1"/>
  <c r="BV206" i="2" s="1"/>
  <c r="BV207" i="2" a="1"/>
  <c r="BV207" i="2" s="1"/>
  <c r="BV209" i="2" a="1"/>
  <c r="BV209" i="2" s="1"/>
  <c r="BV208" i="2" a="1"/>
  <c r="BV208" i="2" s="1"/>
  <c r="BV210" i="2" a="1"/>
  <c r="BV210" i="2" s="1"/>
  <c r="BV211" i="2" a="1"/>
  <c r="BV211" i="2" s="1"/>
  <c r="BV212" i="2" a="1"/>
  <c r="BV212" i="2" s="1"/>
  <c r="BV213" i="2" a="1"/>
  <c r="BV213" i="2" s="1"/>
  <c r="BV214" i="2" a="1"/>
  <c r="BV214" i="2" s="1"/>
  <c r="BV215" i="2" a="1"/>
  <c r="BV215" i="2" s="1"/>
  <c r="BV216" i="2" a="1"/>
  <c r="BV216" i="2" s="1"/>
  <c r="BV217" i="2" a="1"/>
  <c r="BV217" i="2" s="1"/>
  <c r="BV218" i="2" a="1"/>
  <c r="BV218" i="2" s="1"/>
  <c r="BV219" i="2" a="1"/>
  <c r="BV219" i="2" s="1"/>
  <c r="BV220" i="2" a="1"/>
  <c r="BV220" i="2" s="1"/>
  <c r="BV221" i="2" a="1"/>
  <c r="BV221" i="2" s="1"/>
  <c r="BV222" i="2" a="1"/>
  <c r="BV222" i="2" s="1"/>
  <c r="BV223" i="2" a="1"/>
  <c r="BV223" i="2" s="1"/>
  <c r="BV224" i="2" a="1"/>
  <c r="BV224" i="2" s="1"/>
  <c r="BV225" i="2" a="1"/>
  <c r="BV225" i="2" s="1"/>
  <c r="BV226" i="2" a="1"/>
  <c r="BV226" i="2" s="1"/>
  <c r="BV227" i="2" a="1"/>
  <c r="BV227" i="2" s="1"/>
  <c r="BV228" i="2" a="1"/>
  <c r="BV228" i="2" s="1"/>
  <c r="BV229" i="2" a="1"/>
  <c r="BV229" i="2" s="1"/>
  <c r="BV230" i="2" a="1"/>
  <c r="BV230" i="2" s="1"/>
  <c r="BV231" i="2" a="1"/>
  <c r="BV231" i="2" s="1"/>
  <c r="BV233" i="2" a="1"/>
  <c r="BV233" i="2" s="1"/>
  <c r="BV234" i="2" a="1"/>
  <c r="BV234" i="2" s="1"/>
  <c r="BV235" i="2" a="1"/>
  <c r="BV235" i="2" s="1"/>
  <c r="BV236" i="2" a="1"/>
  <c r="BV236" i="2" s="1"/>
  <c r="BV237" i="2" a="1"/>
  <c r="BV237" i="2" s="1"/>
  <c r="BV238" i="2" a="1"/>
  <c r="BV238" i="2" s="1"/>
  <c r="BV239" i="2" a="1"/>
  <c r="BV239" i="2" s="1"/>
  <c r="BV240" i="2" a="1"/>
  <c r="BV240" i="2" s="1"/>
  <c r="BV241" i="2" a="1"/>
  <c r="BV241" i="2" s="1"/>
  <c r="BV242" i="2" a="1"/>
  <c r="BV242" i="2" s="1"/>
  <c r="BV243" i="2" a="1"/>
  <c r="BV243" i="2" s="1"/>
  <c r="BV244" i="2" a="1"/>
  <c r="BV244" i="2" s="1"/>
  <c r="BV245" i="2" a="1"/>
  <c r="BV245" i="2" s="1"/>
  <c r="BV246" i="2" a="1"/>
  <c r="BV246" i="2" s="1"/>
  <c r="BV247" i="2" a="1"/>
  <c r="BV247" i="2" s="1"/>
  <c r="BV248" i="2" a="1"/>
  <c r="BV248" i="2" s="1"/>
  <c r="BV249" i="2" a="1"/>
  <c r="BV249" i="2" s="1"/>
  <c r="BV250" i="2" a="1"/>
  <c r="BV250" i="2" s="1"/>
  <c r="BV251" i="2" a="1"/>
  <c r="BV251" i="2" s="1"/>
  <c r="BV252" i="2" a="1"/>
  <c r="BV252" i="2" s="1"/>
  <c r="BV253" i="2" a="1"/>
  <c r="BV253" i="2" s="1"/>
  <c r="BV254" i="2" a="1"/>
  <c r="BV254" i="2" s="1"/>
  <c r="BV255" i="2" a="1"/>
  <c r="BV255" i="2" s="1"/>
  <c r="BV256" i="2" a="1"/>
  <c r="BV256" i="2" s="1"/>
  <c r="BV257" i="2" a="1"/>
  <c r="BV257" i="2" s="1"/>
  <c r="BV258" i="2" a="1"/>
  <c r="BV258" i="2" s="1"/>
  <c r="BV259" i="2" a="1"/>
  <c r="BV259" i="2" s="1"/>
  <c r="BV260" i="2" a="1"/>
  <c r="BV260" i="2" s="1"/>
  <c r="BV261" i="2" a="1"/>
  <c r="BV261" i="2" s="1"/>
  <c r="BV262" i="2" a="1"/>
  <c r="BV262" i="2" s="1"/>
  <c r="BV263" i="2" a="1"/>
  <c r="BV263" i="2" s="1"/>
  <c r="BV264" i="2" a="1"/>
  <c r="BV264" i="2" s="1"/>
  <c r="BV265" i="2" a="1"/>
  <c r="BV265" i="2" s="1"/>
  <c r="BV266" i="2" a="1"/>
  <c r="BV266" i="2" s="1"/>
  <c r="BV267" i="2" a="1"/>
  <c r="BV267" i="2" s="1"/>
  <c r="BV268" i="2" a="1"/>
  <c r="BV268" i="2" s="1"/>
  <c r="BV269" i="2" a="1"/>
  <c r="BV269" i="2" s="1"/>
  <c r="BV270" i="2" a="1"/>
  <c r="BV270" i="2" s="1"/>
  <c r="BV271" i="2" a="1"/>
  <c r="BV271" i="2" s="1"/>
  <c r="BV272" i="2" a="1"/>
  <c r="BV272" i="2" s="1"/>
  <c r="BV273" i="2" a="1"/>
  <c r="BV273" i="2" s="1"/>
  <c r="BV274" i="2" a="1"/>
  <c r="BV274" i="2" s="1"/>
  <c r="BV275" i="2" a="1"/>
  <c r="BV275" i="2" s="1"/>
  <c r="BV276" i="2" a="1"/>
  <c r="BV276" i="2" s="1"/>
  <c r="BV277" i="2" a="1"/>
  <c r="BV277" i="2" s="1"/>
  <c r="BV278" i="2" a="1"/>
  <c r="BV278" i="2" s="1"/>
  <c r="BV279" i="2" a="1"/>
  <c r="BV279" i="2" s="1"/>
  <c r="BV280" i="2" a="1"/>
  <c r="BV280" i="2" s="1"/>
  <c r="BV281" i="2" a="1"/>
  <c r="BV281" i="2" s="1"/>
  <c r="BV282" i="2" a="1"/>
  <c r="BV282"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0" i="2" a="1"/>
  <c r="BV300" i="2" s="1"/>
  <c r="BV301" i="2" a="1"/>
  <c r="BV301" i="2" s="1"/>
  <c r="BV302" i="2" a="1"/>
  <c r="BV302" i="2" s="1"/>
  <c r="BV303" i="2" a="1"/>
  <c r="BV303" i="2" s="1"/>
  <c r="BV304" i="2" a="1"/>
  <c r="BV304" i="2" s="1"/>
  <c r="BV305" i="2" a="1"/>
  <c r="BV305" i="2" s="1"/>
  <c r="BV306" i="2" a="1"/>
  <c r="BV306" i="2" s="1"/>
  <c r="BV307" i="2" a="1"/>
  <c r="BV307" i="2" s="1"/>
  <c r="BV308" i="2" a="1"/>
  <c r="BV308" i="2" s="1"/>
  <c r="BV309" i="2" a="1"/>
  <c r="BV309" i="2" s="1"/>
  <c r="BV310" i="2" a="1"/>
  <c r="BV310" i="2" s="1"/>
  <c r="BV311" i="2" a="1"/>
  <c r="BV311" i="2" s="1"/>
  <c r="BV312" i="2" a="1"/>
  <c r="BV312" i="2" s="1"/>
  <c r="BV313" i="2" a="1"/>
  <c r="BV313" i="2" s="1"/>
  <c r="BV314" i="2" a="1"/>
  <c r="BV314" i="2" s="1"/>
  <c r="BV315" i="2" a="1"/>
  <c r="BV315" i="2" s="1"/>
  <c r="BV316" i="2" a="1"/>
  <c r="BV316" i="2" s="1"/>
  <c r="BV317" i="2" a="1"/>
  <c r="BV317" i="2" s="1"/>
  <c r="BV318" i="2" a="1"/>
  <c r="BV318" i="2" s="1"/>
  <c r="BV319" i="2" a="1"/>
  <c r="BV319" i="2" s="1"/>
  <c r="BV320" i="2" a="1"/>
  <c r="BV320" i="2" s="1"/>
  <c r="BV321" i="2" a="1"/>
  <c r="BV321" i="2" s="1"/>
  <c r="BV322" i="2" a="1"/>
  <c r="BV322" i="2" s="1"/>
  <c r="BV323" i="2" a="1"/>
  <c r="BV323" i="2" s="1"/>
  <c r="BV324" i="2" a="1"/>
  <c r="BV324" i="2" s="1"/>
  <c r="BV325" i="2" a="1"/>
  <c r="BV325" i="2" s="1"/>
  <c r="BV326" i="2" a="1"/>
  <c r="BV326" i="2" s="1"/>
  <c r="BV327" i="2" a="1"/>
  <c r="BV327" i="2" s="1"/>
  <c r="BV328" i="2" a="1"/>
  <c r="BV328" i="2" s="1"/>
  <c r="BV329" i="2" a="1"/>
  <c r="BV329" i="2" s="1"/>
  <c r="BV330" i="2" a="1"/>
  <c r="BV330" i="2" s="1"/>
  <c r="BV331" i="2" a="1"/>
  <c r="BV331" i="2" s="1"/>
  <c r="BV332" i="2" a="1"/>
  <c r="BV332" i="2" s="1"/>
  <c r="BV333" i="2" a="1"/>
  <c r="BV333" i="2" s="1"/>
  <c r="BV334" i="2" a="1"/>
  <c r="BV334" i="2" s="1"/>
  <c r="BV335" i="2" a="1"/>
  <c r="BV335" i="2" s="1"/>
  <c r="BV336" i="2" a="1"/>
  <c r="BV336" i="2" s="1"/>
  <c r="BV337" i="2" a="1"/>
  <c r="BV337" i="2" s="1"/>
  <c r="BV338" i="2" a="1"/>
  <c r="BV338" i="2" s="1"/>
  <c r="BV339" i="2" a="1"/>
  <c r="BV339" i="2" s="1"/>
  <c r="BV340" i="2" a="1"/>
  <c r="BV340" i="2" s="1"/>
  <c r="BV341" i="2" a="1"/>
  <c r="BV341" i="2" s="1"/>
  <c r="BV342" i="2" a="1"/>
  <c r="BV342" i="2" s="1"/>
  <c r="BV343" i="2" a="1"/>
  <c r="BV343" i="2" s="1"/>
  <c r="BV344" i="2" a="1"/>
  <c r="BV344" i="2" s="1"/>
  <c r="BV345" i="2" a="1"/>
  <c r="BV345" i="2" s="1"/>
  <c r="BV347" i="2" a="1"/>
  <c r="BV347" i="2" s="1"/>
  <c r="BV348" i="2" a="1"/>
  <c r="BV348" i="2" s="1"/>
  <c r="BV349" i="2" a="1"/>
  <c r="BV349" i="2" s="1"/>
  <c r="BV350" i="2" a="1"/>
  <c r="BV350" i="2" s="1"/>
  <c r="BV351" i="2" a="1"/>
  <c r="BV351" i="2" s="1"/>
  <c r="BV352" i="2" a="1"/>
  <c r="BV352" i="2" s="1"/>
  <c r="BV353" i="2" a="1"/>
  <c r="BV353" i="2" s="1"/>
  <c r="BV354" i="2" a="1"/>
  <c r="BV354" i="2" s="1"/>
  <c r="BV355" i="2" a="1"/>
  <c r="BV355" i="2" s="1"/>
  <c r="BV356" i="2" a="1"/>
  <c r="BV356" i="2" s="1"/>
  <c r="BV357" i="2" a="1"/>
  <c r="BV357" i="2" s="1"/>
  <c r="BV358" i="2" a="1"/>
  <c r="BV358" i="2" s="1"/>
  <c r="BV359" i="2" a="1"/>
  <c r="BV359" i="2" s="1"/>
  <c r="BV360" i="2" a="1"/>
  <c r="BV360" i="2" s="1"/>
  <c r="BV361" i="2" a="1"/>
  <c r="BV361" i="2" s="1"/>
  <c r="BV362" i="2" a="1"/>
  <c r="BV362" i="2" s="1"/>
  <c r="BV363" i="2" a="1"/>
  <c r="BV363" i="2" s="1"/>
  <c r="BV364" i="2" a="1"/>
  <c r="BV364" i="2" s="1"/>
  <c r="BV365" i="2" a="1"/>
  <c r="BV365" i="2" s="1"/>
  <c r="BV366" i="2" a="1"/>
  <c r="BV366" i="2" s="1"/>
  <c r="BV367" i="2" a="1"/>
  <c r="BV367" i="2" s="1"/>
  <c r="BV368" i="2" a="1"/>
  <c r="BV368" i="2" s="1"/>
  <c r="BV369" i="2" a="1"/>
  <c r="BV369" i="2" s="1"/>
  <c r="BV370" i="2" a="1"/>
  <c r="BV370" i="2" s="1"/>
  <c r="BV371" i="2" a="1"/>
  <c r="BV371" i="2" s="1"/>
  <c r="BV372" i="2" a="1"/>
  <c r="BV372" i="2" s="1"/>
  <c r="BV373" i="2" a="1"/>
  <c r="BV373" i="2" s="1"/>
  <c r="BV374" i="2" a="1"/>
  <c r="BV374" i="2" s="1"/>
  <c r="BV375" i="2" a="1"/>
  <c r="BV375" i="2" s="1"/>
  <c r="BV376" i="2" a="1"/>
  <c r="BV376" i="2" s="1"/>
  <c r="BV377" i="2" a="1"/>
  <c r="BV377" i="2" s="1"/>
  <c r="BV378" i="2" a="1"/>
  <c r="BV378" i="2" s="1"/>
  <c r="BV379" i="2" a="1"/>
  <c r="BV379" i="2" s="1"/>
  <c r="BV380" i="2" a="1"/>
  <c r="BV380" i="2" s="1"/>
  <c r="BV381" i="2" a="1"/>
  <c r="BV381" i="2" s="1"/>
  <c r="BV382" i="2" a="1"/>
  <c r="BV382" i="2" s="1"/>
  <c r="BV383" i="2" a="1"/>
  <c r="BV383" i="2" s="1"/>
  <c r="BV384" i="2" a="1"/>
  <c r="BV384" i="2" s="1"/>
  <c r="BV385" i="2" a="1"/>
  <c r="BV385" i="2" s="1"/>
  <c r="BV386" i="2" a="1"/>
  <c r="BV386" i="2" s="1"/>
  <c r="BV387" i="2" a="1"/>
  <c r="BV387" i="2" s="1"/>
  <c r="BV388" i="2" a="1"/>
  <c r="BV388" i="2" s="1"/>
  <c r="BV389" i="2" a="1"/>
  <c r="BV389" i="2" s="1"/>
  <c r="BV390" i="2" a="1"/>
  <c r="BV390" i="2" s="1"/>
  <c r="BV392" i="2" a="1"/>
  <c r="BV392" i="2" s="1"/>
  <c r="BV393" i="2" a="1"/>
  <c r="BV393" i="2" s="1"/>
  <c r="BV394" i="2" a="1"/>
  <c r="BV394" i="2" s="1"/>
  <c r="BV396" i="2" a="1"/>
  <c r="BV396" i="2" s="1"/>
  <c r="BV397" i="2" a="1"/>
  <c r="BV397" i="2" s="1"/>
  <c r="BV398" i="2" a="1"/>
  <c r="BV398" i="2" s="1"/>
  <c r="BV399" i="2" a="1"/>
  <c r="BV399" i="2" s="1"/>
  <c r="BV400" i="2" a="1"/>
  <c r="BV400" i="2" s="1"/>
  <c r="BV401" i="2" a="1"/>
  <c r="BV401" i="2" s="1"/>
  <c r="BV402" i="2" a="1"/>
  <c r="BV402" i="2" s="1"/>
  <c r="BV406" i="2" a="1"/>
  <c r="BV406" i="2" s="1"/>
  <c r="BV415" i="2" a="1"/>
  <c r="BV415" i="2" s="1"/>
  <c r="BV416" i="2" a="1"/>
  <c r="BV416" i="2" s="1"/>
  <c r="BV417" i="2" a="1"/>
  <c r="BV417" i="2" s="1"/>
  <c r="BV418" i="2" a="1"/>
  <c r="BV418" i="2" s="1"/>
  <c r="BV423" i="2" a="1"/>
  <c r="BV423" i="2" s="1"/>
  <c r="BV431" i="2" a="1"/>
  <c r="BV431" i="2" s="1"/>
  <c r="BV432" i="2" a="1"/>
  <c r="BV432" i="2" s="1"/>
  <c r="BV436" i="2" a="1"/>
  <c r="BV436" i="2" s="1"/>
  <c r="BV437" i="2" a="1"/>
  <c r="BV437" i="2" s="1"/>
  <c r="BV441" i="2" a="1"/>
  <c r="BV441" i="2" s="1"/>
  <c r="BV442" i="2" a="1"/>
  <c r="BV442" i="2" s="1"/>
  <c r="BV445" i="2" a="1"/>
  <c r="BV445" i="2" s="1"/>
  <c r="BV446" i="2" a="1"/>
  <c r="BV446" i="2" s="1"/>
  <c r="BV447" i="2" a="1"/>
  <c r="BV447" i="2" s="1"/>
  <c r="BV448" i="2" a="1"/>
  <c r="BV448" i="2" s="1"/>
  <c r="BV449" i="2" a="1"/>
  <c r="BV449" i="2" s="1"/>
  <c r="BV450" i="2" a="1"/>
  <c r="BV450" i="2" s="1"/>
  <c r="BV451" i="2" a="1"/>
  <c r="BV451" i="2" s="1"/>
  <c r="BV453" i="2" a="1"/>
  <c r="BV453" i="2" s="1"/>
  <c r="BV454" i="2" a="1"/>
  <c r="BV454" i="2" s="1"/>
  <c r="BV455" i="2" a="1"/>
  <c r="BV455" i="2" s="1"/>
  <c r="BV459" i="2" a="1"/>
  <c r="BV459" i="2" s="1"/>
  <c r="BV460" i="2" a="1"/>
  <c r="BV460" i="2" s="1"/>
  <c r="BV465" i="2" a="1"/>
  <c r="BV465" i="2" s="1"/>
  <c r="BV466" i="2" a="1"/>
  <c r="BV466" i="2" s="1"/>
  <c r="BV467" i="2" a="1"/>
  <c r="BV467" i="2" s="1"/>
  <c r="BV468" i="2" a="1"/>
  <c r="BV468" i="2" s="1"/>
  <c r="BV470" i="2" a="1"/>
  <c r="BV470" i="2" s="1"/>
  <c r="BV471" i="2" a="1"/>
  <c r="BV471" i="2" s="1"/>
  <c r="BV472" i="2" a="1"/>
  <c r="BV472" i="2" s="1"/>
  <c r="BV473" i="2" a="1"/>
  <c r="BV473" i="2" s="1"/>
  <c r="BV474" i="2" a="1"/>
  <c r="BV474" i="2" s="1"/>
  <c r="BV475" i="2" a="1"/>
  <c r="BV475" i="2" s="1"/>
  <c r="BV476" i="2" a="1"/>
  <c r="BV476"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149" i="2"/>
  <c r="AZ149" i="2" s="1"/>
  <c r="BA149" i="2" s="1"/>
  <c r="AY148" i="2"/>
  <c r="AZ148" i="2" s="1"/>
  <c r="BA148" i="2" s="1"/>
  <c r="AY147" i="2"/>
  <c r="AZ147" i="2" s="1"/>
  <c r="BA147" i="2" s="1"/>
  <c r="AS239" i="2"/>
  <c r="AR239" i="2"/>
  <c r="AQ239" i="2"/>
  <c r="AP239" i="2"/>
  <c r="AO239" i="2"/>
  <c r="AN239" i="2"/>
  <c r="AM239" i="2"/>
  <c r="AL239" i="2"/>
  <c r="AK239" i="2"/>
  <c r="AJ239" i="2"/>
  <c r="AI239" i="2"/>
  <c r="AH239" i="2"/>
  <c r="AG239" i="2"/>
  <c r="AF239" i="2"/>
  <c r="AE239" i="2"/>
  <c r="AD239" i="2"/>
  <c r="AC239" i="2"/>
  <c r="AB239" i="2"/>
  <c r="AA239" i="2"/>
  <c r="Z239" i="2"/>
  <c r="Y239" i="2"/>
  <c r="AY69" i="2"/>
  <c r="AX69" i="2"/>
  <c r="AW69" i="2"/>
  <c r="AN69" i="2"/>
  <c r="AM69" i="2"/>
  <c r="AL69" i="2"/>
  <c r="AY68" i="2"/>
  <c r="AX68" i="2"/>
  <c r="AW68" i="2"/>
  <c r="AN68" i="2"/>
  <c r="AM68" i="2"/>
  <c r="AL68" i="2"/>
  <c r="AY67" i="2"/>
  <c r="AX67" i="2"/>
  <c r="AW67" i="2"/>
  <c r="AN67" i="2"/>
  <c r="AM67" i="2"/>
  <c r="AL67" i="2"/>
  <c r="AY66" i="2"/>
  <c r="AX66" i="2"/>
  <c r="AW66" i="2"/>
  <c r="AN66" i="2"/>
  <c r="AM66" i="2"/>
  <c r="AL66" i="2"/>
  <c r="AY65" i="2"/>
  <c r="AX65" i="2"/>
  <c r="AW65" i="2"/>
  <c r="AN65" i="2"/>
  <c r="AM65" i="2"/>
  <c r="AL65" i="2"/>
  <c r="AY64" i="2"/>
  <c r="AX64" i="2"/>
  <c r="AW64" i="2"/>
  <c r="AN64" i="2"/>
  <c r="AM64" i="2"/>
  <c r="AL64" i="2"/>
  <c r="AY63" i="2"/>
  <c r="AX63" i="2"/>
  <c r="AW63" i="2"/>
  <c r="AN63" i="2"/>
  <c r="AM63" i="2"/>
  <c r="AL63" i="2"/>
  <c r="BU4" i="2" a="1"/>
  <c r="BU4" i="2" s="1"/>
  <c r="BX4" i="2" s="1"/>
  <c r="E5" i="15"/>
  <c r="E6" i="15"/>
  <c r="BH150" i="2"/>
  <c r="BH143" i="2"/>
  <c r="BH139" i="2"/>
  <c r="BG150" i="2"/>
  <c r="BG143" i="2"/>
  <c r="BG139" i="2"/>
  <c r="K15" i="16"/>
  <c r="K14" i="16"/>
  <c r="H13" i="16"/>
  <c r="K6" i="16"/>
  <c r="K5" i="16"/>
  <c r="K4" i="16"/>
  <c r="H11" i="16"/>
  <c r="H10" i="16"/>
  <c r="E5" i="16"/>
  <c r="E6" i="16"/>
  <c r="E7" i="16"/>
  <c r="E8" i="16"/>
  <c r="E9" i="16"/>
  <c r="E10" i="16"/>
  <c r="E11" i="16"/>
  <c r="E4" i="16"/>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88" i="2"/>
  <c r="AP388" i="2"/>
  <c r="AO388" i="2"/>
  <c r="AN388" i="2"/>
  <c r="AM388" i="2"/>
  <c r="AL388" i="2"/>
  <c r="AK388" i="2"/>
  <c r="AJ388" i="2"/>
  <c r="AI388" i="2"/>
  <c r="AH388" i="2"/>
  <c r="AG388" i="2"/>
  <c r="AF388" i="2"/>
  <c r="AE388" i="2"/>
  <c r="AD388" i="2"/>
  <c r="AC388" i="2"/>
  <c r="AB388" i="2"/>
  <c r="CB4" i="2"/>
  <c r="E26" i="15" a="1"/>
  <c r="E26" i="15" s="1"/>
  <c r="E25" i="15" a="1"/>
  <c r="E25" i="15" s="1"/>
  <c r="I3" i="6" s="1"/>
  <c r="BZ129" i="2" s="1"/>
  <c r="E24" i="15" a="1"/>
  <c r="E24" i="15" s="1"/>
  <c r="CM1" i="2"/>
  <c r="CK1" i="2"/>
  <c r="B6" i="6"/>
  <c r="E11" i="6"/>
  <c r="B11" i="6"/>
  <c r="CC242" i="2" s="1"/>
  <c r="F6" i="6"/>
  <c r="F5" i="6"/>
  <c r="H5" i="6" s="1"/>
  <c r="F4" i="6"/>
  <c r="F3" i="6"/>
  <c r="J40" i="16"/>
  <c r="J39" i="16"/>
  <c r="F36" i="16" a="1"/>
  <c r="F36" i="16" s="1"/>
  <c r="AQ387" i="2"/>
  <c r="AP387" i="2"/>
  <c r="AO387" i="2"/>
  <c r="AN387" i="2"/>
  <c r="AM387" i="2"/>
  <c r="AL387" i="2"/>
  <c r="AK387" i="2"/>
  <c r="AJ387" i="2"/>
  <c r="AI387" i="2"/>
  <c r="AH387" i="2"/>
  <c r="AG387" i="2"/>
  <c r="AF387" i="2"/>
  <c r="AE387" i="2"/>
  <c r="AD387" i="2"/>
  <c r="AC387" i="2"/>
  <c r="AB387" i="2"/>
  <c r="CC213" i="2"/>
  <c r="CC225" i="2"/>
  <c r="CC237" i="2"/>
  <c r="CC218" i="2"/>
  <c r="CC230" i="2"/>
  <c r="CC223" i="2"/>
  <c r="CC235" i="2"/>
  <c r="CC216" i="2"/>
  <c r="CC228" i="2"/>
  <c r="CC240" i="2"/>
  <c r="CC233" i="2"/>
  <c r="CC244" i="2"/>
  <c r="CC384" i="2"/>
  <c r="CC385" i="2"/>
  <c r="CC229" i="2"/>
  <c r="CC214" i="2"/>
  <c r="CC222" i="2"/>
  <c r="CC236" i="2"/>
  <c r="CC389" i="2"/>
  <c r="CC383" i="2"/>
  <c r="CC217" i="2"/>
  <c r="CC239" i="2"/>
  <c r="CC476" i="2"/>
  <c r="CC474" i="2"/>
  <c r="CC212" i="2"/>
  <c r="CC220" i="2"/>
  <c r="CC245" i="2"/>
  <c r="CC226" i="2"/>
  <c r="CC234" i="2"/>
  <c r="CC215" i="2"/>
  <c r="CC390" i="2"/>
  <c r="CC243" i="2"/>
  <c r="CC394" i="2"/>
  <c r="CC227" i="2"/>
  <c r="CC241" i="2"/>
  <c r="CC246" i="2"/>
  <c r="CC466" i="2"/>
  <c r="CC475" i="2"/>
  <c r="CC386" i="2"/>
  <c r="CC446" i="2"/>
  <c r="CC219" i="2"/>
  <c r="CC388" i="2"/>
  <c r="CC473" i="2"/>
  <c r="CC232" i="2"/>
  <c r="CC401" i="2"/>
  <c r="J68" i="14"/>
  <c r="J67" i="14"/>
  <c r="D338" i="14"/>
  <c r="D337" i="14"/>
  <c r="D336" i="14"/>
  <c r="D335" i="14"/>
  <c r="D334" i="14"/>
  <c r="D333" i="14"/>
  <c r="D332" i="14"/>
  <c r="D331" i="14"/>
  <c r="D330" i="14"/>
  <c r="D329" i="14"/>
  <c r="AS234" i="2"/>
  <c r="AR234" i="2"/>
  <c r="AQ234" i="2"/>
  <c r="AP234" i="2"/>
  <c r="AO234" i="2"/>
  <c r="AN234" i="2"/>
  <c r="AM234" i="2"/>
  <c r="AL234" i="2"/>
  <c r="AK234" i="2"/>
  <c r="AJ234" i="2"/>
  <c r="AI234" i="2"/>
  <c r="AH234" i="2"/>
  <c r="AG234" i="2"/>
  <c r="AF234" i="2"/>
  <c r="AE234" i="2"/>
  <c r="AD234" i="2"/>
  <c r="AC234" i="2"/>
  <c r="AB234" i="2"/>
  <c r="AA234" i="2"/>
  <c r="Z234" i="2"/>
  <c r="Y234" i="2"/>
  <c r="AS226" i="2"/>
  <c r="AR226" i="2"/>
  <c r="AQ226" i="2"/>
  <c r="AP226" i="2"/>
  <c r="AO226" i="2"/>
  <c r="AN226" i="2"/>
  <c r="AM226" i="2"/>
  <c r="AL226" i="2"/>
  <c r="AK226" i="2"/>
  <c r="AJ226" i="2"/>
  <c r="AI226" i="2"/>
  <c r="AH226" i="2"/>
  <c r="AG226" i="2"/>
  <c r="AF226" i="2"/>
  <c r="AE226" i="2"/>
  <c r="AD226" i="2"/>
  <c r="AC226" i="2"/>
  <c r="AB226" i="2"/>
  <c r="AA226" i="2"/>
  <c r="Z226" i="2"/>
  <c r="Y226" i="2"/>
  <c r="AS225" i="2"/>
  <c r="AR225" i="2"/>
  <c r="AQ225" i="2"/>
  <c r="AP225" i="2"/>
  <c r="AO225" i="2"/>
  <c r="AN225" i="2"/>
  <c r="AM225" i="2"/>
  <c r="AL225" i="2"/>
  <c r="AK225" i="2"/>
  <c r="AJ225" i="2"/>
  <c r="AI225" i="2"/>
  <c r="AH225" i="2"/>
  <c r="AG225" i="2"/>
  <c r="AF225" i="2"/>
  <c r="AE225" i="2"/>
  <c r="AD225" i="2"/>
  <c r="AC225" i="2"/>
  <c r="AB225" i="2"/>
  <c r="AA225" i="2"/>
  <c r="Z225" i="2"/>
  <c r="Y225" i="2"/>
  <c r="AS224" i="2"/>
  <c r="AR224" i="2"/>
  <c r="AQ224" i="2"/>
  <c r="AP224" i="2"/>
  <c r="AO224" i="2"/>
  <c r="AN224" i="2"/>
  <c r="AM224" i="2"/>
  <c r="AL224" i="2"/>
  <c r="AK224" i="2"/>
  <c r="AJ224" i="2"/>
  <c r="AI224" i="2"/>
  <c r="AH224" i="2"/>
  <c r="AG224" i="2"/>
  <c r="AF224" i="2"/>
  <c r="AE224" i="2"/>
  <c r="AD224" i="2"/>
  <c r="AC224" i="2"/>
  <c r="AB224" i="2"/>
  <c r="AA224" i="2"/>
  <c r="Z224" i="2"/>
  <c r="Y224" i="2"/>
  <c r="AS221" i="2"/>
  <c r="AR221" i="2"/>
  <c r="AQ221" i="2"/>
  <c r="AP221" i="2"/>
  <c r="AO221" i="2"/>
  <c r="AN221" i="2"/>
  <c r="AM221" i="2"/>
  <c r="AL221" i="2"/>
  <c r="AK221" i="2"/>
  <c r="AJ221" i="2"/>
  <c r="AI221" i="2"/>
  <c r="AH221" i="2"/>
  <c r="AG221" i="2"/>
  <c r="AF221" i="2"/>
  <c r="AE221" i="2"/>
  <c r="AD221" i="2"/>
  <c r="AC221" i="2"/>
  <c r="AB221" i="2"/>
  <c r="AA221" i="2"/>
  <c r="Z221" i="2"/>
  <c r="Y221" i="2"/>
  <c r="AS214" i="2"/>
  <c r="AR214" i="2"/>
  <c r="AQ214" i="2"/>
  <c r="AP214" i="2"/>
  <c r="AO214" i="2"/>
  <c r="AN214" i="2"/>
  <c r="AM214" i="2"/>
  <c r="AL214" i="2"/>
  <c r="AK214" i="2"/>
  <c r="AJ214" i="2"/>
  <c r="AI214" i="2"/>
  <c r="AH214" i="2"/>
  <c r="AG214" i="2"/>
  <c r="AF214" i="2"/>
  <c r="AE214" i="2"/>
  <c r="AD214" i="2"/>
  <c r="AC214" i="2"/>
  <c r="AB214" i="2"/>
  <c r="AA214" i="2"/>
  <c r="Z214" i="2"/>
  <c r="Y214"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AY180" i="2"/>
  <c r="AZ180" i="2" s="1"/>
  <c r="BA180" i="2" s="1"/>
  <c r="AY179" i="2"/>
  <c r="AZ179" i="2" s="1"/>
  <c r="BA179" i="2" s="1"/>
  <c r="AY178" i="2"/>
  <c r="AZ178" i="2" s="1"/>
  <c r="BA178" i="2" s="1"/>
  <c r="AY177" i="2"/>
  <c r="AZ177" i="2" s="1"/>
  <c r="BA177" i="2" s="1"/>
  <c r="AY176" i="2"/>
  <c r="AZ176" i="2" s="1"/>
  <c r="BA176" i="2" s="1"/>
  <c r="AY175" i="2"/>
  <c r="AZ175" i="2" s="1"/>
  <c r="BA175" i="2" s="1"/>
  <c r="AY174" i="2"/>
  <c r="AZ174" i="2" s="1"/>
  <c r="BA174" i="2" s="1"/>
  <c r="AY173" i="2"/>
  <c r="AZ173" i="2" s="1"/>
  <c r="BA173" i="2" s="1"/>
  <c r="AY172" i="2"/>
  <c r="AZ172" i="2" s="1"/>
  <c r="BA172" i="2" s="1"/>
  <c r="AY171" i="2"/>
  <c r="AZ171" i="2" s="1"/>
  <c r="BA171" i="2" s="1"/>
  <c r="AY170" i="2"/>
  <c r="AZ170" i="2" s="1"/>
  <c r="BA170" i="2" s="1"/>
  <c r="AY169" i="2"/>
  <c r="AZ169" i="2" s="1"/>
  <c r="BA169" i="2" s="1"/>
  <c r="AY168" i="2"/>
  <c r="AZ168" i="2" s="1"/>
  <c r="BA168" i="2" s="1"/>
  <c r="AY167" i="2"/>
  <c r="AZ167" i="2" s="1"/>
  <c r="BA167" i="2" s="1"/>
  <c r="AY166" i="2"/>
  <c r="AZ166" i="2" s="1"/>
  <c r="BA166" i="2" s="1"/>
  <c r="AY165" i="2"/>
  <c r="AZ165" i="2" s="1"/>
  <c r="BA165" i="2" s="1"/>
  <c r="AY164" i="2"/>
  <c r="AZ164" i="2" s="1"/>
  <c r="BA164" i="2" s="1"/>
  <c r="AY163" i="2"/>
  <c r="AZ163" i="2" s="1"/>
  <c r="BA163" i="2" s="1"/>
  <c r="AY162" i="2"/>
  <c r="AZ162" i="2" s="1"/>
  <c r="BA162" i="2" s="1"/>
  <c r="AY161" i="2"/>
  <c r="AZ161" i="2" s="1"/>
  <c r="BA161" i="2" s="1"/>
  <c r="AY160" i="2"/>
  <c r="AZ160" i="2" s="1"/>
  <c r="BA160" i="2" s="1"/>
  <c r="AY159" i="2"/>
  <c r="AZ159" i="2" s="1"/>
  <c r="BA159" i="2" s="1"/>
  <c r="AY158" i="2"/>
  <c r="AZ158" i="2" s="1"/>
  <c r="BA158" i="2" s="1"/>
  <c r="AY157" i="2"/>
  <c r="AZ157" i="2" s="1"/>
  <c r="BA157" i="2" s="1"/>
  <c r="AY156" i="2"/>
  <c r="AZ156" i="2" s="1"/>
  <c r="BA156" i="2" s="1"/>
  <c r="AY155" i="2"/>
  <c r="AZ155" i="2" s="1"/>
  <c r="BA155" i="2" s="1"/>
  <c r="AY154" i="2"/>
  <c r="AZ154" i="2" s="1"/>
  <c r="BA154" i="2" s="1"/>
  <c r="AY153" i="2"/>
  <c r="AZ153" i="2" s="1"/>
  <c r="BA153" i="2" s="1"/>
  <c r="AY152" i="2"/>
  <c r="AZ152" i="2" s="1"/>
  <c r="BA152" i="2" s="1"/>
  <c r="AY151" i="2"/>
  <c r="AZ151" i="2" s="1"/>
  <c r="BA151" i="2" s="1"/>
  <c r="AY150" i="2"/>
  <c r="AZ150" i="2" s="1"/>
  <c r="BA150" i="2" s="1"/>
  <c r="AY146" i="2"/>
  <c r="AZ146" i="2" s="1"/>
  <c r="BA146" i="2" s="1"/>
  <c r="AY145" i="2"/>
  <c r="AZ145" i="2" s="1"/>
  <c r="BA145" i="2" s="1"/>
  <c r="AY144" i="2"/>
  <c r="AZ144" i="2" s="1"/>
  <c r="BA144" i="2" s="1"/>
  <c r="AY143" i="2"/>
  <c r="AZ143" i="2" s="1"/>
  <c r="BA143" i="2" s="1"/>
  <c r="AY142" i="2"/>
  <c r="AZ142" i="2" s="1"/>
  <c r="BA142" i="2" s="1"/>
  <c r="AY141" i="2"/>
  <c r="AZ141" i="2" s="1"/>
  <c r="BA141" i="2" s="1"/>
  <c r="AY140" i="2"/>
  <c r="AZ140" i="2" s="1"/>
  <c r="BA140" i="2" s="1"/>
  <c r="AY139" i="2"/>
  <c r="AZ139" i="2" s="1"/>
  <c r="BA139" i="2" s="1"/>
  <c r="AY138" i="2"/>
  <c r="AZ138" i="2" s="1"/>
  <c r="BA138" i="2" s="1"/>
  <c r="AY137" i="2"/>
  <c r="AZ137" i="2" s="1"/>
  <c r="BA137" i="2" s="1"/>
  <c r="AY136" i="2"/>
  <c r="AZ136" i="2" s="1"/>
  <c r="BA136" i="2" s="1"/>
  <c r="AY135" i="2"/>
  <c r="AZ135" i="2" s="1"/>
  <c r="BA135" i="2" s="1"/>
  <c r="AY134" i="2"/>
  <c r="AZ134" i="2" s="1"/>
  <c r="BA134" i="2" s="1"/>
  <c r="AY133" i="2"/>
  <c r="AZ133" i="2" s="1"/>
  <c r="BA133" i="2" s="1"/>
  <c r="AY132" i="2"/>
  <c r="AZ132" i="2" s="1"/>
  <c r="AY131" i="2"/>
  <c r="AZ131" i="2" s="1"/>
  <c r="BA131" i="2" s="1"/>
  <c r="AY130" i="2"/>
  <c r="AZ130" i="2" s="1"/>
  <c r="BA130" i="2" s="1"/>
  <c r="AY129" i="2"/>
  <c r="AZ129" i="2" s="1"/>
  <c r="BA129" i="2" s="1"/>
  <c r="AY128" i="2"/>
  <c r="AZ128" i="2" s="1"/>
  <c r="BA128" i="2" s="1"/>
  <c r="AY127" i="2"/>
  <c r="AZ127" i="2" s="1"/>
  <c r="BA127" i="2" s="1"/>
  <c r="AY126" i="2"/>
  <c r="AZ126" i="2" s="1"/>
  <c r="BA126" i="2" s="1"/>
  <c r="AY125" i="2"/>
  <c r="AZ125" i="2" s="1"/>
  <c r="BA125" i="2" s="1"/>
  <c r="AY124" i="2"/>
  <c r="AZ124" i="2" s="1"/>
  <c r="BA124" i="2" s="1"/>
  <c r="AY123" i="2"/>
  <c r="AZ123" i="2" s="1"/>
  <c r="BA123" i="2" s="1"/>
  <c r="AY122" i="2"/>
  <c r="AZ122" i="2" s="1"/>
  <c r="BA122" i="2" s="1"/>
  <c r="AY121" i="2"/>
  <c r="AZ121" i="2" s="1"/>
  <c r="BA121" i="2" s="1"/>
  <c r="AY120" i="2"/>
  <c r="AZ120" i="2" s="1"/>
  <c r="BA120" i="2" s="1"/>
  <c r="AY119" i="2"/>
  <c r="AZ119" i="2" s="1"/>
  <c r="BA119" i="2" s="1"/>
  <c r="AY118" i="2"/>
  <c r="AZ118" i="2" s="1"/>
  <c r="BA118" i="2" s="1"/>
  <c r="AY117" i="2"/>
  <c r="AZ117" i="2" s="1"/>
  <c r="BA117"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3" i="2"/>
  <c r="AX73" i="2"/>
  <c r="AW73" i="2"/>
  <c r="AY72" i="2"/>
  <c r="AX72" i="2"/>
  <c r="AW72" i="2"/>
  <c r="AY71" i="2"/>
  <c r="AX71" i="2"/>
  <c r="AW71" i="2"/>
  <c r="AY77" i="2"/>
  <c r="AX77" i="2"/>
  <c r="AW77" i="2"/>
  <c r="AY76" i="2"/>
  <c r="AX76" i="2"/>
  <c r="AW76" i="2"/>
  <c r="AY75" i="2"/>
  <c r="AX75" i="2"/>
  <c r="AW75" i="2"/>
  <c r="AY93" i="2"/>
  <c r="AX93" i="2"/>
  <c r="AY92" i="2"/>
  <c r="AX92" i="2"/>
  <c r="AY91" i="2"/>
  <c r="AX91" i="2"/>
  <c r="AW93" i="2"/>
  <c r="AW92" i="2"/>
  <c r="AW91" i="2"/>
  <c r="AY102" i="2"/>
  <c r="AX102" i="2"/>
  <c r="AY101" i="2"/>
  <c r="AX101" i="2"/>
  <c r="AY100" i="2"/>
  <c r="AX100" i="2"/>
  <c r="AW102" i="2"/>
  <c r="AW101" i="2"/>
  <c r="AW100" i="2"/>
  <c r="AY89" i="2"/>
  <c r="AX89" i="2"/>
  <c r="AY88" i="2"/>
  <c r="AX88" i="2"/>
  <c r="AY87" i="2"/>
  <c r="AX87" i="2"/>
  <c r="AW89" i="2"/>
  <c r="AW88" i="2"/>
  <c r="AW87" i="2"/>
  <c r="AY81" i="2"/>
  <c r="AX81" i="2"/>
  <c r="AY80" i="2"/>
  <c r="AX80" i="2"/>
  <c r="AY79" i="2"/>
  <c r="AX79" i="2"/>
  <c r="AW81" i="2"/>
  <c r="AW80" i="2"/>
  <c r="AW79" i="2"/>
  <c r="AY116" i="2"/>
  <c r="AX116" i="2"/>
  <c r="AY115" i="2"/>
  <c r="AX115" i="2"/>
  <c r="AY114" i="2"/>
  <c r="AX114" i="2"/>
  <c r="AW116" i="2"/>
  <c r="AW114" i="2"/>
  <c r="AY98" i="2"/>
  <c r="AX98" i="2"/>
  <c r="AY97" i="2"/>
  <c r="AX97" i="2"/>
  <c r="AY96" i="2"/>
  <c r="AX96" i="2"/>
  <c r="AW98" i="2"/>
  <c r="AW97" i="2"/>
  <c r="AW96" i="2"/>
  <c r="AY85" i="2"/>
  <c r="AX85" i="2"/>
  <c r="AY84" i="2"/>
  <c r="AX84" i="2"/>
  <c r="AY83" i="2"/>
  <c r="AX83" i="2"/>
  <c r="AW85" i="2"/>
  <c r="AW84" i="2"/>
  <c r="AW83" i="2"/>
  <c r="AY106" i="2"/>
  <c r="AX106" i="2"/>
  <c r="AW106" i="2"/>
  <c r="AY107" i="2"/>
  <c r="AX107" i="2"/>
  <c r="AW107" i="2"/>
  <c r="AY108" i="2"/>
  <c r="AX108" i="2"/>
  <c r="AW108" i="2"/>
  <c r="AY109" i="2"/>
  <c r="AX109" i="2"/>
  <c r="AW109" i="2"/>
  <c r="AY110" i="2"/>
  <c r="AX110" i="2"/>
  <c r="AW110" i="2"/>
  <c r="AY111" i="2"/>
  <c r="AX111" i="2"/>
  <c r="AW111" i="2"/>
  <c r="AY112" i="2"/>
  <c r="AX112" i="2"/>
  <c r="AW112" i="2"/>
  <c r="C5" i="6"/>
  <c r="CC174" i="2"/>
  <c r="CC280" i="2"/>
  <c r="CC316" i="2"/>
  <c r="CC13" i="2"/>
  <c r="CC50" i="2"/>
  <c r="CC120" i="2"/>
  <c r="CC121" i="2"/>
  <c r="CC350" i="2"/>
  <c r="CC398" i="2"/>
  <c r="CC427" i="2"/>
  <c r="CC461" i="2"/>
  <c r="CC182" i="2"/>
  <c r="CC355" i="2"/>
  <c r="CC447" i="2"/>
  <c r="CC78" i="2"/>
  <c r="CC92" i="2"/>
  <c r="CC425" i="2"/>
  <c r="CC251" i="2"/>
  <c r="CC101" i="2"/>
  <c r="CC23" i="2"/>
  <c r="CC103" i="2"/>
  <c r="CC378" i="2"/>
  <c r="CC47" i="2"/>
  <c r="CC372" i="2"/>
  <c r="CC58" i="2"/>
  <c r="CC351" i="2"/>
  <c r="CC344" i="2"/>
  <c r="J62" i="14"/>
  <c r="D278" i="14"/>
  <c r="D277" i="14"/>
  <c r="D276" i="14"/>
  <c r="D275" i="14"/>
  <c r="D274" i="14"/>
  <c r="D273" i="14"/>
  <c r="D272" i="14"/>
  <c r="D271" i="14"/>
  <c r="D270" i="14"/>
  <c r="D269" i="14"/>
  <c r="D259" i="14"/>
  <c r="D260" i="14"/>
  <c r="D261" i="14"/>
  <c r="D262" i="14"/>
  <c r="D263" i="14"/>
  <c r="D264" i="14"/>
  <c r="D265" i="14"/>
  <c r="D266" i="14"/>
  <c r="D267" i="14"/>
  <c r="D268" i="14"/>
  <c r="AN116" i="2"/>
  <c r="AM116" i="2"/>
  <c r="AL116" i="2"/>
  <c r="AN115" i="2"/>
  <c r="AM115" i="2"/>
  <c r="AL115" i="2"/>
  <c r="AN114" i="2"/>
  <c r="AM114" i="2"/>
  <c r="AL114" i="2"/>
  <c r="AN112" i="2"/>
  <c r="AM112" i="2"/>
  <c r="AL112" i="2"/>
  <c r="AN111" i="2"/>
  <c r="AM111" i="2"/>
  <c r="AL111" i="2"/>
  <c r="AN110" i="2"/>
  <c r="AM110" i="2"/>
  <c r="AL110" i="2"/>
  <c r="AN109" i="2"/>
  <c r="AM109" i="2"/>
  <c r="AL109" i="2"/>
  <c r="AN108" i="2"/>
  <c r="AM108" i="2"/>
  <c r="AL108" i="2"/>
  <c r="AN107" i="2"/>
  <c r="AM107" i="2"/>
  <c r="AL107" i="2"/>
  <c r="AN106" i="2"/>
  <c r="AM106" i="2"/>
  <c r="AL106" i="2"/>
  <c r="AN102" i="2"/>
  <c r="AM102" i="2"/>
  <c r="AL102" i="2"/>
  <c r="AN101" i="2"/>
  <c r="AM101" i="2"/>
  <c r="AL101" i="2"/>
  <c r="AN100" i="2"/>
  <c r="AM100" i="2"/>
  <c r="AL100" i="2"/>
  <c r="AN98" i="2"/>
  <c r="AM98" i="2"/>
  <c r="AL98" i="2"/>
  <c r="AN97" i="2"/>
  <c r="AM97" i="2"/>
  <c r="AL97" i="2"/>
  <c r="AN96" i="2"/>
  <c r="AM96" i="2"/>
  <c r="AL96" i="2"/>
  <c r="AN93" i="2"/>
  <c r="AM93" i="2"/>
  <c r="AL93" i="2"/>
  <c r="AN92" i="2"/>
  <c r="AM92" i="2"/>
  <c r="AL92" i="2"/>
  <c r="AN91" i="2"/>
  <c r="AM91" i="2"/>
  <c r="AL91" i="2"/>
  <c r="AN89" i="2"/>
  <c r="AM89" i="2"/>
  <c r="AL89" i="2"/>
  <c r="AN88" i="2"/>
  <c r="AM88" i="2"/>
  <c r="AL88" i="2"/>
  <c r="AN87" i="2"/>
  <c r="AM87" i="2"/>
  <c r="AL87" i="2"/>
  <c r="AN85" i="2"/>
  <c r="AM85" i="2"/>
  <c r="AL85" i="2"/>
  <c r="AN84" i="2"/>
  <c r="AM84" i="2"/>
  <c r="AL84" i="2"/>
  <c r="AN83" i="2"/>
  <c r="AM83" i="2"/>
  <c r="AL83" i="2"/>
  <c r="AN81" i="2"/>
  <c r="AM81" i="2"/>
  <c r="AL81" i="2"/>
  <c r="AN80" i="2"/>
  <c r="AM80" i="2"/>
  <c r="AL80" i="2"/>
  <c r="AN79" i="2"/>
  <c r="AM79" i="2"/>
  <c r="AL79" i="2"/>
  <c r="AN77" i="2"/>
  <c r="AM77" i="2"/>
  <c r="AL77" i="2"/>
  <c r="AN76" i="2"/>
  <c r="AM76" i="2"/>
  <c r="AL76" i="2"/>
  <c r="AN75" i="2"/>
  <c r="AM75" i="2"/>
  <c r="AL75" i="2"/>
  <c r="AN73" i="2"/>
  <c r="AM73" i="2"/>
  <c r="AL73" i="2"/>
  <c r="AN72" i="2"/>
  <c r="AM72" i="2"/>
  <c r="AL72" i="2"/>
  <c r="AN71" i="2"/>
  <c r="AM71" i="2"/>
  <c r="AL71" i="2"/>
  <c r="AS223" i="2"/>
  <c r="AR223" i="2"/>
  <c r="AQ223" i="2"/>
  <c r="AP223" i="2"/>
  <c r="AO223" i="2"/>
  <c r="AN223" i="2"/>
  <c r="AM223" i="2"/>
  <c r="AL223" i="2"/>
  <c r="AK223" i="2"/>
  <c r="AJ223" i="2"/>
  <c r="AI223" i="2"/>
  <c r="AH223" i="2"/>
  <c r="AG223" i="2"/>
  <c r="AF223" i="2"/>
  <c r="AE223" i="2"/>
  <c r="AD223" i="2"/>
  <c r="AC223" i="2"/>
  <c r="AB223" i="2"/>
  <c r="AA223" i="2"/>
  <c r="Z223" i="2"/>
  <c r="Y223"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218" i="2"/>
  <c r="AR218" i="2"/>
  <c r="AQ218" i="2"/>
  <c r="AP218" i="2"/>
  <c r="AO218" i="2"/>
  <c r="AN218" i="2"/>
  <c r="AM218" i="2"/>
  <c r="AL218" i="2"/>
  <c r="AK218" i="2"/>
  <c r="AJ218" i="2"/>
  <c r="AI218" i="2"/>
  <c r="AH218" i="2"/>
  <c r="AG218" i="2"/>
  <c r="AF218" i="2"/>
  <c r="AE218" i="2"/>
  <c r="AD218" i="2"/>
  <c r="AC218" i="2"/>
  <c r="AB218" i="2"/>
  <c r="AA218" i="2"/>
  <c r="Z218" i="2"/>
  <c r="Y218" i="2"/>
  <c r="AS219" i="2"/>
  <c r="AR219" i="2"/>
  <c r="AQ219" i="2"/>
  <c r="AP219" i="2"/>
  <c r="AO219" i="2"/>
  <c r="AN219" i="2"/>
  <c r="AM219" i="2"/>
  <c r="AL219" i="2"/>
  <c r="AK219" i="2"/>
  <c r="AJ219" i="2"/>
  <c r="AI219" i="2"/>
  <c r="AH219" i="2"/>
  <c r="AG219" i="2"/>
  <c r="AF219" i="2"/>
  <c r="AE219" i="2"/>
  <c r="AD219" i="2"/>
  <c r="AC219" i="2"/>
  <c r="AB219" i="2"/>
  <c r="AA219" i="2"/>
  <c r="Z219" i="2"/>
  <c r="Y219" i="2"/>
  <c r="AS215" i="2"/>
  <c r="AR215" i="2"/>
  <c r="AQ215" i="2"/>
  <c r="AP215" i="2"/>
  <c r="AO215" i="2"/>
  <c r="AN215" i="2"/>
  <c r="AM215" i="2"/>
  <c r="AL215" i="2"/>
  <c r="AK215" i="2"/>
  <c r="AJ215" i="2"/>
  <c r="AI215" i="2"/>
  <c r="AH215" i="2"/>
  <c r="AG215" i="2"/>
  <c r="AF215" i="2"/>
  <c r="AE215" i="2"/>
  <c r="AD215" i="2"/>
  <c r="AC215" i="2"/>
  <c r="AB215" i="2"/>
  <c r="AA215" i="2"/>
  <c r="Z215" i="2"/>
  <c r="Y215" i="2"/>
  <c r="AS212" i="2"/>
  <c r="AR212" i="2"/>
  <c r="AQ212" i="2"/>
  <c r="AP212" i="2"/>
  <c r="AO212" i="2"/>
  <c r="AN212" i="2"/>
  <c r="AM212" i="2"/>
  <c r="AL212" i="2"/>
  <c r="AK212" i="2"/>
  <c r="AJ212" i="2"/>
  <c r="AI212" i="2"/>
  <c r="AH212" i="2"/>
  <c r="AG212" i="2"/>
  <c r="AF212" i="2"/>
  <c r="AE212" i="2"/>
  <c r="AD212" i="2"/>
  <c r="AC212" i="2"/>
  <c r="AB212" i="2"/>
  <c r="AA212" i="2"/>
  <c r="Z212" i="2"/>
  <c r="Y212" i="2"/>
  <c r="AS236" i="2"/>
  <c r="AR236" i="2"/>
  <c r="AQ236" i="2"/>
  <c r="AP236" i="2"/>
  <c r="AO236" i="2"/>
  <c r="AN236" i="2"/>
  <c r="AM236" i="2"/>
  <c r="AL236" i="2"/>
  <c r="AK236" i="2"/>
  <c r="AJ236" i="2"/>
  <c r="AI236" i="2"/>
  <c r="AH236" i="2"/>
  <c r="AG236" i="2"/>
  <c r="AF236" i="2"/>
  <c r="AE236" i="2"/>
  <c r="AD236" i="2"/>
  <c r="AC236" i="2"/>
  <c r="AB236" i="2"/>
  <c r="AA236" i="2"/>
  <c r="Z236" i="2"/>
  <c r="Y236" i="2"/>
  <c r="AS229" i="2"/>
  <c r="AR229" i="2"/>
  <c r="AQ229" i="2"/>
  <c r="AP229" i="2"/>
  <c r="AO229" i="2"/>
  <c r="AN229" i="2"/>
  <c r="AM229" i="2"/>
  <c r="AL229" i="2"/>
  <c r="AK229" i="2"/>
  <c r="AJ229" i="2"/>
  <c r="AI229" i="2"/>
  <c r="AH229" i="2"/>
  <c r="AG229" i="2"/>
  <c r="AF229" i="2"/>
  <c r="AE229" i="2"/>
  <c r="AD229" i="2"/>
  <c r="AC229" i="2"/>
  <c r="AB229" i="2"/>
  <c r="AA229" i="2"/>
  <c r="Z229" i="2"/>
  <c r="Y229" i="2"/>
  <c r="AS227" i="2"/>
  <c r="AR227" i="2"/>
  <c r="AQ227" i="2"/>
  <c r="AP227" i="2"/>
  <c r="AO227" i="2"/>
  <c r="AN227" i="2"/>
  <c r="AM227" i="2"/>
  <c r="AL227" i="2"/>
  <c r="AK227" i="2"/>
  <c r="AJ227" i="2"/>
  <c r="AI227" i="2"/>
  <c r="AH227" i="2"/>
  <c r="AG227" i="2"/>
  <c r="AF227" i="2"/>
  <c r="AE227" i="2"/>
  <c r="AD227" i="2"/>
  <c r="AC227" i="2"/>
  <c r="AB227" i="2"/>
  <c r="AA227" i="2"/>
  <c r="Z227" i="2"/>
  <c r="Y227" i="2"/>
  <c r="AS233" i="2"/>
  <c r="AR233" i="2"/>
  <c r="AQ233" i="2"/>
  <c r="AP233" i="2"/>
  <c r="AO233" i="2"/>
  <c r="AN233" i="2"/>
  <c r="AM233" i="2"/>
  <c r="AL233" i="2"/>
  <c r="AK233" i="2"/>
  <c r="AJ233" i="2"/>
  <c r="AI233" i="2"/>
  <c r="AH233" i="2"/>
  <c r="AG233" i="2"/>
  <c r="AF233" i="2"/>
  <c r="AE233" i="2"/>
  <c r="AD233" i="2"/>
  <c r="AC233" i="2"/>
  <c r="AB233" i="2"/>
  <c r="AA233" i="2"/>
  <c r="Z233" i="2"/>
  <c r="Y233" i="2"/>
  <c r="AS238" i="2"/>
  <c r="AR238" i="2"/>
  <c r="AQ238" i="2"/>
  <c r="AP238" i="2"/>
  <c r="AO238" i="2"/>
  <c r="AN238" i="2"/>
  <c r="AM238" i="2"/>
  <c r="AL238" i="2"/>
  <c r="AK238" i="2"/>
  <c r="AJ238" i="2"/>
  <c r="AI238" i="2"/>
  <c r="AH238" i="2"/>
  <c r="AG238" i="2"/>
  <c r="AF238" i="2"/>
  <c r="AE238" i="2"/>
  <c r="AD238" i="2"/>
  <c r="AC238" i="2"/>
  <c r="AB238" i="2"/>
  <c r="AA238" i="2"/>
  <c r="Z238" i="2"/>
  <c r="Y238" i="2"/>
  <c r="AS237" i="2"/>
  <c r="AR237" i="2"/>
  <c r="AQ237" i="2"/>
  <c r="AP237" i="2"/>
  <c r="AO237" i="2"/>
  <c r="AN237" i="2"/>
  <c r="AM237" i="2"/>
  <c r="AL237" i="2"/>
  <c r="AK237" i="2"/>
  <c r="AJ237" i="2"/>
  <c r="AI237" i="2"/>
  <c r="AH237" i="2"/>
  <c r="AG237" i="2"/>
  <c r="AF237" i="2"/>
  <c r="AE237" i="2"/>
  <c r="AD237" i="2"/>
  <c r="AC237" i="2"/>
  <c r="AB237" i="2"/>
  <c r="AA237" i="2"/>
  <c r="Z237" i="2"/>
  <c r="Y237" i="2"/>
  <c r="AS222" i="2"/>
  <c r="AR222" i="2"/>
  <c r="AQ222" i="2"/>
  <c r="AP222" i="2"/>
  <c r="AO222" i="2"/>
  <c r="AN222" i="2"/>
  <c r="AM222" i="2"/>
  <c r="AL222" i="2"/>
  <c r="AK222" i="2"/>
  <c r="AJ222" i="2"/>
  <c r="AI222" i="2"/>
  <c r="AH222" i="2"/>
  <c r="AG222" i="2"/>
  <c r="AF222" i="2"/>
  <c r="AE222" i="2"/>
  <c r="AD222" i="2"/>
  <c r="AC222" i="2"/>
  <c r="AB222" i="2"/>
  <c r="AA222" i="2"/>
  <c r="Z222" i="2"/>
  <c r="Y222" i="2"/>
  <c r="AS220" i="2"/>
  <c r="AR220" i="2"/>
  <c r="AQ220" i="2"/>
  <c r="AP220" i="2"/>
  <c r="AO220" i="2"/>
  <c r="AN220" i="2"/>
  <c r="AM220" i="2"/>
  <c r="AL220" i="2"/>
  <c r="AK220" i="2"/>
  <c r="AJ220" i="2"/>
  <c r="AI220" i="2"/>
  <c r="AH220" i="2"/>
  <c r="AG220" i="2"/>
  <c r="AF220" i="2"/>
  <c r="AE220" i="2"/>
  <c r="AD220" i="2"/>
  <c r="AC220" i="2"/>
  <c r="AB220" i="2"/>
  <c r="AA220" i="2"/>
  <c r="Z220" i="2"/>
  <c r="Y220" i="2"/>
  <c r="AS217" i="2"/>
  <c r="AR217" i="2"/>
  <c r="AQ217" i="2"/>
  <c r="AP217" i="2"/>
  <c r="AO217" i="2"/>
  <c r="AN217" i="2"/>
  <c r="AM217" i="2"/>
  <c r="AL217" i="2"/>
  <c r="AK217" i="2"/>
  <c r="AJ217" i="2"/>
  <c r="AI217" i="2"/>
  <c r="AH217" i="2"/>
  <c r="AG217" i="2"/>
  <c r="AF217" i="2"/>
  <c r="AE217" i="2"/>
  <c r="AD217" i="2"/>
  <c r="AC217" i="2"/>
  <c r="AB217" i="2"/>
  <c r="AA217" i="2"/>
  <c r="Z217" i="2"/>
  <c r="Y217" i="2"/>
  <c r="AS216" i="2"/>
  <c r="AR216" i="2"/>
  <c r="AQ216" i="2"/>
  <c r="AP216" i="2"/>
  <c r="AO216" i="2"/>
  <c r="AN216" i="2"/>
  <c r="AM216" i="2"/>
  <c r="AL216" i="2"/>
  <c r="AK216" i="2"/>
  <c r="AJ216" i="2"/>
  <c r="AI216" i="2"/>
  <c r="AH216" i="2"/>
  <c r="AG216" i="2"/>
  <c r="AF216" i="2"/>
  <c r="AE216" i="2"/>
  <c r="AD216" i="2"/>
  <c r="AC216" i="2"/>
  <c r="AB216" i="2"/>
  <c r="AA216" i="2"/>
  <c r="Z216" i="2"/>
  <c r="Y216" i="2"/>
  <c r="AS213" i="2"/>
  <c r="AR213" i="2"/>
  <c r="AQ213" i="2"/>
  <c r="AP213" i="2"/>
  <c r="AO213" i="2"/>
  <c r="AN213" i="2"/>
  <c r="AM213" i="2"/>
  <c r="AL213" i="2"/>
  <c r="AK213" i="2"/>
  <c r="AJ213" i="2"/>
  <c r="AI213" i="2"/>
  <c r="AH213" i="2"/>
  <c r="AG213" i="2"/>
  <c r="AF213" i="2"/>
  <c r="AE213" i="2"/>
  <c r="AD213" i="2"/>
  <c r="AC213" i="2"/>
  <c r="AB213" i="2"/>
  <c r="AA213" i="2"/>
  <c r="Z213" i="2"/>
  <c r="Y213" i="2"/>
  <c r="AS235" i="2"/>
  <c r="AR235" i="2"/>
  <c r="AQ235" i="2"/>
  <c r="AP235" i="2"/>
  <c r="AO235" i="2"/>
  <c r="AN235" i="2"/>
  <c r="AM235" i="2"/>
  <c r="AL235" i="2"/>
  <c r="AK235" i="2"/>
  <c r="AJ235" i="2"/>
  <c r="AI235" i="2"/>
  <c r="AH235" i="2"/>
  <c r="AG235" i="2"/>
  <c r="AF235" i="2"/>
  <c r="AE235" i="2"/>
  <c r="AD235" i="2"/>
  <c r="AC235" i="2"/>
  <c r="AB235" i="2"/>
  <c r="AA235" i="2"/>
  <c r="Z235" i="2"/>
  <c r="Y235" i="2"/>
  <c r="AS240" i="2"/>
  <c r="AR240" i="2"/>
  <c r="AQ240" i="2"/>
  <c r="AP240" i="2"/>
  <c r="AO240" i="2"/>
  <c r="AN240" i="2"/>
  <c r="AM240" i="2"/>
  <c r="AL240" i="2"/>
  <c r="AK240" i="2"/>
  <c r="AJ240" i="2"/>
  <c r="AI240" i="2"/>
  <c r="AH240" i="2"/>
  <c r="AG240" i="2"/>
  <c r="AF240" i="2"/>
  <c r="AE240" i="2"/>
  <c r="AD240" i="2"/>
  <c r="AC240" i="2"/>
  <c r="AB240" i="2"/>
  <c r="AA240" i="2"/>
  <c r="Z240" i="2"/>
  <c r="Y240" i="2"/>
  <c r="AS230" i="2"/>
  <c r="AR230" i="2"/>
  <c r="AQ230" i="2"/>
  <c r="AP230" i="2"/>
  <c r="AO230" i="2"/>
  <c r="AN230" i="2"/>
  <c r="AM230" i="2"/>
  <c r="AL230" i="2"/>
  <c r="AK230" i="2"/>
  <c r="AJ230" i="2"/>
  <c r="AI230" i="2"/>
  <c r="AH230" i="2"/>
  <c r="AG230" i="2"/>
  <c r="AF230" i="2"/>
  <c r="AE230" i="2"/>
  <c r="AA230" i="2"/>
  <c r="Z230" i="2"/>
  <c r="Y230" i="2"/>
  <c r="AA232" i="2"/>
  <c r="BU232" i="2" s="1" a="1"/>
  <c r="BU232" i="2" s="1"/>
  <c r="BX232" i="2" s="1"/>
  <c r="BY232" i="2" s="1"/>
  <c r="CA232" i="2" s="1"/>
  <c r="Z232" i="2"/>
  <c r="Y232" i="2"/>
  <c r="AS211" i="2"/>
  <c r="AR211" i="2"/>
  <c r="AQ211" i="2"/>
  <c r="AP211" i="2"/>
  <c r="AO211" i="2"/>
  <c r="AN211" i="2"/>
  <c r="AM211" i="2"/>
  <c r="AL211" i="2"/>
  <c r="AK211" i="2"/>
  <c r="AJ211" i="2"/>
  <c r="AI211" i="2"/>
  <c r="AH211" i="2"/>
  <c r="AS231" i="2"/>
  <c r="AR231" i="2"/>
  <c r="AQ231" i="2"/>
  <c r="AP231" i="2"/>
  <c r="AO231" i="2"/>
  <c r="AN231" i="2"/>
  <c r="AM231" i="2"/>
  <c r="AL231" i="2"/>
  <c r="AK231" i="2"/>
  <c r="AJ231" i="2"/>
  <c r="AI231" i="2"/>
  <c r="AH231" i="2"/>
  <c r="AG231" i="2"/>
  <c r="AF231" i="2"/>
  <c r="AE231" i="2"/>
  <c r="AD231" i="2"/>
  <c r="AC231" i="2"/>
  <c r="AB231" i="2"/>
  <c r="AA231" i="2"/>
  <c r="Z231" i="2"/>
  <c r="Y231" i="2"/>
  <c r="AS228" i="2"/>
  <c r="AR228" i="2"/>
  <c r="AQ228" i="2"/>
  <c r="AP228" i="2"/>
  <c r="AO228" i="2"/>
  <c r="AN228" i="2"/>
  <c r="AM228" i="2"/>
  <c r="AL228" i="2"/>
  <c r="AK228" i="2"/>
  <c r="AJ228" i="2"/>
  <c r="AI228" i="2"/>
  <c r="AH228" i="2"/>
  <c r="AG228" i="2"/>
  <c r="AF228" i="2"/>
  <c r="AE228" i="2"/>
  <c r="AD228" i="2"/>
  <c r="AC228" i="2"/>
  <c r="AB228" i="2"/>
  <c r="AA228" i="2"/>
  <c r="Z228" i="2"/>
  <c r="Y228" i="2"/>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383" i="2"/>
  <c r="AB384" i="2"/>
  <c r="AB385" i="2"/>
  <c r="AB386" i="2"/>
  <c r="AC383" i="2"/>
  <c r="AC384" i="2"/>
  <c r="AC385" i="2"/>
  <c r="AC386" i="2"/>
  <c r="AD383" i="2"/>
  <c r="AD384" i="2"/>
  <c r="AD385" i="2"/>
  <c r="AD386" i="2"/>
  <c r="AE383" i="2"/>
  <c r="AE384" i="2"/>
  <c r="AE385" i="2"/>
  <c r="AE386" i="2"/>
  <c r="AF383" i="2"/>
  <c r="AG383" i="2"/>
  <c r="AH383" i="2"/>
  <c r="AI383" i="2"/>
  <c r="AJ383" i="2"/>
  <c r="AF384" i="2"/>
  <c r="AG384" i="2"/>
  <c r="AH384" i="2"/>
  <c r="AI384" i="2"/>
  <c r="AJ384" i="2"/>
  <c r="AF385" i="2"/>
  <c r="AG385" i="2"/>
  <c r="AH385" i="2"/>
  <c r="AI385" i="2"/>
  <c r="AJ385" i="2"/>
  <c r="AF386" i="2"/>
  <c r="AG386" i="2"/>
  <c r="AH386" i="2"/>
  <c r="AI386" i="2"/>
  <c r="AJ386" i="2"/>
  <c r="AK383" i="2"/>
  <c r="AK384" i="2"/>
  <c r="AK385" i="2"/>
  <c r="AK386" i="2"/>
  <c r="AL383" i="2"/>
  <c r="AM383" i="2"/>
  <c r="AN383" i="2"/>
  <c r="AL384" i="2"/>
  <c r="AM384" i="2"/>
  <c r="AN384" i="2"/>
  <c r="AL385" i="2"/>
  <c r="AM385" i="2"/>
  <c r="AN385" i="2"/>
  <c r="AL386" i="2"/>
  <c r="AM386" i="2"/>
  <c r="AN386" i="2"/>
  <c r="AO383" i="2"/>
  <c r="AO384" i="2"/>
  <c r="AO385" i="2"/>
  <c r="AO386" i="2"/>
  <c r="AP383" i="2"/>
  <c r="AQ383" i="2"/>
  <c r="AP384" i="2"/>
  <c r="AQ384" i="2"/>
  <c r="AP385" i="2"/>
  <c r="AQ385" i="2"/>
  <c r="AP386" i="2"/>
  <c r="AQ386" i="2"/>
  <c r="CG4" i="2"/>
  <c r="AM368" i="2"/>
  <c r="AL368" i="2"/>
  <c r="AM367" i="2"/>
  <c r="AL367" i="2"/>
  <c r="AM366" i="2"/>
  <c r="AL366" i="2"/>
  <c r="AK368" i="2"/>
  <c r="AK367" i="2"/>
  <c r="AK366" i="2"/>
  <c r="AM350" i="2"/>
  <c r="AL350" i="2"/>
  <c r="AK350" i="2"/>
  <c r="AM349" i="2"/>
  <c r="AL349" i="2"/>
  <c r="AK349" i="2"/>
  <c r="AM348" i="2"/>
  <c r="AL348" i="2"/>
  <c r="AK348" i="2"/>
  <c r="AM345" i="2"/>
  <c r="AL345" i="2"/>
  <c r="AK345" i="2"/>
  <c r="AM344" i="2"/>
  <c r="AL344" i="2"/>
  <c r="AK344" i="2"/>
  <c r="AM343" i="2"/>
  <c r="AL343" i="2"/>
  <c r="AK343" i="2"/>
  <c r="AM341" i="2"/>
  <c r="AL341" i="2"/>
  <c r="AK341" i="2"/>
  <c r="AM340" i="2"/>
  <c r="AL340" i="2"/>
  <c r="AK340" i="2"/>
  <c r="AM339" i="2"/>
  <c r="AL339" i="2"/>
  <c r="AK339" i="2"/>
  <c r="AM337" i="2"/>
  <c r="AL337" i="2"/>
  <c r="AM336" i="2"/>
  <c r="AL336" i="2"/>
  <c r="AM335" i="2"/>
  <c r="AL335" i="2"/>
  <c r="AK337" i="2"/>
  <c r="AK336" i="2"/>
  <c r="AK335" i="2"/>
  <c r="AM333" i="2"/>
  <c r="AL333" i="2"/>
  <c r="AK333" i="2"/>
  <c r="AM332" i="2"/>
  <c r="AL332" i="2"/>
  <c r="AK332" i="2"/>
  <c r="AM331" i="2"/>
  <c r="AL331" i="2"/>
  <c r="AK331" i="2"/>
  <c r="AM329" i="2"/>
  <c r="AL329" i="2"/>
  <c r="AM328" i="2"/>
  <c r="AL328" i="2"/>
  <c r="AM327" i="2"/>
  <c r="AL327" i="2"/>
  <c r="AK329" i="2"/>
  <c r="AK328" i="2"/>
  <c r="AK327" i="2"/>
  <c r="AM325" i="2"/>
  <c r="AL325" i="2"/>
  <c r="AK325" i="2"/>
  <c r="AM324" i="2"/>
  <c r="AL324" i="2"/>
  <c r="AK324" i="2"/>
  <c r="AM323" i="2"/>
  <c r="AL323" i="2"/>
  <c r="AK323" i="2"/>
  <c r="AM321" i="2"/>
  <c r="AL321" i="2"/>
  <c r="AM320" i="2"/>
  <c r="AL320" i="2"/>
  <c r="AM319" i="2"/>
  <c r="AL319" i="2"/>
  <c r="AK321" i="2"/>
  <c r="AK320" i="2"/>
  <c r="AK319" i="2"/>
  <c r="AM316" i="2"/>
  <c r="AL316" i="2"/>
  <c r="AK316" i="2"/>
  <c r="AM315" i="2"/>
  <c r="AL315" i="2"/>
  <c r="AK315" i="2"/>
  <c r="AM314" i="2"/>
  <c r="AL314" i="2"/>
  <c r="AK314" i="2"/>
  <c r="AM311" i="2"/>
  <c r="AL311" i="2"/>
  <c r="AK311" i="2"/>
  <c r="AM310" i="2"/>
  <c r="AL310" i="2"/>
  <c r="AK310" i="2"/>
  <c r="AM309" i="2"/>
  <c r="AL309" i="2"/>
  <c r="AK309" i="2"/>
  <c r="AM358" i="2"/>
  <c r="AL358" i="2"/>
  <c r="AK358" i="2"/>
  <c r="AM357" i="2"/>
  <c r="AL357" i="2"/>
  <c r="AK357" i="2"/>
  <c r="AM356" i="2"/>
  <c r="AL356" i="2"/>
  <c r="AK356" i="2"/>
  <c r="C6" i="6"/>
  <c r="C4" i="6"/>
  <c r="C3" i="6"/>
  <c r="AG202" i="2"/>
  <c r="AF202" i="2"/>
  <c r="AG201" i="2"/>
  <c r="AF201" i="2"/>
  <c r="AE202" i="2"/>
  <c r="AE201" i="2"/>
  <c r="AD202" i="2"/>
  <c r="AC202" i="2"/>
  <c r="AD201" i="2"/>
  <c r="AC201" i="2"/>
  <c r="AB202" i="2"/>
  <c r="AB201" i="2"/>
  <c r="D13" i="15"/>
  <c r="B5" i="6"/>
  <c r="B4" i="6"/>
  <c r="B3" i="6"/>
  <c r="BY414" i="2" l="1"/>
  <c r="CA414" i="2" s="1"/>
  <c r="CD414" i="2" s="1"/>
  <c r="BY411" i="2"/>
  <c r="CA411" i="2" s="1"/>
  <c r="CD411" i="2" s="1"/>
  <c r="CE411" i="2" s="1"/>
  <c r="BY408" i="2"/>
  <c r="CA408" i="2" s="1"/>
  <c r="CH408" i="2"/>
  <c r="CH409" i="2"/>
  <c r="CH414" i="2"/>
  <c r="CH501" i="2"/>
  <c r="CH500" i="2"/>
  <c r="CH502" i="2"/>
  <c r="CH411" i="2"/>
  <c r="CH412" i="2"/>
  <c r="CH413" i="2"/>
  <c r="CD409" i="2"/>
  <c r="CE409" i="2" s="1"/>
  <c r="CH504" i="2"/>
  <c r="CH410" i="2"/>
  <c r="CD410" i="2"/>
  <c r="CH503" i="2"/>
  <c r="CD412" i="2"/>
  <c r="CH497" i="2"/>
  <c r="CH494" i="2"/>
  <c r="CD413" i="2"/>
  <c r="BY495" i="2"/>
  <c r="CA495" i="2" s="1"/>
  <c r="CH493" i="2"/>
  <c r="CB495" i="2"/>
  <c r="CB496" i="2"/>
  <c r="BY496" i="2"/>
  <c r="CA496" i="2" s="1"/>
  <c r="CB493" i="2"/>
  <c r="CH495" i="2"/>
  <c r="CA493" i="2"/>
  <c r="CD494" i="2"/>
  <c r="CE494" i="2" s="1"/>
  <c r="CH499" i="2"/>
  <c r="CB499" i="2"/>
  <c r="CH496" i="2"/>
  <c r="CA503" i="2"/>
  <c r="CD503" i="2" s="1"/>
  <c r="CD502" i="2"/>
  <c r="CD500" i="2"/>
  <c r="BY499" i="2"/>
  <c r="CA499" i="2" s="1"/>
  <c r="CD504" i="2"/>
  <c r="CD501" i="2"/>
  <c r="CD505" i="2"/>
  <c r="CH506" i="2"/>
  <c r="CH505" i="2"/>
  <c r="BY491" i="2"/>
  <c r="CA491" i="2" s="1"/>
  <c r="CB497" i="2"/>
  <c r="CD506" i="2"/>
  <c r="BY497" i="2"/>
  <c r="CA497" i="2" s="1"/>
  <c r="CB498" i="2"/>
  <c r="CH498" i="2"/>
  <c r="CB492" i="2"/>
  <c r="BY498" i="2"/>
  <c r="CA498" i="2" s="1"/>
  <c r="BY490" i="2"/>
  <c r="CA490" i="2" s="1"/>
  <c r="CD490" i="2" s="1"/>
  <c r="CE490" i="2" s="1"/>
  <c r="BY492" i="2"/>
  <c r="CA492" i="2" s="1"/>
  <c r="CH492" i="2"/>
  <c r="BY489" i="2"/>
  <c r="CA489" i="2" s="1"/>
  <c r="BY488" i="2"/>
  <c r="CA488" i="2" s="1"/>
  <c r="CD488" i="2" s="1"/>
  <c r="CH489" i="2"/>
  <c r="CH488" i="2"/>
  <c r="CH491" i="2"/>
  <c r="CH490" i="2"/>
  <c r="CH7" i="2"/>
  <c r="BY153" i="2"/>
  <c r="CA153" i="2" s="1"/>
  <c r="CH432" i="2"/>
  <c r="CH484" i="2"/>
  <c r="BY309" i="2"/>
  <c r="CA309" i="2" s="1"/>
  <c r="CH475" i="2"/>
  <c r="BY321" i="2"/>
  <c r="CA321" i="2" s="1"/>
  <c r="BY23" i="2"/>
  <c r="CA23" i="2" s="1"/>
  <c r="BY470" i="2"/>
  <c r="CA470" i="2" s="1"/>
  <c r="BY333" i="2"/>
  <c r="CA333" i="2" s="1"/>
  <c r="BU150" i="2" a="1"/>
  <c r="BU150" i="2" s="1"/>
  <c r="BX150" i="2" s="1"/>
  <c r="BY150" i="2" s="1"/>
  <c r="CA150" i="2" s="1"/>
  <c r="BY156" i="2"/>
  <c r="CA156" i="2" s="1"/>
  <c r="BY142" i="2"/>
  <c r="CA142" i="2" s="1"/>
  <c r="BY128" i="2"/>
  <c r="CA128" i="2" s="1"/>
  <c r="BY116" i="2"/>
  <c r="CA116" i="2" s="1"/>
  <c r="BY104" i="2"/>
  <c r="CA104" i="2" s="1"/>
  <c r="CH337" i="2"/>
  <c r="CH265" i="2"/>
  <c r="CH205" i="2"/>
  <c r="CH141" i="2"/>
  <c r="CH117" i="2"/>
  <c r="CH72" i="2"/>
  <c r="BV139" i="2" a="1"/>
  <c r="BV139" i="2" s="1"/>
  <c r="BV143" i="2" a="1"/>
  <c r="BV143" i="2" s="1"/>
  <c r="BW150" i="2" a="1"/>
  <c r="BW150" i="2" s="1"/>
  <c r="BW143" i="2" a="1"/>
  <c r="BW143" i="2" s="1"/>
  <c r="BU139" i="2" a="1"/>
  <c r="BU139" i="2" s="1"/>
  <c r="BX139" i="2" s="1"/>
  <c r="BY139" i="2" s="1"/>
  <c r="CA139" i="2" s="1"/>
  <c r="BY356" i="2"/>
  <c r="CA356" i="2" s="1"/>
  <c r="BY343" i="2"/>
  <c r="CA343" i="2" s="1"/>
  <c r="BV232" i="2" a="1"/>
  <c r="BV232" i="2" s="1"/>
  <c r="CH436" i="2"/>
  <c r="BY367" i="2"/>
  <c r="CA367" i="2" s="1"/>
  <c r="BY18" i="2"/>
  <c r="CA18" i="2" s="1"/>
  <c r="BY378" i="2"/>
  <c r="CA378" i="2" s="1"/>
  <c r="BY329" i="2"/>
  <c r="CA329" i="2" s="1"/>
  <c r="BY317" i="2"/>
  <c r="CA317" i="2" s="1"/>
  <c r="BY208" i="2"/>
  <c r="CA208" i="2" s="1"/>
  <c r="BY197" i="2"/>
  <c r="CA197" i="2" s="1"/>
  <c r="BY185" i="2"/>
  <c r="CA185" i="2" s="1"/>
  <c r="BU143" i="2" a="1"/>
  <c r="BU143" i="2" s="1"/>
  <c r="BX143" i="2" s="1"/>
  <c r="BY143" i="2" s="1"/>
  <c r="CA143" i="2" s="1"/>
  <c r="BY377" i="2"/>
  <c r="CA377" i="2" s="1"/>
  <c r="BY196" i="2"/>
  <c r="CA196" i="2" s="1"/>
  <c r="CH386" i="2"/>
  <c r="CH374" i="2"/>
  <c r="BV150" i="2" a="1"/>
  <c r="BV150" i="2" s="1"/>
  <c r="BY166" i="2"/>
  <c r="CA166" i="2" s="1"/>
  <c r="CB1" i="2"/>
  <c r="CB12" i="2" s="1"/>
  <c r="BW139" i="2" a="1"/>
  <c r="BW139" i="2" s="1"/>
  <c r="BY455" i="2"/>
  <c r="CA455" i="2" s="1"/>
  <c r="BY437" i="2"/>
  <c r="CA437" i="2" s="1"/>
  <c r="BY363" i="2"/>
  <c r="CA363" i="2" s="1"/>
  <c r="BY291" i="2"/>
  <c r="CA291" i="2" s="1"/>
  <c r="BY344" i="2"/>
  <c r="CA344" i="2" s="1"/>
  <c r="BY167" i="2"/>
  <c r="CA167" i="2" s="1"/>
  <c r="BY155" i="2"/>
  <c r="CA155" i="2" s="1"/>
  <c r="BY141" i="2"/>
  <c r="CA141" i="2" s="1"/>
  <c r="CH143" i="2"/>
  <c r="BY459" i="2"/>
  <c r="CA459" i="2" s="1"/>
  <c r="BY441" i="2"/>
  <c r="CA441" i="2" s="1"/>
  <c r="BY352" i="2"/>
  <c r="CA352" i="2" s="1"/>
  <c r="BY339" i="2"/>
  <c r="CA339" i="2" s="1"/>
  <c r="BY256" i="2"/>
  <c r="CA256" i="2" s="1"/>
  <c r="CH319" i="2"/>
  <c r="BY440" i="2"/>
  <c r="CA440" i="2" s="1"/>
  <c r="CH329" i="2"/>
  <c r="CH317" i="2"/>
  <c r="CH281" i="2"/>
  <c r="CH185" i="2"/>
  <c r="BY267" i="2"/>
  <c r="CA267" i="2" s="1"/>
  <c r="BY405" i="2"/>
  <c r="CA405" i="2" s="1"/>
  <c r="BY346" i="2"/>
  <c r="CA346" i="2" s="1"/>
  <c r="BY433" i="2"/>
  <c r="CA433" i="2" s="1"/>
  <c r="BY271" i="2"/>
  <c r="CA271" i="2" s="1"/>
  <c r="BY147" i="2"/>
  <c r="CA147" i="2" s="1"/>
  <c r="BY87" i="2"/>
  <c r="CA87" i="2" s="1"/>
  <c r="BY14" i="2"/>
  <c r="CA14" i="2" s="1"/>
  <c r="BY424" i="2"/>
  <c r="CA424" i="2" s="1"/>
  <c r="BY456" i="2"/>
  <c r="CA456" i="2" s="1"/>
  <c r="BY481" i="2"/>
  <c r="CA481" i="2" s="1"/>
  <c r="BY373" i="2"/>
  <c r="CA373" i="2" s="1"/>
  <c r="BY300" i="2"/>
  <c r="CA300" i="2" s="1"/>
  <c r="BY159" i="2"/>
  <c r="CA159" i="2" s="1"/>
  <c r="BY62" i="2"/>
  <c r="CA62" i="2" s="1"/>
  <c r="BY37" i="2"/>
  <c r="CA37" i="2" s="1"/>
  <c r="BY25" i="2"/>
  <c r="CA25" i="2" s="1"/>
  <c r="BY13" i="2"/>
  <c r="CA13" i="2" s="1"/>
  <c r="BY431" i="2"/>
  <c r="CA431" i="2" s="1"/>
  <c r="BY299" i="2"/>
  <c r="CA299" i="2" s="1"/>
  <c r="BY85" i="2"/>
  <c r="CA85" i="2" s="1"/>
  <c r="BY73" i="2"/>
  <c r="CA73" i="2" s="1"/>
  <c r="BY47" i="2"/>
  <c r="CA47" i="2" s="1"/>
  <c r="BY450" i="2"/>
  <c r="CA450" i="2" s="1"/>
  <c r="BY423" i="2"/>
  <c r="CA423" i="2" s="1"/>
  <c r="BY334" i="2"/>
  <c r="CA334" i="2" s="1"/>
  <c r="BY322" i="2"/>
  <c r="CA322" i="2" s="1"/>
  <c r="BY310" i="2"/>
  <c r="CA310" i="2" s="1"/>
  <c r="BY287" i="2"/>
  <c r="CA287" i="2" s="1"/>
  <c r="BY275" i="2"/>
  <c r="CA275" i="2" s="1"/>
  <c r="BY129" i="2"/>
  <c r="CA129" i="2" s="1"/>
  <c r="BY117" i="2"/>
  <c r="CA117" i="2" s="1"/>
  <c r="BY84" i="2"/>
  <c r="CA84" i="2" s="1"/>
  <c r="CH326" i="2"/>
  <c r="CH302" i="2"/>
  <c r="CH278" i="2"/>
  <c r="CH242" i="2"/>
  <c r="CH194" i="2"/>
  <c r="CH435" i="2"/>
  <c r="CH461" i="2"/>
  <c r="CH341" i="2"/>
  <c r="CH391" i="2"/>
  <c r="CH130" i="2"/>
  <c r="CH49" i="2"/>
  <c r="CH431" i="2"/>
  <c r="CH270" i="2"/>
  <c r="CH258" i="2"/>
  <c r="CH26" i="2"/>
  <c r="CH439" i="2"/>
  <c r="CH110" i="2"/>
  <c r="CH29" i="2"/>
  <c r="CH17" i="2"/>
  <c r="CH5" i="2"/>
  <c r="CH453" i="2"/>
  <c r="CH131" i="2"/>
  <c r="CH445" i="2"/>
  <c r="CH9" i="2"/>
  <c r="CH469" i="2"/>
  <c r="CH114" i="2"/>
  <c r="CH102" i="2"/>
  <c r="CH93" i="2"/>
  <c r="CH81" i="2"/>
  <c r="CH69" i="2"/>
  <c r="CH45" i="2"/>
  <c r="CH33" i="2"/>
  <c r="CH21" i="2"/>
  <c r="CH384" i="2"/>
  <c r="CH180" i="2"/>
  <c r="CH428" i="2"/>
  <c r="CH299" i="2"/>
  <c r="CH287" i="2"/>
  <c r="CH239" i="2"/>
  <c r="CH203" i="2"/>
  <c r="CH147" i="2"/>
  <c r="CH135" i="2"/>
  <c r="CH99" i="2"/>
  <c r="CH479" i="2"/>
  <c r="CH396" i="2"/>
  <c r="CH6" i="2"/>
  <c r="CH455" i="2"/>
  <c r="CH42" i="2"/>
  <c r="CH30" i="2"/>
  <c r="CH18" i="2"/>
  <c r="CH111" i="2"/>
  <c r="CH66" i="2"/>
  <c r="CH78" i="2"/>
  <c r="CH467" i="2"/>
  <c r="CH335" i="2"/>
  <c r="CH323" i="2"/>
  <c r="CH275" i="2"/>
  <c r="CH251" i="2"/>
  <c r="CH227" i="2"/>
  <c r="CH215" i="2"/>
  <c r="CH191" i="2"/>
  <c r="CH179" i="2"/>
  <c r="CH171" i="2"/>
  <c r="CH159" i="2"/>
  <c r="CH123" i="2"/>
  <c r="CH54" i="2"/>
  <c r="CH90" i="2"/>
  <c r="CH383" i="2"/>
  <c r="CH371" i="2"/>
  <c r="CH359" i="2"/>
  <c r="CH347" i="2"/>
  <c r="CH440" i="2"/>
  <c r="CC238" i="2"/>
  <c r="CC387" i="2"/>
  <c r="CC221" i="2"/>
  <c r="CC211" i="2"/>
  <c r="CD211" i="2" s="1"/>
  <c r="CC224" i="2"/>
  <c r="CD224" i="2" s="1"/>
  <c r="CC231" i="2"/>
  <c r="CD231" i="2" s="1"/>
  <c r="CE231" i="2" s="1"/>
  <c r="CC395" i="2"/>
  <c r="CD395" i="2" s="1"/>
  <c r="CE395" i="2" s="1"/>
  <c r="CC443" i="2"/>
  <c r="CC507" i="2"/>
  <c r="CC60" i="2"/>
  <c r="CC67" i="2"/>
  <c r="CC112" i="2"/>
  <c r="CC149" i="2"/>
  <c r="CC181" i="2"/>
  <c r="CC253" i="2"/>
  <c r="CC289" i="2"/>
  <c r="CC325" i="2"/>
  <c r="CC22" i="2"/>
  <c r="CC59" i="2"/>
  <c r="CC169" i="2"/>
  <c r="CC258" i="2"/>
  <c r="CC374" i="2"/>
  <c r="CC17" i="2"/>
  <c r="CC15" i="2"/>
  <c r="CC198" i="2"/>
  <c r="CC261" i="2"/>
  <c r="CC35" i="2"/>
  <c r="CC267" i="2"/>
  <c r="CC364" i="2"/>
  <c r="CC467" i="2"/>
  <c r="CC203" i="2"/>
  <c r="CC45" i="2"/>
  <c r="CC300" i="2"/>
  <c r="CC189" i="2"/>
  <c r="CC20" i="2"/>
  <c r="CC357" i="2"/>
  <c r="CC159" i="2"/>
  <c r="CC392" i="2"/>
  <c r="CC381" i="2"/>
  <c r="CC165" i="2"/>
  <c r="CC27" i="2"/>
  <c r="CC31" i="2"/>
  <c r="CC373" i="2"/>
  <c r="CC98" i="2"/>
  <c r="CC39" i="2"/>
  <c r="CC70" i="2"/>
  <c r="CC191" i="2"/>
  <c r="CC123" i="2"/>
  <c r="CC424" i="2"/>
  <c r="CC279" i="2"/>
  <c r="CC484" i="2"/>
  <c r="CC161" i="2"/>
  <c r="CC193" i="2"/>
  <c r="CC301" i="2"/>
  <c r="CC41" i="2"/>
  <c r="CC138" i="2"/>
  <c r="CC81" i="2"/>
  <c r="CC90" i="2"/>
  <c r="CC255" i="2"/>
  <c r="CC400" i="2"/>
  <c r="CC171" i="2"/>
  <c r="CC172" i="2"/>
  <c r="CC441" i="2"/>
  <c r="CC48" i="2"/>
  <c r="CC318" i="2"/>
  <c r="CC271" i="2"/>
  <c r="CC463" i="2"/>
  <c r="CC162" i="2"/>
  <c r="CC405" i="2"/>
  <c r="CC403" i="2"/>
  <c r="CC291" i="2"/>
  <c r="CC117" i="2"/>
  <c r="CC393" i="2"/>
  <c r="CC437" i="2"/>
  <c r="CC269" i="2"/>
  <c r="CC96" i="2"/>
  <c r="CC352" i="2"/>
  <c r="CC348" i="2"/>
  <c r="CC479" i="2"/>
  <c r="CC71" i="2"/>
  <c r="CC116" i="2"/>
  <c r="CC152" i="2"/>
  <c r="CC184" i="2"/>
  <c r="CC256" i="2"/>
  <c r="CC292" i="2"/>
  <c r="CC328" i="2"/>
  <c r="CC25" i="2"/>
  <c r="CC462" i="2"/>
  <c r="CC188" i="2"/>
  <c r="CC281" i="2"/>
  <c r="CC377" i="2"/>
  <c r="CC30" i="2"/>
  <c r="CC38" i="2"/>
  <c r="CC257" i="2"/>
  <c r="CC333" i="2"/>
  <c r="CC49" i="2"/>
  <c r="CC290" i="2"/>
  <c r="CC367" i="2"/>
  <c r="CC471" i="2"/>
  <c r="CC294" i="2"/>
  <c r="CC275" i="2"/>
  <c r="CC73" i="2"/>
  <c r="CC323" i="2"/>
  <c r="CC297" i="2"/>
  <c r="CC33" i="2"/>
  <c r="CC375" i="2"/>
  <c r="CC321" i="2"/>
  <c r="CC285" i="2"/>
  <c r="CC129" i="2"/>
  <c r="CC21" i="2"/>
  <c r="CC210" i="2"/>
  <c r="CC51" i="2"/>
  <c r="CC260" i="2"/>
  <c r="CC397" i="2"/>
  <c r="CC360" i="2"/>
  <c r="CC125" i="2"/>
  <c r="CC265" i="2"/>
  <c r="CC337" i="2"/>
  <c r="CC273" i="2"/>
  <c r="CC111" i="2"/>
  <c r="CC306" i="2"/>
  <c r="CC339" i="2"/>
  <c r="CC97" i="2"/>
  <c r="CC282" i="2"/>
  <c r="CC11" i="2"/>
  <c r="CC342" i="2"/>
  <c r="CC206" i="2"/>
  <c r="CC160" i="2"/>
  <c r="CC458" i="2"/>
  <c r="CC24" i="2"/>
  <c r="CC486" i="2"/>
  <c r="CC274" i="2"/>
  <c r="CC26" i="2"/>
  <c r="CC89" i="2"/>
  <c r="CC6" i="2"/>
  <c r="CC205" i="2"/>
  <c r="CC313" i="2"/>
  <c r="CC46" i="2"/>
  <c r="CC343" i="2"/>
  <c r="CC130" i="2"/>
  <c r="CC163" i="2"/>
  <c r="CC65" i="2"/>
  <c r="CC433" i="2"/>
  <c r="CC82" i="2"/>
  <c r="CC62" i="2"/>
  <c r="CC366" i="2"/>
  <c r="CC302" i="2"/>
  <c r="CC422" i="2"/>
  <c r="CC485" i="2"/>
  <c r="CC478" i="2"/>
  <c r="CC75" i="2"/>
  <c r="CC119" i="2"/>
  <c r="CC155" i="2"/>
  <c r="CC187" i="2"/>
  <c r="CC259" i="2"/>
  <c r="CC295" i="2"/>
  <c r="CC331" i="2"/>
  <c r="CC28" i="2"/>
  <c r="CC8" i="2"/>
  <c r="CC201" i="2"/>
  <c r="CC428" i="2"/>
  <c r="CC451" i="2"/>
  <c r="CC54" i="2"/>
  <c r="CC52" i="2"/>
  <c r="CC270" i="2"/>
  <c r="CC118" i="2"/>
  <c r="CC64" i="2"/>
  <c r="CC303" i="2"/>
  <c r="CC370" i="2"/>
  <c r="CC42" i="2"/>
  <c r="CC445" i="2"/>
  <c r="CC86" i="2"/>
  <c r="CC336" i="2"/>
  <c r="CC430" i="2"/>
  <c r="CC183" i="2"/>
  <c r="CC57" i="2"/>
  <c r="CC449" i="2"/>
  <c r="CC44" i="2"/>
  <c r="CC315" i="2"/>
  <c r="CC263" i="2"/>
  <c r="CC249" i="2"/>
  <c r="CC76" i="2"/>
  <c r="CC293" i="2"/>
  <c r="CC83" i="2"/>
  <c r="CC34" i="2"/>
  <c r="CC135" i="2"/>
  <c r="CC317" i="2"/>
  <c r="CC376" i="2"/>
  <c r="CC124" i="2"/>
  <c r="CC327" i="2"/>
  <c r="CC197" i="2"/>
  <c r="CC14" i="2"/>
  <c r="CC207" i="2"/>
  <c r="CC482" i="2"/>
  <c r="CC128" i="2"/>
  <c r="CC196" i="2"/>
  <c r="CC304" i="2"/>
  <c r="CC55" i="2"/>
  <c r="CC151" i="2"/>
  <c r="CC94" i="2"/>
  <c r="CC455" i="2"/>
  <c r="CC379" i="2"/>
  <c r="CC278" i="2"/>
  <c r="CC147" i="2"/>
  <c r="CC110" i="2"/>
  <c r="CC324" i="2"/>
  <c r="CC276" i="2"/>
  <c r="CC84" i="2"/>
  <c r="CC299" i="2"/>
  <c r="CC346" i="2"/>
  <c r="CC131" i="2"/>
  <c r="CC199" i="2"/>
  <c r="CC429" i="2"/>
  <c r="CC72" i="2"/>
  <c r="CC252" i="2"/>
  <c r="CC113" i="2"/>
  <c r="CC127" i="2"/>
  <c r="CC382" i="2"/>
  <c r="CC457" i="2"/>
  <c r="CC330" i="2"/>
  <c r="CC88" i="2"/>
  <c r="CC305" i="2"/>
  <c r="CC421" i="2"/>
  <c r="CC85" i="2"/>
  <c r="CC150" i="2"/>
  <c r="CC69" i="2"/>
  <c r="CC335" i="2"/>
  <c r="CC200" i="2"/>
  <c r="CC341" i="2"/>
  <c r="CC481" i="2"/>
  <c r="CC140" i="2"/>
  <c r="CC487" i="2"/>
  <c r="CC79" i="2"/>
  <c r="CC122" i="2"/>
  <c r="CC158" i="2"/>
  <c r="CC190" i="2"/>
  <c r="CC262" i="2"/>
  <c r="CC298" i="2"/>
  <c r="CC334" i="2"/>
  <c r="CC18" i="2"/>
  <c r="CC36" i="2"/>
  <c r="CC472" i="2"/>
  <c r="CC66" i="2"/>
  <c r="CC68" i="2"/>
  <c r="CC186" i="2"/>
  <c r="CC77" i="2"/>
  <c r="CC326" i="2"/>
  <c r="CC176" i="2"/>
  <c r="CC106" i="2"/>
  <c r="CC105" i="2"/>
  <c r="CC314" i="2"/>
  <c r="CC107" i="2"/>
  <c r="CC139" i="2"/>
  <c r="CC284" i="2"/>
  <c r="CC87" i="2"/>
  <c r="CC164" i="2"/>
  <c r="CC268" i="2"/>
  <c r="CC37" i="2"/>
  <c r="CC296" i="2"/>
  <c r="CC145" i="2"/>
  <c r="CC329" i="2"/>
  <c r="CC109" i="2"/>
  <c r="CC320" i="2"/>
  <c r="CC416" i="2"/>
  <c r="CC347" i="2"/>
  <c r="CC312" i="2"/>
  <c r="CC80" i="2"/>
  <c r="CC434" i="2"/>
  <c r="CC91" i="2"/>
  <c r="CC167" i="2"/>
  <c r="CC307" i="2"/>
  <c r="CC40" i="2"/>
  <c r="CC309" i="2"/>
  <c r="CC168" i="2"/>
  <c r="CC477" i="2"/>
  <c r="CC345" i="2"/>
  <c r="CC340" i="2"/>
  <c r="CC29" i="2"/>
  <c r="CC359" i="2"/>
  <c r="CC418" i="2"/>
  <c r="CC194" i="2"/>
  <c r="CC202" i="2"/>
  <c r="CC332" i="2"/>
  <c r="CC362" i="2"/>
  <c r="CC435" i="2"/>
  <c r="CC132" i="2"/>
  <c r="CC272" i="2"/>
  <c r="CC173" i="2"/>
  <c r="CC95" i="2"/>
  <c r="CC460" i="2"/>
  <c r="CC368" i="2"/>
  <c r="CC380" i="2"/>
  <c r="CC354" i="2"/>
  <c r="CC419" i="2"/>
  <c r="CC444" i="2"/>
  <c r="CC452" i="2"/>
  <c r="CC148" i="2"/>
  <c r="CC436" i="2"/>
  <c r="CC134" i="2"/>
  <c r="CC43" i="2"/>
  <c r="CC177" i="2"/>
  <c r="CC353" i="2"/>
  <c r="CC432" i="2"/>
  <c r="CC277" i="2"/>
  <c r="CC402" i="2"/>
  <c r="CC468" i="2"/>
  <c r="CC192" i="2"/>
  <c r="CC426" i="2"/>
  <c r="CC483" i="2"/>
  <c r="CC438" i="2"/>
  <c r="CC104" i="2"/>
  <c r="CC143" i="2"/>
  <c r="CC175" i="2"/>
  <c r="CC247" i="2"/>
  <c r="CC283" i="2"/>
  <c r="CC319" i="2"/>
  <c r="CC16" i="2"/>
  <c r="CC53" i="2"/>
  <c r="CC133" i="2"/>
  <c r="CC406" i="2"/>
  <c r="CC356" i="2"/>
  <c r="CC440" i="2"/>
  <c r="CC404" i="2"/>
  <c r="CC166" i="2"/>
  <c r="CC114" i="2"/>
  <c r="CC417" i="2"/>
  <c r="CC195" i="2"/>
  <c r="CC358" i="2"/>
  <c r="CC450" i="2"/>
  <c r="CC141" i="2"/>
  <c r="CC102" i="2"/>
  <c r="CC439" i="2"/>
  <c r="CC264" i="2"/>
  <c r="CC144" i="2"/>
  <c r="CC61" i="2"/>
  <c r="CC448" i="2"/>
  <c r="CC308" i="2"/>
  <c r="CC407" i="2"/>
  <c r="CC453" i="2"/>
  <c r="CC459" i="2"/>
  <c r="CC399" i="2"/>
  <c r="CC99" i="2"/>
  <c r="CC369" i="2"/>
  <c r="CC363" i="2"/>
  <c r="CC469" i="2"/>
  <c r="CC63" i="2"/>
  <c r="CC108" i="2"/>
  <c r="CC178" i="2"/>
  <c r="CC250" i="2"/>
  <c r="CC286" i="2"/>
  <c r="CC322" i="2"/>
  <c r="CC19" i="2"/>
  <c r="CC56" i="2"/>
  <c r="CC156" i="2"/>
  <c r="CC208" i="2"/>
  <c r="CC365" i="2"/>
  <c r="CC7" i="2"/>
  <c r="CC5" i="2"/>
  <c r="CC185" i="2"/>
  <c r="CC248" i="2"/>
  <c r="CC12" i="2"/>
  <c r="CC254" i="2"/>
  <c r="CC361" i="2"/>
  <c r="CC454" i="2"/>
  <c r="CC154" i="2"/>
  <c r="CC115" i="2"/>
  <c r="CC287" i="2"/>
  <c r="CC157" i="2"/>
  <c r="CC74" i="2"/>
  <c r="CC10" i="2"/>
  <c r="CC338" i="2"/>
  <c r="CC136" i="2"/>
  <c r="CC126" i="2"/>
  <c r="CC266" i="2"/>
  <c r="CC142" i="2"/>
  <c r="CC470" i="2"/>
  <c r="CC4" i="2"/>
  <c r="CC310" i="2"/>
  <c r="CC288" i="2"/>
  <c r="CC349" i="2"/>
  <c r="CC371" i="2"/>
  <c r="CC93" i="2"/>
  <c r="CC137" i="2"/>
  <c r="CC464" i="2"/>
  <c r="CC311" i="2"/>
  <c r="CC423" i="2"/>
  <c r="CC465" i="2"/>
  <c r="CC204" i="2"/>
  <c r="CC9" i="2"/>
  <c r="CC146" i="2"/>
  <c r="CC32" i="2"/>
  <c r="CC456" i="2"/>
  <c r="CC170" i="2"/>
  <c r="CC442" i="2"/>
  <c r="CC179" i="2"/>
  <c r="CC415" i="2"/>
  <c r="CC396" i="2"/>
  <c r="CC180" i="2"/>
  <c r="CC209" i="2"/>
  <c r="CC431" i="2"/>
  <c r="CC153" i="2"/>
  <c r="CC100" i="2"/>
  <c r="CC391" i="2"/>
  <c r="CC420" i="2"/>
  <c r="CB455" i="2"/>
  <c r="I4" i="6"/>
  <c r="BZ272" i="2" s="1"/>
  <c r="BZ102" i="2"/>
  <c r="I5" i="6"/>
  <c r="BZ382" i="2" s="1"/>
  <c r="BZ342" i="2"/>
  <c r="BZ21" i="2"/>
  <c r="BZ403" i="2"/>
  <c r="BZ146" i="2"/>
  <c r="CH98" i="2"/>
  <c r="CH392" i="2"/>
  <c r="CH332" i="2"/>
  <c r="CH284" i="2"/>
  <c r="CH212" i="2"/>
  <c r="CH176" i="2"/>
  <c r="CH434" i="2"/>
  <c r="CH248" i="2"/>
  <c r="CH352" i="2"/>
  <c r="CH344" i="2"/>
  <c r="CH260" i="2"/>
  <c r="CH144" i="2"/>
  <c r="CH74" i="2"/>
  <c r="CH463" i="2"/>
  <c r="CH425" i="2"/>
  <c r="CH168" i="2"/>
  <c r="CH132" i="2"/>
  <c r="CH107" i="2"/>
  <c r="CH86" i="2"/>
  <c r="CH218" i="2"/>
  <c r="CH126" i="2"/>
  <c r="CH398" i="2"/>
  <c r="CH325" i="2"/>
  <c r="CH313" i="2"/>
  <c r="CH301" i="2"/>
  <c r="CH289" i="2"/>
  <c r="CH277" i="2"/>
  <c r="CH253" i="2"/>
  <c r="CH241" i="2"/>
  <c r="CH229" i="2"/>
  <c r="CH217" i="2"/>
  <c r="CH193" i="2"/>
  <c r="CH181" i="2"/>
  <c r="CH173" i="2"/>
  <c r="CH161" i="2"/>
  <c r="CH149" i="2"/>
  <c r="CH137" i="2"/>
  <c r="CH125" i="2"/>
  <c r="CH44" i="2"/>
  <c r="CH20" i="2"/>
  <c r="CH357" i="2"/>
  <c r="CH407" i="2"/>
  <c r="CH112" i="2"/>
  <c r="CH100" i="2"/>
  <c r="CH43" i="2"/>
  <c r="CH31" i="2"/>
  <c r="CH477" i="2"/>
  <c r="CB106" i="2"/>
  <c r="CH427" i="2"/>
  <c r="BY279" i="2"/>
  <c r="CA279" i="2" s="1"/>
  <c r="CB70" i="2"/>
  <c r="CH89" i="2"/>
  <c r="CH77" i="2"/>
  <c r="CH65" i="2"/>
  <c r="CB74" i="2"/>
  <c r="CH416" i="2"/>
  <c r="BY255" i="2"/>
  <c r="CA255" i="2" s="1"/>
  <c r="CB407" i="2"/>
  <c r="BY263" i="2"/>
  <c r="CA263" i="2" s="1"/>
  <c r="BY251" i="2"/>
  <c r="CA251" i="2" s="1"/>
  <c r="BY26" i="2"/>
  <c r="CA26" i="2" s="1"/>
  <c r="BY478" i="2"/>
  <c r="CA478" i="2" s="1"/>
  <c r="CB71" i="2"/>
  <c r="BY34" i="2"/>
  <c r="CA34" i="2" s="1"/>
  <c r="CH466" i="2"/>
  <c r="CH340" i="2"/>
  <c r="CH334" i="2"/>
  <c r="CH328" i="2"/>
  <c r="CH322" i="2"/>
  <c r="CH316" i="2"/>
  <c r="CH310" i="2"/>
  <c r="CH304" i="2"/>
  <c r="CH298" i="2"/>
  <c r="CH292" i="2"/>
  <c r="CH286" i="2"/>
  <c r="CH280" i="2"/>
  <c r="CH274" i="2"/>
  <c r="CH268" i="2"/>
  <c r="CH262" i="2"/>
  <c r="CH256" i="2"/>
  <c r="CH250" i="2"/>
  <c r="CH244" i="2"/>
  <c r="CH238" i="2"/>
  <c r="CH232" i="2"/>
  <c r="CH226" i="2"/>
  <c r="CH220" i="2"/>
  <c r="CH214" i="2"/>
  <c r="CH202" i="2"/>
  <c r="CH196" i="2"/>
  <c r="CH190" i="2"/>
  <c r="CH184" i="2"/>
  <c r="CH178" i="2"/>
  <c r="CH174" i="2"/>
  <c r="CH170" i="2"/>
  <c r="CH164" i="2"/>
  <c r="CH158" i="2"/>
  <c r="CH152" i="2"/>
  <c r="CH146" i="2"/>
  <c r="CH140" i="2"/>
  <c r="CH134" i="2"/>
  <c r="CH128" i="2"/>
  <c r="CH122" i="2"/>
  <c r="CH116" i="2"/>
  <c r="CH104" i="2"/>
  <c r="CH83" i="2"/>
  <c r="CH71" i="2"/>
  <c r="CH59" i="2"/>
  <c r="CH53" i="2"/>
  <c r="CB109" i="2"/>
  <c r="CH346" i="2"/>
  <c r="CH395" i="2"/>
  <c r="BY48" i="2"/>
  <c r="CA48" i="2" s="1"/>
  <c r="BY482" i="2"/>
  <c r="CA482" i="2" s="1"/>
  <c r="BY61" i="2"/>
  <c r="CA61" i="2" s="1"/>
  <c r="CH41" i="2"/>
  <c r="BY272" i="2"/>
  <c r="CA272" i="2" s="1"/>
  <c r="CB115" i="2"/>
  <c r="BY56" i="2"/>
  <c r="CA56" i="2" s="1"/>
  <c r="CH382" i="2"/>
  <c r="CH370" i="2"/>
  <c r="CH358" i="2"/>
  <c r="BY268" i="2"/>
  <c r="CA268" i="2" s="1"/>
  <c r="CH481" i="2"/>
  <c r="CH443" i="2"/>
  <c r="CH290" i="2"/>
  <c r="CH254" i="2"/>
  <c r="CH150" i="2"/>
  <c r="CH465" i="2"/>
  <c r="CH333" i="2"/>
  <c r="CH321" i="2"/>
  <c r="CH297" i="2"/>
  <c r="CH225" i="2"/>
  <c r="CH213" i="2"/>
  <c r="CH201" i="2"/>
  <c r="CH189" i="2"/>
  <c r="CH177" i="2"/>
  <c r="CH393" i="2"/>
  <c r="CH476" i="2"/>
  <c r="CH380" i="2"/>
  <c r="CH27" i="2"/>
  <c r="CH343" i="2"/>
  <c r="CH331" i="2"/>
  <c r="CH283" i="2"/>
  <c r="CH271" i="2"/>
  <c r="CH259" i="2"/>
  <c r="CH247" i="2"/>
  <c r="CH223" i="2"/>
  <c r="CH211" i="2"/>
  <c r="CH199" i="2"/>
  <c r="CH187" i="2"/>
  <c r="CH119" i="2"/>
  <c r="CH50" i="2"/>
  <c r="CH399" i="2"/>
  <c r="CH385" i="2"/>
  <c r="CH361" i="2"/>
  <c r="CH336" i="2"/>
  <c r="CH312" i="2"/>
  <c r="CH300" i="2"/>
  <c r="CH288" i="2"/>
  <c r="CH252" i="2"/>
  <c r="CH216" i="2"/>
  <c r="CH172" i="2"/>
  <c r="CH136" i="2"/>
  <c r="CH124" i="2"/>
  <c r="CH55" i="2"/>
  <c r="CH24" i="2"/>
  <c r="CH12" i="2"/>
  <c r="CH430" i="2"/>
  <c r="CH458" i="2"/>
  <c r="CH423" i="2"/>
  <c r="CH366" i="2"/>
  <c r="CH13" i="2"/>
  <c r="CH415" i="2"/>
  <c r="CH48" i="2"/>
  <c r="CH483" i="2"/>
  <c r="CH472" i="2"/>
  <c r="CH433" i="2"/>
  <c r="CH417" i="2"/>
  <c r="CH401" i="2"/>
  <c r="CH388" i="2"/>
  <c r="CH208" i="2"/>
  <c r="CH35" i="2"/>
  <c r="CH459" i="2"/>
  <c r="CH195" i="2"/>
  <c r="CB487" i="2"/>
  <c r="CB457" i="2"/>
  <c r="CB91" i="2"/>
  <c r="CB72" i="2"/>
  <c r="CB90" i="2"/>
  <c r="CB73" i="2"/>
  <c r="CB67" i="2"/>
  <c r="CB110" i="2"/>
  <c r="CB77" i="2"/>
  <c r="CB81" i="2"/>
  <c r="CB101" i="2"/>
  <c r="CB458" i="2"/>
  <c r="CB96" i="2"/>
  <c r="CB103" i="2"/>
  <c r="CB85" i="2"/>
  <c r="CB434" i="2"/>
  <c r="CB98" i="2"/>
  <c r="CB66" i="2"/>
  <c r="CB425" i="2"/>
  <c r="CB93" i="2"/>
  <c r="CB102" i="2"/>
  <c r="CB111" i="2"/>
  <c r="CB433" i="2"/>
  <c r="CB112" i="2"/>
  <c r="CB432" i="2"/>
  <c r="CB86" i="2"/>
  <c r="CB82" i="2"/>
  <c r="CB94" i="2"/>
  <c r="CB435" i="2"/>
  <c r="CB76" i="2"/>
  <c r="CB80" i="2"/>
  <c r="CB88" i="2"/>
  <c r="CB84" i="2"/>
  <c r="CB65" i="2"/>
  <c r="CB100" i="2"/>
  <c r="CB63" i="2"/>
  <c r="CB97" i="2"/>
  <c r="CB64" i="2"/>
  <c r="CB83" i="2"/>
  <c r="CB108" i="2"/>
  <c r="CB92" i="2"/>
  <c r="CB62" i="2"/>
  <c r="CB104" i="2"/>
  <c r="CB87" i="2"/>
  <c r="CB116" i="2"/>
  <c r="CB105" i="2"/>
  <c r="CB69" i="2"/>
  <c r="CB95" i="2"/>
  <c r="BY486" i="2"/>
  <c r="CA486" i="2" s="1"/>
  <c r="CB68" i="2"/>
  <c r="BY41" i="2"/>
  <c r="CA41" i="2" s="1"/>
  <c r="BY203" i="2"/>
  <c r="CA203" i="2" s="1"/>
  <c r="BY289" i="2"/>
  <c r="CA289" i="2" s="1"/>
  <c r="BY209" i="2"/>
  <c r="CA209" i="2" s="1"/>
  <c r="BY430" i="2"/>
  <c r="CA430" i="2" s="1"/>
  <c r="BY320" i="2"/>
  <c r="CA320" i="2" s="1"/>
  <c r="BY98" i="2"/>
  <c r="CA98" i="2" s="1"/>
  <c r="BY467" i="2"/>
  <c r="CA467" i="2" s="1"/>
  <c r="BY301" i="2"/>
  <c r="CA301" i="2" s="1"/>
  <c r="BY418" i="2"/>
  <c r="CA418" i="2" s="1"/>
  <c r="BY170" i="2"/>
  <c r="CA170" i="2" s="1"/>
  <c r="BY258" i="2"/>
  <c r="CA258" i="2" s="1"/>
  <c r="BY306" i="2"/>
  <c r="CA306" i="2" s="1"/>
  <c r="BY148" i="2"/>
  <c r="CA148" i="2" s="1"/>
  <c r="BY74" i="2"/>
  <c r="CA74" i="2" s="1"/>
  <c r="BY327" i="2"/>
  <c r="CA327" i="2" s="1"/>
  <c r="BY403" i="2"/>
  <c r="CA403" i="2" s="1"/>
  <c r="BY457" i="2"/>
  <c r="CA457" i="2" s="1"/>
  <c r="BY477" i="2"/>
  <c r="CA477" i="2" s="1"/>
  <c r="BY186" i="2"/>
  <c r="CA186" i="2" s="1"/>
  <c r="BY136" i="2"/>
  <c r="CA136" i="2" s="1"/>
  <c r="BY469" i="2"/>
  <c r="CA469" i="2" s="1"/>
  <c r="BY64" i="2"/>
  <c r="CA64" i="2" s="1"/>
  <c r="BY66" i="2"/>
  <c r="CA66" i="2" s="1"/>
  <c r="BY81" i="2"/>
  <c r="CA81" i="2" s="1"/>
  <c r="BY184" i="2"/>
  <c r="CA184" i="2" s="1"/>
  <c r="BY169" i="2"/>
  <c r="CA169" i="2" s="1"/>
  <c r="BY90" i="2"/>
  <c r="CA90" i="2" s="1"/>
  <c r="BY326" i="2"/>
  <c r="CA326" i="2" s="1"/>
  <c r="BY376" i="2"/>
  <c r="CA376" i="2" s="1"/>
  <c r="BY52" i="2"/>
  <c r="CA52" i="2" s="1"/>
  <c r="BY111" i="2"/>
  <c r="CA111" i="2" s="1"/>
  <c r="BY399" i="2"/>
  <c r="CA399" i="2" s="1"/>
  <c r="BY105" i="2"/>
  <c r="CA105" i="2" s="1"/>
  <c r="BY297" i="2"/>
  <c r="CA297" i="2" s="1"/>
  <c r="CB78" i="2"/>
  <c r="CB89" i="2"/>
  <c r="BY204" i="2"/>
  <c r="CA204" i="2" s="1"/>
  <c r="BY192" i="2"/>
  <c r="CA192" i="2" s="1"/>
  <c r="BY181" i="2"/>
  <c r="CA181" i="2" s="1"/>
  <c r="BY173" i="2"/>
  <c r="CA173" i="2" s="1"/>
  <c r="BY162" i="2"/>
  <c r="CA162" i="2" s="1"/>
  <c r="BY151" i="2"/>
  <c r="CA151" i="2" s="1"/>
  <c r="BY124" i="2"/>
  <c r="CA124" i="2" s="1"/>
  <c r="BY112" i="2"/>
  <c r="CA112" i="2" s="1"/>
  <c r="BY100" i="2"/>
  <c r="CA100" i="2" s="1"/>
  <c r="BY91" i="2"/>
  <c r="CA91" i="2" s="1"/>
  <c r="BY80" i="2"/>
  <c r="CA80" i="2" s="1"/>
  <c r="BY69" i="2"/>
  <c r="CA69" i="2" s="1"/>
  <c r="BY44" i="2"/>
  <c r="CA44" i="2" s="1"/>
  <c r="BY33" i="2"/>
  <c r="CA33" i="2" s="1"/>
  <c r="BY21" i="2"/>
  <c r="CA21" i="2" s="1"/>
  <c r="BY9" i="2"/>
  <c r="CA9" i="2" s="1"/>
  <c r="BY427" i="2"/>
  <c r="CA427" i="2" s="1"/>
  <c r="CB113" i="2"/>
  <c r="CB426" i="2"/>
  <c r="CB107" i="2"/>
  <c r="CB456" i="2"/>
  <c r="BY454" i="2"/>
  <c r="CA454" i="2" s="1"/>
  <c r="BY436" i="2"/>
  <c r="CA436" i="2" s="1"/>
  <c r="BY366" i="2"/>
  <c r="CA366" i="2" s="1"/>
  <c r="BY355" i="2"/>
  <c r="CA355" i="2" s="1"/>
  <c r="BY342" i="2"/>
  <c r="CA342" i="2" s="1"/>
  <c r="BY332" i="2"/>
  <c r="CA332" i="2" s="1"/>
  <c r="BY308" i="2"/>
  <c r="CA308" i="2" s="1"/>
  <c r="BY290" i="2"/>
  <c r="CA290" i="2" s="1"/>
  <c r="BY278" i="2"/>
  <c r="CA278" i="2" s="1"/>
  <c r="BY266" i="2"/>
  <c r="CA266" i="2" s="1"/>
  <c r="BY254" i="2"/>
  <c r="CA254" i="2" s="1"/>
  <c r="BY207" i="2"/>
  <c r="CA207" i="2" s="1"/>
  <c r="BY195" i="2"/>
  <c r="CA195" i="2" s="1"/>
  <c r="BY174" i="2"/>
  <c r="CA174" i="2" s="1"/>
  <c r="BY165" i="2"/>
  <c r="CA165" i="2" s="1"/>
  <c r="BY154" i="2"/>
  <c r="CA154" i="2" s="1"/>
  <c r="BY140" i="2"/>
  <c r="CA140" i="2" s="1"/>
  <c r="BY127" i="2"/>
  <c r="CA127" i="2" s="1"/>
  <c r="BY115" i="2"/>
  <c r="CA115" i="2" s="1"/>
  <c r="BY103" i="2"/>
  <c r="CA103" i="2" s="1"/>
  <c r="BY94" i="2"/>
  <c r="CA94" i="2" s="1"/>
  <c r="BY83" i="2"/>
  <c r="CA83" i="2" s="1"/>
  <c r="BY72" i="2"/>
  <c r="CA72" i="2" s="1"/>
  <c r="BY12" i="2"/>
  <c r="CA12" i="2" s="1"/>
  <c r="CH390" i="2"/>
  <c r="CH378" i="2"/>
  <c r="CH360" i="2"/>
  <c r="CH348" i="2"/>
  <c r="CH305" i="2"/>
  <c r="CH293" i="2"/>
  <c r="CH269" i="2"/>
  <c r="CH257" i="2"/>
  <c r="CH245" i="2"/>
  <c r="CH233" i="2"/>
  <c r="CH221" i="2"/>
  <c r="CH197" i="2"/>
  <c r="CH165" i="2"/>
  <c r="CH153" i="2"/>
  <c r="CH129" i="2"/>
  <c r="CH106" i="2"/>
  <c r="CH85" i="2"/>
  <c r="CH73" i="2"/>
  <c r="CH61" i="2"/>
  <c r="BY438" i="2"/>
  <c r="CA438" i="2" s="1"/>
  <c r="CH60" i="2"/>
  <c r="BY4" i="2"/>
  <c r="CA4" i="2" s="1"/>
  <c r="BY453" i="2"/>
  <c r="CA453" i="2" s="1"/>
  <c r="BY432" i="2"/>
  <c r="CA432" i="2" s="1"/>
  <c r="BY400" i="2"/>
  <c r="CA400" i="2" s="1"/>
  <c r="BY375" i="2"/>
  <c r="CA375" i="2" s="1"/>
  <c r="BY365" i="2"/>
  <c r="CA365" i="2" s="1"/>
  <c r="BY354" i="2"/>
  <c r="CA354" i="2" s="1"/>
  <c r="BY341" i="2"/>
  <c r="CA341" i="2" s="1"/>
  <c r="BY331" i="2"/>
  <c r="CA331" i="2" s="1"/>
  <c r="BY319" i="2"/>
  <c r="CA319" i="2" s="1"/>
  <c r="BY307" i="2"/>
  <c r="CA307" i="2" s="1"/>
  <c r="BY298" i="2"/>
  <c r="CA298" i="2" s="1"/>
  <c r="BY265" i="2"/>
  <c r="CA265" i="2" s="1"/>
  <c r="BY206" i="2"/>
  <c r="CA206" i="2" s="1"/>
  <c r="BY194" i="2"/>
  <c r="CA194" i="2" s="1"/>
  <c r="BY183" i="2"/>
  <c r="CA183" i="2" s="1"/>
  <c r="BY164" i="2"/>
  <c r="CA164" i="2" s="1"/>
  <c r="BY138" i="2"/>
  <c r="CA138" i="2" s="1"/>
  <c r="BY126" i="2"/>
  <c r="CA126" i="2" s="1"/>
  <c r="BY114" i="2"/>
  <c r="CA114" i="2" s="1"/>
  <c r="BY102" i="2"/>
  <c r="CA102" i="2" s="1"/>
  <c r="BY93" i="2"/>
  <c r="CA93" i="2" s="1"/>
  <c r="BY82" i="2"/>
  <c r="CA82" i="2" s="1"/>
  <c r="BY71" i="2"/>
  <c r="CA71" i="2" s="1"/>
  <c r="BY58" i="2"/>
  <c r="CA58" i="2" s="1"/>
  <c r="BY46" i="2"/>
  <c r="CA46" i="2" s="1"/>
  <c r="BY35" i="2"/>
  <c r="CA35" i="2" s="1"/>
  <c r="BY11" i="2"/>
  <c r="CA11" i="2" s="1"/>
  <c r="CH105" i="2"/>
  <c r="CH84" i="2"/>
  <c r="BY429" i="2"/>
  <c r="CA429" i="2" s="1"/>
  <c r="BY421" i="2"/>
  <c r="CA421" i="2" s="1"/>
  <c r="BY471" i="2"/>
  <c r="CA471" i="2" s="1"/>
  <c r="BY451" i="2"/>
  <c r="CA451" i="2" s="1"/>
  <c r="BY374" i="2"/>
  <c r="CA374" i="2" s="1"/>
  <c r="BY364" i="2"/>
  <c r="CA364" i="2" s="1"/>
  <c r="BY353" i="2"/>
  <c r="CA353" i="2" s="1"/>
  <c r="BY340" i="2"/>
  <c r="CA340" i="2" s="1"/>
  <c r="BY330" i="2"/>
  <c r="CA330" i="2" s="1"/>
  <c r="BY318" i="2"/>
  <c r="CA318" i="2" s="1"/>
  <c r="BY288" i="2"/>
  <c r="CA288" i="2" s="1"/>
  <c r="BY276" i="2"/>
  <c r="CA276" i="2" s="1"/>
  <c r="BY264" i="2"/>
  <c r="CA264" i="2" s="1"/>
  <c r="BY252" i="2"/>
  <c r="CA252" i="2" s="1"/>
  <c r="BY205" i="2"/>
  <c r="CA205" i="2" s="1"/>
  <c r="BY193" i="2"/>
  <c r="CA193" i="2" s="1"/>
  <c r="BY182" i="2"/>
  <c r="CA182" i="2" s="1"/>
  <c r="BY163" i="2"/>
  <c r="CA163" i="2" s="1"/>
  <c r="BY152" i="2"/>
  <c r="CA152" i="2" s="1"/>
  <c r="BY137" i="2"/>
  <c r="CA137" i="2" s="1"/>
  <c r="BY125" i="2"/>
  <c r="CA125" i="2" s="1"/>
  <c r="BY113" i="2"/>
  <c r="CA113" i="2" s="1"/>
  <c r="BY101" i="2"/>
  <c r="CA101" i="2" s="1"/>
  <c r="BY92" i="2"/>
  <c r="CA92" i="2" s="1"/>
  <c r="BY70" i="2"/>
  <c r="CA70" i="2" s="1"/>
  <c r="BY57" i="2"/>
  <c r="CA57" i="2" s="1"/>
  <c r="BY45" i="2"/>
  <c r="CA45" i="2" s="1"/>
  <c r="BY22" i="2"/>
  <c r="CA22" i="2" s="1"/>
  <c r="BY10" i="2"/>
  <c r="CA10" i="2" s="1"/>
  <c r="CH473" i="2"/>
  <c r="CH397" i="2"/>
  <c r="CH389" i="2"/>
  <c r="CH377" i="2"/>
  <c r="CH365" i="2"/>
  <c r="CH353" i="2"/>
  <c r="CH209" i="2"/>
  <c r="BY464" i="2"/>
  <c r="CA464" i="2" s="1"/>
  <c r="BY452" i="2"/>
  <c r="CA452" i="2" s="1"/>
  <c r="BY444" i="2"/>
  <c r="CA444" i="2" s="1"/>
  <c r="BY8" i="2"/>
  <c r="CA8" i="2" s="1"/>
  <c r="BY36" i="2"/>
  <c r="CA36" i="2" s="1"/>
  <c r="BY448" i="2"/>
  <c r="CA448" i="2" s="1"/>
  <c r="BY417" i="2"/>
  <c r="CA417" i="2" s="1"/>
  <c r="BY397" i="2"/>
  <c r="CD397" i="2" s="1"/>
  <c r="BY361" i="2"/>
  <c r="CA361" i="2" s="1"/>
  <c r="BY350" i="2"/>
  <c r="CA350" i="2" s="1"/>
  <c r="BY315" i="2"/>
  <c r="CA315" i="2" s="1"/>
  <c r="BY304" i="2"/>
  <c r="CA304" i="2" s="1"/>
  <c r="BY273" i="2"/>
  <c r="CA273" i="2" s="1"/>
  <c r="BY261" i="2"/>
  <c r="CA261" i="2" s="1"/>
  <c r="BY249" i="2"/>
  <c r="CA249" i="2" s="1"/>
  <c r="BY202" i="2"/>
  <c r="CA202" i="2" s="1"/>
  <c r="BY190" i="2"/>
  <c r="CA190" i="2" s="1"/>
  <c r="BY179" i="2"/>
  <c r="CA179" i="2" s="1"/>
  <c r="BY171" i="2"/>
  <c r="CA171" i="2" s="1"/>
  <c r="BY160" i="2"/>
  <c r="CA160" i="2" s="1"/>
  <c r="BY134" i="2"/>
  <c r="CA134" i="2" s="1"/>
  <c r="BY122" i="2"/>
  <c r="CA122" i="2" s="1"/>
  <c r="BY110" i="2"/>
  <c r="CA110" i="2" s="1"/>
  <c r="BY89" i="2"/>
  <c r="CA89" i="2" s="1"/>
  <c r="BY78" i="2"/>
  <c r="CA78" i="2" s="1"/>
  <c r="BY67" i="2"/>
  <c r="CA67" i="2" s="1"/>
  <c r="BY42" i="2"/>
  <c r="CA42" i="2" s="1"/>
  <c r="BY31" i="2"/>
  <c r="CA31" i="2" s="1"/>
  <c r="BY19" i="2"/>
  <c r="CA19" i="2" s="1"/>
  <c r="BY7" i="2"/>
  <c r="CA7" i="2" s="1"/>
  <c r="CH418" i="2"/>
  <c r="CH403" i="2"/>
  <c r="BY439" i="2"/>
  <c r="CA439" i="2" s="1"/>
  <c r="BY425" i="2"/>
  <c r="CA425" i="2" s="1"/>
  <c r="BY398" i="2"/>
  <c r="CA398" i="2" s="1"/>
  <c r="BY351" i="2"/>
  <c r="CA351" i="2" s="1"/>
  <c r="BY296" i="2"/>
  <c r="CA296" i="2" s="1"/>
  <c r="BY262" i="2"/>
  <c r="CA262" i="2" s="1"/>
  <c r="BY191" i="2"/>
  <c r="CA191" i="2" s="1"/>
  <c r="BY149" i="2"/>
  <c r="CA149" i="2" s="1"/>
  <c r="BY99" i="2"/>
  <c r="CA99" i="2" s="1"/>
  <c r="BY68" i="2"/>
  <c r="CA68" i="2" s="1"/>
  <c r="BY43" i="2"/>
  <c r="CA43" i="2" s="1"/>
  <c r="CH402" i="2"/>
  <c r="BY462" i="2"/>
  <c r="CA462" i="2" s="1"/>
  <c r="BY485" i="2"/>
  <c r="CA485" i="2" s="1"/>
  <c r="BY24" i="2"/>
  <c r="CA24" i="2" s="1"/>
  <c r="BY416" i="2"/>
  <c r="CA416" i="2" s="1"/>
  <c r="BY371" i="2"/>
  <c r="CA371" i="2" s="1"/>
  <c r="BY360" i="2"/>
  <c r="CA360" i="2" s="1"/>
  <c r="BY349" i="2"/>
  <c r="CA349" i="2" s="1"/>
  <c r="BY338" i="2"/>
  <c r="CA338" i="2" s="1"/>
  <c r="BY314" i="2"/>
  <c r="CA314" i="2" s="1"/>
  <c r="BY303" i="2"/>
  <c r="CA303" i="2" s="1"/>
  <c r="BY295" i="2"/>
  <c r="CA295" i="2" s="1"/>
  <c r="BY284" i="2"/>
  <c r="CA284" i="2" s="1"/>
  <c r="BY260" i="2"/>
  <c r="CA260" i="2" s="1"/>
  <c r="BY248" i="2"/>
  <c r="CA248" i="2" s="1"/>
  <c r="BY201" i="2"/>
  <c r="CA201" i="2" s="1"/>
  <c r="BY178" i="2"/>
  <c r="CA178" i="2" s="1"/>
  <c r="BY133" i="2"/>
  <c r="CA133" i="2" s="1"/>
  <c r="BY121" i="2"/>
  <c r="CA121" i="2" s="1"/>
  <c r="BY109" i="2"/>
  <c r="CA109" i="2" s="1"/>
  <c r="BY97" i="2"/>
  <c r="CA97" i="2" s="1"/>
  <c r="BY88" i="2"/>
  <c r="CA88" i="2" s="1"/>
  <c r="BY30" i="2"/>
  <c r="CA30" i="2" s="1"/>
  <c r="BY6" i="2"/>
  <c r="CA6" i="2" s="1"/>
  <c r="CH91" i="2"/>
  <c r="BY404" i="2"/>
  <c r="CA404" i="2" s="1"/>
  <c r="BY484" i="2"/>
  <c r="CA484" i="2" s="1"/>
  <c r="BY422" i="2"/>
  <c r="CA422" i="2" s="1"/>
  <c r="BY419" i="2"/>
  <c r="CA419" i="2" s="1"/>
  <c r="BY415" i="2"/>
  <c r="CA415" i="2" s="1"/>
  <c r="BY381" i="2"/>
  <c r="CA381" i="2" s="1"/>
  <c r="BY370" i="2"/>
  <c r="CA370" i="2" s="1"/>
  <c r="BY359" i="2"/>
  <c r="CA359" i="2" s="1"/>
  <c r="BY348" i="2"/>
  <c r="CA348" i="2" s="1"/>
  <c r="BY337" i="2"/>
  <c r="CA337" i="2" s="1"/>
  <c r="BY325" i="2"/>
  <c r="CA325" i="2" s="1"/>
  <c r="BY313" i="2"/>
  <c r="CA313" i="2" s="1"/>
  <c r="BY294" i="2"/>
  <c r="CA294" i="2" s="1"/>
  <c r="BY259" i="2"/>
  <c r="CA259" i="2" s="1"/>
  <c r="BY247" i="2"/>
  <c r="CA247" i="2" s="1"/>
  <c r="BY200" i="2"/>
  <c r="CA200" i="2" s="1"/>
  <c r="BY189" i="2"/>
  <c r="CA189" i="2" s="1"/>
  <c r="BY177" i="2"/>
  <c r="CA177" i="2" s="1"/>
  <c r="BY146" i="2"/>
  <c r="CA146" i="2" s="1"/>
  <c r="BY120" i="2"/>
  <c r="CA120" i="2" s="1"/>
  <c r="BY108" i="2"/>
  <c r="CA108" i="2" s="1"/>
  <c r="BY96" i="2"/>
  <c r="CA96" i="2" s="1"/>
  <c r="BY77" i="2"/>
  <c r="CA77" i="2" s="1"/>
  <c r="BY65" i="2"/>
  <c r="CA65" i="2" s="1"/>
  <c r="BY40" i="2"/>
  <c r="CA40" i="2" s="1"/>
  <c r="BY29" i="2"/>
  <c r="CA29" i="2" s="1"/>
  <c r="BY17" i="2"/>
  <c r="CA17" i="2" s="1"/>
  <c r="BY5" i="2"/>
  <c r="CA5" i="2" s="1"/>
  <c r="CH441" i="2"/>
  <c r="BY461" i="2"/>
  <c r="CA461" i="2" s="1"/>
  <c r="BY426" i="2"/>
  <c r="CA426" i="2" s="1"/>
  <c r="BY435" i="2"/>
  <c r="CA435" i="2" s="1"/>
  <c r="BY458" i="2"/>
  <c r="CA458" i="2" s="1"/>
  <c r="BY434" i="2"/>
  <c r="CA434" i="2" s="1"/>
  <c r="BY407" i="2"/>
  <c r="CA407" i="2" s="1"/>
  <c r="BY449" i="2"/>
  <c r="CA449" i="2" s="1"/>
  <c r="BY362" i="2"/>
  <c r="CA362" i="2" s="1"/>
  <c r="BY328" i="2"/>
  <c r="CA328" i="2" s="1"/>
  <c r="BY305" i="2"/>
  <c r="CA305" i="2" s="1"/>
  <c r="BY274" i="2"/>
  <c r="CA274" i="2" s="1"/>
  <c r="BY250" i="2"/>
  <c r="CA250" i="2" s="1"/>
  <c r="BY180" i="2"/>
  <c r="CA180" i="2" s="1"/>
  <c r="BY161" i="2"/>
  <c r="CA161" i="2" s="1"/>
  <c r="BY135" i="2"/>
  <c r="CA135" i="2" s="1"/>
  <c r="BY123" i="2"/>
  <c r="CA123" i="2" s="1"/>
  <c r="BY55" i="2"/>
  <c r="CA55" i="2" s="1"/>
  <c r="BY20" i="2"/>
  <c r="CA20" i="2" s="1"/>
  <c r="BY447" i="2"/>
  <c r="CA447" i="2" s="1"/>
  <c r="BY54" i="2"/>
  <c r="CA54" i="2" s="1"/>
  <c r="BY465" i="2"/>
  <c r="CA465" i="2" s="1"/>
  <c r="BY445" i="2"/>
  <c r="CA445" i="2" s="1"/>
  <c r="BY393" i="2"/>
  <c r="CA393" i="2" s="1"/>
  <c r="BY380" i="2"/>
  <c r="CA380" i="2" s="1"/>
  <c r="BY369" i="2"/>
  <c r="CA369" i="2" s="1"/>
  <c r="BY358" i="2"/>
  <c r="CA358" i="2" s="1"/>
  <c r="BY347" i="2"/>
  <c r="CA347" i="2" s="1"/>
  <c r="BY336" i="2"/>
  <c r="CA336" i="2" s="1"/>
  <c r="BY324" i="2"/>
  <c r="CA324" i="2" s="1"/>
  <c r="BY312" i="2"/>
  <c r="CA312" i="2" s="1"/>
  <c r="BY302" i="2"/>
  <c r="CA302" i="2" s="1"/>
  <c r="BY293" i="2"/>
  <c r="CA293" i="2" s="1"/>
  <c r="BY282" i="2"/>
  <c r="CA282" i="2" s="1"/>
  <c r="BY270" i="2"/>
  <c r="CA270" i="2" s="1"/>
  <c r="BY199" i="2"/>
  <c r="CA199" i="2" s="1"/>
  <c r="BY188" i="2"/>
  <c r="CA188" i="2" s="1"/>
  <c r="BY176" i="2"/>
  <c r="CA176" i="2" s="1"/>
  <c r="BY158" i="2"/>
  <c r="CA158" i="2" s="1"/>
  <c r="BY145" i="2"/>
  <c r="CA145" i="2" s="1"/>
  <c r="BY131" i="2"/>
  <c r="CA131" i="2" s="1"/>
  <c r="BY119" i="2"/>
  <c r="CA119" i="2" s="1"/>
  <c r="BY107" i="2"/>
  <c r="CA107" i="2" s="1"/>
  <c r="BY95" i="2"/>
  <c r="CA95" i="2" s="1"/>
  <c r="BY76" i="2"/>
  <c r="CA76" i="2" s="1"/>
  <c r="BY39" i="2"/>
  <c r="CA39" i="2" s="1"/>
  <c r="BY28" i="2"/>
  <c r="CA28" i="2" s="1"/>
  <c r="BY16" i="2"/>
  <c r="CA16" i="2" s="1"/>
  <c r="CH19" i="2"/>
  <c r="BY428" i="2"/>
  <c r="CA428" i="2" s="1"/>
  <c r="BY60" i="2"/>
  <c r="CA60" i="2" s="1"/>
  <c r="BY483" i="2"/>
  <c r="CA483" i="2" s="1"/>
  <c r="BY468" i="2"/>
  <c r="CA468" i="2" s="1"/>
  <c r="BY372" i="2"/>
  <c r="CA372" i="2" s="1"/>
  <c r="BY316" i="2"/>
  <c r="CA316" i="2" s="1"/>
  <c r="BY172" i="2"/>
  <c r="CA172" i="2" s="1"/>
  <c r="BY79" i="2"/>
  <c r="CA79" i="2" s="1"/>
  <c r="BY460" i="2"/>
  <c r="CA460" i="2" s="1"/>
  <c r="BY442" i="2"/>
  <c r="CA442" i="2" s="1"/>
  <c r="BY406" i="2"/>
  <c r="CA406" i="2" s="1"/>
  <c r="BY392" i="2"/>
  <c r="CA392" i="2" s="1"/>
  <c r="BY379" i="2"/>
  <c r="CA379" i="2" s="1"/>
  <c r="BY368" i="2"/>
  <c r="CA368" i="2" s="1"/>
  <c r="BY357" i="2"/>
  <c r="CA357" i="2" s="1"/>
  <c r="BY345" i="2"/>
  <c r="CA345" i="2" s="1"/>
  <c r="BY335" i="2"/>
  <c r="CA335" i="2" s="1"/>
  <c r="BY323" i="2"/>
  <c r="CA323" i="2" s="1"/>
  <c r="BY311" i="2"/>
  <c r="CA311" i="2" s="1"/>
  <c r="BY292" i="2"/>
  <c r="CA292" i="2" s="1"/>
  <c r="BY281" i="2"/>
  <c r="CA281" i="2" s="1"/>
  <c r="BY269" i="2"/>
  <c r="CA269" i="2" s="1"/>
  <c r="BY257" i="2"/>
  <c r="CA257" i="2" s="1"/>
  <c r="BY210" i="2"/>
  <c r="CA210" i="2" s="1"/>
  <c r="BY198" i="2"/>
  <c r="CA198" i="2" s="1"/>
  <c r="BY187" i="2"/>
  <c r="CA187" i="2" s="1"/>
  <c r="BY175" i="2"/>
  <c r="CA175" i="2" s="1"/>
  <c r="BY168" i="2"/>
  <c r="CA168" i="2" s="1"/>
  <c r="BY157" i="2"/>
  <c r="CA157" i="2" s="1"/>
  <c r="BY144" i="2"/>
  <c r="CA144" i="2" s="1"/>
  <c r="BY130" i="2"/>
  <c r="CA130" i="2" s="1"/>
  <c r="BY118" i="2"/>
  <c r="CA118" i="2" s="1"/>
  <c r="BY106" i="2"/>
  <c r="CA106" i="2" s="1"/>
  <c r="BY86" i="2"/>
  <c r="CA86" i="2" s="1"/>
  <c r="BY75" i="2"/>
  <c r="CA75" i="2" s="1"/>
  <c r="BY63" i="2"/>
  <c r="CA63" i="2" s="1"/>
  <c r="BY50" i="2"/>
  <c r="CA50" i="2" s="1"/>
  <c r="BY38" i="2"/>
  <c r="CA38" i="2" s="1"/>
  <c r="BY27" i="2"/>
  <c r="CA27" i="2" s="1"/>
  <c r="BY15" i="2"/>
  <c r="CA15" i="2" s="1"/>
  <c r="CH448" i="2"/>
  <c r="BY463" i="2"/>
  <c r="CA463" i="2" s="1"/>
  <c r="BY391" i="2"/>
  <c r="CA391" i="2" s="1"/>
  <c r="BY443" i="2"/>
  <c r="CA443" i="2" s="1"/>
  <c r="CD223" i="2"/>
  <c r="CE223" i="2" s="1"/>
  <c r="CH447" i="2"/>
  <c r="CH404" i="2"/>
  <c r="CH14" i="2"/>
  <c r="CH47" i="2"/>
  <c r="CH23" i="2"/>
  <c r="CH342" i="2"/>
  <c r="CH318" i="2"/>
  <c r="CH294" i="2"/>
  <c r="CH222" i="2"/>
  <c r="CH210" i="2"/>
  <c r="CH446" i="2"/>
  <c r="CH10" i="2"/>
  <c r="CH376" i="2"/>
  <c r="CH364" i="2"/>
  <c r="CH327" i="2"/>
  <c r="CH279" i="2"/>
  <c r="CH183" i="2"/>
  <c r="CH58" i="2"/>
  <c r="CH470" i="2"/>
  <c r="CH362" i="2"/>
  <c r="CH350" i="2"/>
  <c r="CH88" i="2"/>
  <c r="CH109" i="2"/>
  <c r="CH97" i="2"/>
  <c r="CH76" i="2"/>
  <c r="CH64" i="2"/>
  <c r="CH444" i="2"/>
  <c r="CH426" i="2"/>
  <c r="CH345" i="2"/>
  <c r="CH309" i="2"/>
  <c r="CH285" i="2"/>
  <c r="CH261" i="2"/>
  <c r="CH249" i="2"/>
  <c r="CH169" i="2"/>
  <c r="CH145" i="2"/>
  <c r="CH121" i="2"/>
  <c r="CH39" i="2"/>
  <c r="CH405" i="2"/>
  <c r="CH394" i="2"/>
  <c r="CH308" i="2"/>
  <c r="CH296" i="2"/>
  <c r="CH236" i="2"/>
  <c r="CH188" i="2"/>
  <c r="CH120" i="2"/>
  <c r="CH406" i="2"/>
  <c r="CH40" i="2"/>
  <c r="CH28" i="2"/>
  <c r="CH16" i="2"/>
  <c r="CH474" i="2"/>
  <c r="CH354" i="2"/>
  <c r="CH451" i="2"/>
  <c r="CD220" i="2"/>
  <c r="CE220" i="2" s="1"/>
  <c r="CH103" i="2"/>
  <c r="CH94" i="2"/>
  <c r="CH38" i="2"/>
  <c r="CH266" i="2"/>
  <c r="CH57" i="2"/>
  <c r="CH449" i="2"/>
  <c r="CH429" i="2"/>
  <c r="CH482" i="2"/>
  <c r="CH113" i="2"/>
  <c r="CH307" i="2"/>
  <c r="CH295" i="2"/>
  <c r="CH235" i="2"/>
  <c r="CH175" i="2"/>
  <c r="CH167" i="2"/>
  <c r="CH155" i="2"/>
  <c r="CH25" i="2"/>
  <c r="CH372" i="2"/>
  <c r="CH15" i="2"/>
  <c r="CH424" i="2"/>
  <c r="BY382" i="2"/>
  <c r="CA382" i="2" s="1"/>
  <c r="CH450" i="2"/>
  <c r="CD242" i="2"/>
  <c r="CE242" i="2" s="1"/>
  <c r="CD227" i="2"/>
  <c r="CE227" i="2" s="1"/>
  <c r="CD218" i="2"/>
  <c r="CE218" i="2" s="1"/>
  <c r="CH379" i="2"/>
  <c r="CH367" i="2"/>
  <c r="CH355" i="2"/>
  <c r="CH330" i="2"/>
  <c r="CH306" i="2"/>
  <c r="CH282" i="2"/>
  <c r="CH246" i="2"/>
  <c r="CH234" i="2"/>
  <c r="CH198" i="2"/>
  <c r="CH186" i="2"/>
  <c r="CH166" i="2"/>
  <c r="CH154" i="2"/>
  <c r="CH142" i="2"/>
  <c r="CH118" i="2"/>
  <c r="CH96" i="2"/>
  <c r="CH75" i="2"/>
  <c r="CD239" i="2"/>
  <c r="CE239" i="2" s="1"/>
  <c r="CH273" i="2"/>
  <c r="CH237" i="2"/>
  <c r="CH157" i="2"/>
  <c r="CH133" i="2"/>
  <c r="CH52" i="2"/>
  <c r="CH456" i="2"/>
  <c r="CD384" i="2"/>
  <c r="CE384" i="2" s="1"/>
  <c r="CH56" i="2"/>
  <c r="CH420" i="2"/>
  <c r="CH349" i="2"/>
  <c r="CA240" i="2"/>
  <c r="CD240" i="2" s="1"/>
  <c r="CH442" i="2"/>
  <c r="CH101" i="2"/>
  <c r="CH92" i="2"/>
  <c r="CH80" i="2"/>
  <c r="CH68" i="2"/>
  <c r="CH8" i="2"/>
  <c r="CH381" i="2"/>
  <c r="CH369" i="2"/>
  <c r="CH338" i="2"/>
  <c r="CH320" i="2"/>
  <c r="CH314" i="2"/>
  <c r="CH272" i="2"/>
  <c r="CH230" i="2"/>
  <c r="CH224" i="2"/>
  <c r="CH206" i="2"/>
  <c r="CH200" i="2"/>
  <c r="CH182" i="2"/>
  <c r="CH162" i="2"/>
  <c r="CH156" i="2"/>
  <c r="CH138" i="2"/>
  <c r="CH79" i="2"/>
  <c r="CH67" i="2"/>
  <c r="CH51" i="2"/>
  <c r="CH32" i="2"/>
  <c r="CH437" i="2"/>
  <c r="CH438" i="2"/>
  <c r="CH486" i="2"/>
  <c r="CH468" i="2"/>
  <c r="CH204" i="2"/>
  <c r="CH160" i="2"/>
  <c r="CH108" i="2"/>
  <c r="CH63" i="2"/>
  <c r="CH454" i="2"/>
  <c r="CH95" i="2"/>
  <c r="CH62" i="2"/>
  <c r="CH192" i="2"/>
  <c r="CH148" i="2"/>
  <c r="CH87" i="2"/>
  <c r="CD475" i="2"/>
  <c r="CE475" i="2" s="1"/>
  <c r="CH311" i="2"/>
  <c r="CH263" i="2"/>
  <c r="CH462" i="2"/>
  <c r="CH457" i="2"/>
  <c r="CH478" i="2"/>
  <c r="CH507" i="2"/>
  <c r="CH373" i="2"/>
  <c r="CH324" i="2"/>
  <c r="CH276" i="2"/>
  <c r="CH264" i="2"/>
  <c r="CH240" i="2"/>
  <c r="CH228" i="2"/>
  <c r="CH4" i="2"/>
  <c r="CD466" i="2"/>
  <c r="CE466" i="2" s="1"/>
  <c r="CD236" i="2"/>
  <c r="CE236" i="2" s="1"/>
  <c r="CH46" i="2"/>
  <c r="CH34" i="2"/>
  <c r="CH22" i="2"/>
  <c r="CA230" i="2"/>
  <c r="CD230" i="2" s="1"/>
  <c r="CD388" i="2"/>
  <c r="CE388" i="2" s="1"/>
  <c r="CH419" i="2"/>
  <c r="CD383" i="2"/>
  <c r="CE383" i="2" s="1"/>
  <c r="BA132" i="2"/>
  <c r="BV132" i="2" s="1" a="1"/>
  <c r="BV132" i="2" s="1"/>
  <c r="CD233" i="2"/>
  <c r="CD215" i="2"/>
  <c r="CH452" i="2"/>
  <c r="CH460" i="2"/>
  <c r="CH387" i="2"/>
  <c r="CH36" i="2"/>
  <c r="CH421" i="2"/>
  <c r="CH11" i="2"/>
  <c r="CH487" i="2"/>
  <c r="CD226" i="2"/>
  <c r="CH464" i="2"/>
  <c r="CH356" i="2"/>
  <c r="CA474" i="2"/>
  <c r="CD474" i="2" s="1"/>
  <c r="CA222" i="2"/>
  <c r="CD222" i="2" s="1"/>
  <c r="CA446" i="2"/>
  <c r="CD446" i="2" s="1"/>
  <c r="CA235" i="2"/>
  <c r="CD235" i="2" s="1"/>
  <c r="CA243" i="2"/>
  <c r="CD243" i="2" s="1"/>
  <c r="CE243" i="2" s="1"/>
  <c r="CD225" i="2"/>
  <c r="CE225" i="2" s="1"/>
  <c r="CD246" i="2"/>
  <c r="CE246" i="2" s="1"/>
  <c r="CA386" i="2"/>
  <c r="CD386" i="2" s="1"/>
  <c r="CD228" i="2"/>
  <c r="CE228" i="2" s="1"/>
  <c r="CD390" i="2"/>
  <c r="CA221" i="2"/>
  <c r="CA387" i="2"/>
  <c r="CD241" i="2"/>
  <c r="CD237" i="2"/>
  <c r="CA244" i="2"/>
  <c r="CD244" i="2" s="1"/>
  <c r="CD219" i="2"/>
  <c r="CE219" i="2" s="1"/>
  <c r="CD216" i="2"/>
  <c r="CE216" i="2" s="1"/>
  <c r="CD245" i="2"/>
  <c r="CH368" i="2"/>
  <c r="CH37" i="2"/>
  <c r="BY479" i="2"/>
  <c r="CA479" i="2" s="1"/>
  <c r="CH471" i="2"/>
  <c r="CH400" i="2"/>
  <c r="CH375" i="2"/>
  <c r="CH363" i="2"/>
  <c r="CH351" i="2"/>
  <c r="CH339" i="2"/>
  <c r="CH315" i="2"/>
  <c r="CH303" i="2"/>
  <c r="CH291" i="2"/>
  <c r="CH267" i="2"/>
  <c r="CH255" i="2"/>
  <c r="CH243" i="2"/>
  <c r="CH231" i="2"/>
  <c r="CH219" i="2"/>
  <c r="CH207" i="2"/>
  <c r="CH163" i="2"/>
  <c r="CH151" i="2"/>
  <c r="CH139" i="2"/>
  <c r="CH127" i="2"/>
  <c r="CH115" i="2"/>
  <c r="CH82" i="2"/>
  <c r="CH70" i="2"/>
  <c r="CH422" i="2"/>
  <c r="BY420" i="2"/>
  <c r="CA420" i="2" s="1"/>
  <c r="CH485" i="2"/>
  <c r="CA234" i="2"/>
  <c r="CD234" i="2" s="1"/>
  <c r="BZ306" i="2"/>
  <c r="BZ141" i="2"/>
  <c r="BZ421" i="2"/>
  <c r="BZ486" i="2"/>
  <c r="BZ420" i="2"/>
  <c r="BZ444" i="2"/>
  <c r="BZ419" i="2"/>
  <c r="BZ422" i="2"/>
  <c r="BZ485" i="2"/>
  <c r="BZ443" i="2"/>
  <c r="BZ84" i="2"/>
  <c r="BZ293" i="2"/>
  <c r="BZ74" i="2"/>
  <c r="BZ463" i="2"/>
  <c r="BZ134" i="2"/>
  <c r="BZ428" i="2"/>
  <c r="BZ166" i="2"/>
  <c r="BZ378" i="2"/>
  <c r="BZ307" i="2"/>
  <c r="BZ406" i="2"/>
  <c r="BZ191" i="2"/>
  <c r="BZ63" i="2"/>
  <c r="BZ200" i="2"/>
  <c r="BZ64" i="2"/>
  <c r="BZ178" i="2"/>
  <c r="BZ359" i="2"/>
  <c r="BZ100" i="2"/>
  <c r="BZ312" i="2"/>
  <c r="BZ481" i="2"/>
  <c r="BZ337" i="2"/>
  <c r="BZ301" i="2"/>
  <c r="BZ433" i="2"/>
  <c r="BZ10" i="2"/>
  <c r="BZ164" i="2"/>
  <c r="BZ314" i="2"/>
  <c r="BZ105" i="2"/>
  <c r="BZ317" i="2"/>
  <c r="BZ119" i="2"/>
  <c r="BZ76" i="2"/>
  <c r="BZ322" i="2"/>
  <c r="BZ93" i="2"/>
  <c r="BZ186" i="2"/>
  <c r="BZ423" i="2"/>
  <c r="BZ367" i="2"/>
  <c r="BZ122" i="2"/>
  <c r="BZ335" i="2"/>
  <c r="BZ87" i="2"/>
  <c r="BZ308" i="2"/>
  <c r="BZ157" i="2"/>
  <c r="BZ310" i="2"/>
  <c r="BZ455" i="2"/>
  <c r="BZ124" i="2"/>
  <c r="BZ336" i="2"/>
  <c r="BZ68" i="2"/>
  <c r="BZ373" i="2"/>
  <c r="BZ349" i="2"/>
  <c r="BZ103" i="2"/>
  <c r="BZ11" i="2"/>
  <c r="BZ292" i="2"/>
  <c r="BZ150" i="2"/>
  <c r="BZ341" i="2"/>
  <c r="BZ199" i="2"/>
  <c r="BZ438" i="2"/>
  <c r="BZ287" i="2"/>
  <c r="BZ449" i="2"/>
  <c r="BZ117" i="2"/>
  <c r="BZ353" i="2"/>
  <c r="BZ319" i="2"/>
  <c r="BZ17" i="2"/>
  <c r="BZ347" i="2"/>
  <c r="BZ198" i="2"/>
  <c r="BZ462" i="2"/>
  <c r="BZ133" i="2"/>
  <c r="BZ90" i="2"/>
  <c r="BZ15" i="2"/>
  <c r="BZ320" i="2"/>
  <c r="BZ369" i="2"/>
  <c r="BZ111" i="2"/>
  <c r="BZ67" i="2"/>
  <c r="BZ300" i="2"/>
  <c r="BZ80" i="2"/>
  <c r="BZ457" i="2"/>
  <c r="BZ206" i="2"/>
  <c r="BZ207" i="2"/>
  <c r="BZ116" i="2"/>
  <c r="BZ375" i="2"/>
  <c r="BZ326" i="2"/>
  <c r="BZ316" i="2"/>
  <c r="BZ185" i="2"/>
  <c r="BZ143" i="2"/>
  <c r="BZ345" i="2"/>
  <c r="BZ13" i="2"/>
  <c r="BZ318" i="2"/>
  <c r="BZ187" i="2"/>
  <c r="BZ190" i="2"/>
  <c r="BZ177" i="2"/>
  <c r="BZ176" i="2"/>
  <c r="BZ201" i="2"/>
  <c r="BZ78" i="2"/>
  <c r="BZ79" i="2"/>
  <c r="BZ348" i="2"/>
  <c r="BZ137" i="2"/>
  <c r="BZ161" i="2"/>
  <c r="BZ374" i="2"/>
  <c r="BZ22" i="2"/>
  <c r="BZ81" i="2"/>
  <c r="BZ127" i="2"/>
  <c r="BZ94" i="2"/>
  <c r="BZ197" i="2"/>
  <c r="BZ155" i="2"/>
  <c r="BZ65" i="2"/>
  <c r="BZ73" i="2"/>
  <c r="BZ330" i="2"/>
  <c r="BZ331" i="2"/>
  <c r="BZ334" i="2"/>
  <c r="BZ477" i="2"/>
  <c r="BZ188" i="2"/>
  <c r="BZ333" i="2"/>
  <c r="BZ147" i="2"/>
  <c r="BZ91" i="2"/>
  <c r="BZ360" i="2"/>
  <c r="BZ149" i="2"/>
  <c r="BZ181" i="2"/>
  <c r="BZ327" i="2"/>
  <c r="BZ445" i="2"/>
  <c r="BZ174" i="2"/>
  <c r="BZ351" i="2"/>
  <c r="BZ140" i="2"/>
  <c r="BZ209" i="2"/>
  <c r="BZ175" i="2"/>
  <c r="BZ305" i="2"/>
  <c r="BZ343" i="2"/>
  <c r="BZ170" i="2"/>
  <c r="BZ354" i="2"/>
  <c r="BZ450" i="2"/>
  <c r="BZ99" i="2"/>
  <c r="BZ332" i="2"/>
  <c r="BZ465" i="2"/>
  <c r="BZ299" i="2"/>
  <c r="BZ136" i="2"/>
  <c r="BZ397" i="2"/>
  <c r="BZ193" i="2"/>
  <c r="BZ325" i="2"/>
  <c r="BZ196" i="2"/>
  <c r="BZ194" i="2"/>
  <c r="BZ82" i="2"/>
  <c r="BZ182" i="2"/>
  <c r="BZ364" i="2"/>
  <c r="BZ377" i="2"/>
  <c r="BZ189" i="2"/>
  <c r="BZ106" i="2"/>
  <c r="BZ62" i="2"/>
  <c r="BZ89" i="2"/>
  <c r="BZ75" i="2"/>
  <c r="BZ405" i="2"/>
  <c r="BZ439" i="2"/>
  <c r="BZ148" i="2"/>
  <c r="BZ456" i="2"/>
  <c r="BZ92" i="2"/>
  <c r="BZ376" i="2"/>
  <c r="BZ340" i="2"/>
  <c r="BZ302" i="2"/>
  <c r="BZ195" i="2"/>
  <c r="BZ418" i="2"/>
  <c r="BZ309" i="2"/>
  <c r="BZ118" i="2"/>
  <c r="BZ86" i="2"/>
  <c r="BZ158" i="2"/>
  <c r="BZ96" i="2"/>
  <c r="BZ425" i="2"/>
  <c r="BZ6" i="2"/>
  <c r="BZ160" i="2"/>
  <c r="BZ468" i="2"/>
  <c r="BZ125" i="2"/>
  <c r="BZ115" i="2"/>
  <c r="BZ416" i="2"/>
  <c r="BZ350" i="2"/>
  <c r="BZ434" i="2"/>
  <c r="BZ98" i="2"/>
  <c r="BZ130" i="2"/>
  <c r="BZ107" i="2"/>
  <c r="BZ358" i="2"/>
  <c r="BZ108" i="2"/>
  <c r="BZ437" i="2"/>
  <c r="BZ171" i="2"/>
  <c r="BZ172" i="2"/>
  <c r="BZ20" i="2"/>
  <c r="BZ205" i="2"/>
  <c r="BZ163" i="2"/>
  <c r="BZ470" i="2"/>
  <c r="BZ304" i="2"/>
  <c r="BZ12" i="2"/>
  <c r="BZ461" i="2"/>
  <c r="BZ370" i="2"/>
  <c r="BZ142" i="2"/>
  <c r="BZ131" i="2"/>
  <c r="BZ454" i="2"/>
  <c r="BZ120" i="2"/>
  <c r="BZ464" i="2"/>
  <c r="BZ323" i="2"/>
  <c r="BZ180" i="2"/>
  <c r="BZ101" i="2"/>
  <c r="BZ442" i="2"/>
  <c r="BZ291" i="2"/>
  <c r="BZ71" i="2"/>
  <c r="BZ151" i="2"/>
  <c r="BZ18" i="2"/>
  <c r="BZ366" i="2"/>
  <c r="BZ179" i="2"/>
  <c r="BZ344" i="2"/>
  <c r="BZ9" i="2"/>
  <c r="BZ407" i="2"/>
  <c r="BZ114" i="2"/>
  <c r="BZ399" i="2"/>
  <c r="BZ83" i="2"/>
  <c r="BZ365" i="2"/>
  <c r="BZ123" i="2"/>
  <c r="BZ435" i="2"/>
  <c r="BZ371" i="2"/>
  <c r="BZ368" i="2"/>
  <c r="BZ69" i="2"/>
  <c r="BZ441" i="2"/>
  <c r="BZ290" i="2"/>
  <c r="BZ208" i="2"/>
  <c r="BZ183" i="2"/>
  <c r="BZ165" i="2"/>
  <c r="BZ159" i="2"/>
  <c r="BZ16" i="2"/>
  <c r="BZ132" i="2"/>
  <c r="BZ202" i="2"/>
  <c r="BZ372" i="2"/>
  <c r="BZ338" i="2"/>
  <c r="BZ362" i="2"/>
  <c r="BZ329" i="2"/>
  <c r="BZ203" i="2"/>
  <c r="BZ97" i="2"/>
  <c r="BZ144" i="2"/>
  <c r="BZ346" i="2"/>
  <c r="BZ429" i="2"/>
  <c r="BZ104" i="2"/>
  <c r="BZ14" i="2"/>
  <c r="BZ467" i="2"/>
  <c r="BZ169" i="2"/>
  <c r="BZ156" i="2"/>
  <c r="BZ113" i="2"/>
  <c r="BZ138" i="2"/>
  <c r="BZ328" i="2"/>
  <c r="BZ4" i="2"/>
  <c r="BZ167" i="2"/>
  <c r="BZ296" i="2"/>
  <c r="BZ112" i="2"/>
  <c r="BZ469" i="2"/>
  <c r="BZ126" i="2"/>
  <c r="BZ339" i="2"/>
  <c r="BZ109" i="2"/>
  <c r="BZ424" i="2"/>
  <c r="BZ356" i="2"/>
  <c r="BZ192" i="2"/>
  <c r="BZ162" i="2"/>
  <c r="BZ288" i="2"/>
  <c r="BZ357" i="2"/>
  <c r="BZ145" i="2"/>
  <c r="BZ297" i="2"/>
  <c r="BZ121" i="2"/>
  <c r="BZ204" i="2"/>
  <c r="BZ458" i="2"/>
  <c r="BZ23" i="2"/>
  <c r="BZ427" i="2"/>
  <c r="BZ426" i="2"/>
  <c r="BZ139" i="2"/>
  <c r="BZ66" i="2"/>
  <c r="BZ431" i="2"/>
  <c r="BZ321" i="2"/>
  <c r="BZ72" i="2"/>
  <c r="BZ5" i="2"/>
  <c r="BZ324" i="2"/>
  <c r="BZ315" i="2"/>
  <c r="BZ153" i="2"/>
  <c r="BZ135" i="2"/>
  <c r="BZ7" i="2"/>
  <c r="BZ152" i="2"/>
  <c r="BZ436" i="2"/>
  <c r="BZ88" i="2"/>
  <c r="BZ363" i="2"/>
  <c r="BZ298" i="2"/>
  <c r="BZ459" i="2"/>
  <c r="BZ168" i="2"/>
  <c r="BZ294" i="2"/>
  <c r="BZ8" i="2"/>
  <c r="BZ95" i="2"/>
  <c r="BZ311" i="2"/>
  <c r="BZ19" i="2"/>
  <c r="BZ303" i="2"/>
  <c r="BZ404" i="2"/>
  <c r="BZ295" i="2"/>
  <c r="BZ289" i="2"/>
  <c r="BZ70" i="2"/>
  <c r="BZ313" i="2"/>
  <c r="BZ361" i="2"/>
  <c r="BZ154" i="2"/>
  <c r="BZ110" i="2"/>
  <c r="BZ355" i="2"/>
  <c r="BZ440" i="2"/>
  <c r="BZ173" i="2"/>
  <c r="BZ352" i="2"/>
  <c r="BZ184" i="2"/>
  <c r="BZ77" i="2"/>
  <c r="BZ85" i="2"/>
  <c r="BZ210" i="2"/>
  <c r="BZ430" i="2"/>
  <c r="BZ432" i="2"/>
  <c r="BZ128" i="2"/>
  <c r="CD401" i="2"/>
  <c r="CA476" i="2"/>
  <c r="CD476" i="2" s="1"/>
  <c r="CD389" i="2"/>
  <c r="CD473" i="2"/>
  <c r="CD214" i="2"/>
  <c r="CA238" i="2"/>
  <c r="CA229" i="2"/>
  <c r="CD229" i="2" s="1"/>
  <c r="CD232" i="2"/>
  <c r="CD385" i="2"/>
  <c r="CD394" i="2"/>
  <c r="CA213" i="2"/>
  <c r="CD213" i="2" s="1"/>
  <c r="CB99" i="2"/>
  <c r="CB75" i="2"/>
  <c r="CB423" i="2"/>
  <c r="CB114" i="2"/>
  <c r="CB424" i="2"/>
  <c r="BY285" i="2"/>
  <c r="BY472" i="2"/>
  <c r="BY277" i="2"/>
  <c r="BY507" i="2"/>
  <c r="BY53" i="2"/>
  <c r="BY396" i="2"/>
  <c r="BY32" i="2"/>
  <c r="BY59" i="2"/>
  <c r="BY402" i="2"/>
  <c r="BY51" i="2"/>
  <c r="BY286" i="2"/>
  <c r="BY283" i="2"/>
  <c r="BY253" i="2"/>
  <c r="BY280" i="2"/>
  <c r="BY49" i="2"/>
  <c r="CA217" i="2"/>
  <c r="CD217" i="2" s="1"/>
  <c r="CD212" i="2"/>
  <c r="CD408" i="2" l="1"/>
  <c r="CE408" i="2" s="1"/>
  <c r="CI502" i="2"/>
  <c r="CJ502" i="2" s="1"/>
  <c r="CD493" i="2"/>
  <c r="CE493" i="2" s="1"/>
  <c r="CI409" i="2"/>
  <c r="CJ409" i="2" s="1"/>
  <c r="CK409" i="2" s="1"/>
  <c r="CI411" i="2"/>
  <c r="CJ411" i="2" s="1"/>
  <c r="CK411" i="2" s="1"/>
  <c r="CI413" i="2"/>
  <c r="CJ413" i="2" s="1"/>
  <c r="CK413" i="2" s="1"/>
  <c r="CE413" i="2"/>
  <c r="CI410" i="2"/>
  <c r="CJ410" i="2" s="1"/>
  <c r="CK410" i="2" s="1"/>
  <c r="CE410" i="2"/>
  <c r="CI414" i="2"/>
  <c r="CJ414" i="2" s="1"/>
  <c r="CK414" i="2" s="1"/>
  <c r="CE414" i="2"/>
  <c r="CI412" i="2"/>
  <c r="CJ412" i="2" s="1"/>
  <c r="CK412" i="2" s="1"/>
  <c r="CE412" i="2"/>
  <c r="CI494" i="2"/>
  <c r="CJ494" i="2" s="1"/>
  <c r="CK494" i="2" s="1"/>
  <c r="CD495" i="2"/>
  <c r="CE495" i="2" s="1"/>
  <c r="CD497" i="2"/>
  <c r="CI497" i="2" s="1"/>
  <c r="CJ497" i="2" s="1"/>
  <c r="CK497" i="2" s="1"/>
  <c r="CD496" i="2"/>
  <c r="CE496" i="2" s="1"/>
  <c r="CD499" i="2"/>
  <c r="CI499" i="2" s="1"/>
  <c r="CJ499" i="2" s="1"/>
  <c r="CK499" i="2" s="1"/>
  <c r="CI500" i="2"/>
  <c r="CJ500" i="2" s="1"/>
  <c r="CI503" i="2"/>
  <c r="CJ503" i="2" s="1"/>
  <c r="CI505" i="2"/>
  <c r="CJ505" i="2" s="1"/>
  <c r="CI506" i="2"/>
  <c r="CJ506" i="2" s="1"/>
  <c r="CI501" i="2"/>
  <c r="CJ501" i="2" s="1"/>
  <c r="CI504" i="2"/>
  <c r="CJ504" i="2" s="1"/>
  <c r="CD498" i="2"/>
  <c r="CE498" i="2" s="1"/>
  <c r="CD491" i="2"/>
  <c r="CE491" i="2" s="1"/>
  <c r="CD492" i="2"/>
  <c r="CE492" i="2" s="1"/>
  <c r="CD489" i="2"/>
  <c r="CE489" i="2" s="1"/>
  <c r="CI490" i="2"/>
  <c r="CJ490" i="2" s="1"/>
  <c r="CK490" i="2" s="1"/>
  <c r="CI488" i="2"/>
  <c r="CJ488" i="2" s="1"/>
  <c r="CK488" i="2" s="1"/>
  <c r="CE488" i="2"/>
  <c r="CD221" i="2"/>
  <c r="CE221" i="2" s="1"/>
  <c r="CD387" i="2"/>
  <c r="CE387" i="2" s="1"/>
  <c r="CD238" i="2"/>
  <c r="CI238" i="2" s="1"/>
  <c r="CJ238" i="2" s="1"/>
  <c r="CK238" i="2" s="1"/>
  <c r="CD354" i="2"/>
  <c r="CI354" i="2" s="1"/>
  <c r="CJ354" i="2" s="1"/>
  <c r="CK354" i="2" s="1"/>
  <c r="CD129" i="2"/>
  <c r="CE129" i="2" s="1"/>
  <c r="CI215" i="2"/>
  <c r="CJ215" i="2" s="1"/>
  <c r="CK215" i="2" s="1"/>
  <c r="BZ39" i="2"/>
  <c r="CD39" i="2" s="1"/>
  <c r="CE39" i="2" s="1"/>
  <c r="BZ248" i="2"/>
  <c r="CD248" i="2" s="1"/>
  <c r="CI248" i="2" s="1"/>
  <c r="CJ248" i="2" s="1"/>
  <c r="CK248" i="2" s="1"/>
  <c r="BZ30" i="2"/>
  <c r="CD30" i="2" s="1"/>
  <c r="CI30" i="2" s="1"/>
  <c r="CJ30" i="2" s="1"/>
  <c r="CK30" i="2" s="1"/>
  <c r="BZ254" i="2"/>
  <c r="CD254" i="2" s="1"/>
  <c r="CI254" i="2" s="1"/>
  <c r="CJ254" i="2" s="1"/>
  <c r="CK254" i="2" s="1"/>
  <c r="BZ258" i="2"/>
  <c r="CD258" i="2" s="1"/>
  <c r="CE258" i="2" s="1"/>
  <c r="BZ247" i="2"/>
  <c r="CD247" i="2" s="1"/>
  <c r="CI247" i="2" s="1"/>
  <c r="CJ247" i="2" s="1"/>
  <c r="CK247" i="2" s="1"/>
  <c r="BZ392" i="2"/>
  <c r="CD392" i="2" s="1"/>
  <c r="CE392" i="2" s="1"/>
  <c r="BZ271" i="2"/>
  <c r="CD271" i="2" s="1"/>
  <c r="CE271" i="2" s="1"/>
  <c r="BZ264" i="2"/>
  <c r="CD264" i="2" s="1"/>
  <c r="CI264" i="2" s="1"/>
  <c r="CJ264" i="2" s="1"/>
  <c r="CK264" i="2" s="1"/>
  <c r="BZ35" i="2"/>
  <c r="CD35" i="2" s="1"/>
  <c r="CE35" i="2" s="1"/>
  <c r="BZ42" i="2"/>
  <c r="CD42" i="2" s="1"/>
  <c r="CI42" i="2" s="1"/>
  <c r="CJ42" i="2" s="1"/>
  <c r="CK42" i="2" s="1"/>
  <c r="BZ25" i="2"/>
  <c r="CD25" i="2" s="1"/>
  <c r="CE25" i="2" s="1"/>
  <c r="BZ269" i="2"/>
  <c r="CD269" i="2" s="1"/>
  <c r="CE269" i="2" s="1"/>
  <c r="BZ460" i="2"/>
  <c r="CD460" i="2" s="1"/>
  <c r="CI460" i="2" s="1"/>
  <c r="CJ460" i="2" s="1"/>
  <c r="BZ284" i="2"/>
  <c r="CD284" i="2" s="1"/>
  <c r="CE284" i="2" s="1"/>
  <c r="BZ275" i="2"/>
  <c r="CD275" i="2" s="1"/>
  <c r="CE275" i="2" s="1"/>
  <c r="BZ448" i="2"/>
  <c r="CD448" i="2" s="1"/>
  <c r="CE448" i="2" s="1"/>
  <c r="BZ33" i="2"/>
  <c r="CD33" i="2" s="1"/>
  <c r="CI33" i="2" s="1"/>
  <c r="CJ33" i="2" s="1"/>
  <c r="CK33" i="2" s="1"/>
  <c r="BZ286" i="2"/>
  <c r="BZ29" i="2"/>
  <c r="CD29" i="2" s="1"/>
  <c r="BZ26" i="2"/>
  <c r="CD26" i="2" s="1"/>
  <c r="CE26" i="2" s="1"/>
  <c r="BZ31" i="2"/>
  <c r="CD31" i="2" s="1"/>
  <c r="CE31" i="2" s="1"/>
  <c r="BZ253" i="2"/>
  <c r="BZ415" i="2"/>
  <c r="CD415" i="2" s="1"/>
  <c r="CE415" i="2" s="1"/>
  <c r="CD195" i="2"/>
  <c r="CE195" i="2" s="1"/>
  <c r="CD487" i="2"/>
  <c r="CE487" i="2" s="1"/>
  <c r="BZ396" i="2"/>
  <c r="BZ267" i="2"/>
  <c r="CD267" i="2" s="1"/>
  <c r="BZ417" i="2"/>
  <c r="CD417" i="2" s="1"/>
  <c r="CI417" i="2" s="1"/>
  <c r="CJ417" i="2" s="1"/>
  <c r="CK417" i="2" s="1"/>
  <c r="BZ37" i="2"/>
  <c r="CD37" i="2" s="1"/>
  <c r="CE37" i="2" s="1"/>
  <c r="BZ259" i="2"/>
  <c r="CD259" i="2" s="1"/>
  <c r="CE259" i="2" s="1"/>
  <c r="BZ478" i="2"/>
  <c r="CD478" i="2" s="1"/>
  <c r="CE478" i="2" s="1"/>
  <c r="BZ38" i="2"/>
  <c r="CD38" i="2" s="1"/>
  <c r="CI38" i="2" s="1"/>
  <c r="CJ38" i="2" s="1"/>
  <c r="CK38" i="2" s="1"/>
  <c r="BZ282" i="2"/>
  <c r="CD282" i="2" s="1"/>
  <c r="CE282" i="2" s="1"/>
  <c r="BZ280" i="2"/>
  <c r="BZ46" i="2"/>
  <c r="CD46" i="2" s="1"/>
  <c r="CI46" i="2" s="1"/>
  <c r="CJ46" i="2" s="1"/>
  <c r="CK46" i="2" s="1"/>
  <c r="BZ52" i="2"/>
  <c r="CD52" i="2" s="1"/>
  <c r="BZ471" i="2"/>
  <c r="CD471" i="2" s="1"/>
  <c r="CE471" i="2" s="1"/>
  <c r="BZ447" i="2"/>
  <c r="CD447" i="2" s="1"/>
  <c r="CI447" i="2" s="1"/>
  <c r="CJ447" i="2" s="1"/>
  <c r="BZ57" i="2"/>
  <c r="CD57" i="2" s="1"/>
  <c r="CI57" i="2" s="1"/>
  <c r="CJ57" i="2" s="1"/>
  <c r="CK57" i="2" s="1"/>
  <c r="BZ393" i="2"/>
  <c r="CD393" i="2" s="1"/>
  <c r="CI393" i="2" s="1"/>
  <c r="CJ393" i="2" s="1"/>
  <c r="BZ60" i="2"/>
  <c r="CD60" i="2" s="1"/>
  <c r="CI60" i="2" s="1"/>
  <c r="CJ60" i="2" s="1"/>
  <c r="CK60" i="2" s="1"/>
  <c r="BZ41" i="2"/>
  <c r="CD41" i="2" s="1"/>
  <c r="BZ451" i="2"/>
  <c r="CD451" i="2" s="1"/>
  <c r="CE451" i="2" s="1"/>
  <c r="BZ47" i="2"/>
  <c r="CD47" i="2" s="1"/>
  <c r="CE47" i="2" s="1"/>
  <c r="BZ252" i="2"/>
  <c r="CD252" i="2" s="1"/>
  <c r="CE252" i="2" s="1"/>
  <c r="BZ482" i="2"/>
  <c r="CD482" i="2" s="1"/>
  <c r="CE482" i="2" s="1"/>
  <c r="BZ281" i="2"/>
  <c r="CD281" i="2" s="1"/>
  <c r="CI281" i="2" s="1"/>
  <c r="CJ281" i="2" s="1"/>
  <c r="CK281" i="2" s="1"/>
  <c r="BZ270" i="2"/>
  <c r="CD270" i="2" s="1"/>
  <c r="CE270" i="2" s="1"/>
  <c r="BZ45" i="2"/>
  <c r="CD45" i="2" s="1"/>
  <c r="CE45" i="2" s="1"/>
  <c r="BZ44" i="2"/>
  <c r="CD44" i="2" s="1"/>
  <c r="CI44" i="2" s="1"/>
  <c r="CJ44" i="2" s="1"/>
  <c r="CK44" i="2" s="1"/>
  <c r="BZ40" i="2"/>
  <c r="CD40" i="2" s="1"/>
  <c r="CI40" i="2" s="1"/>
  <c r="CJ40" i="2" s="1"/>
  <c r="CK40" i="2" s="1"/>
  <c r="BZ453" i="2"/>
  <c r="CD453" i="2" s="1"/>
  <c r="CI453" i="2" s="1"/>
  <c r="CJ453" i="2" s="1"/>
  <c r="CK453" i="2" s="1"/>
  <c r="BZ262" i="2"/>
  <c r="CD262" i="2" s="1"/>
  <c r="CE262" i="2" s="1"/>
  <c r="BZ36" i="2"/>
  <c r="CD36" i="2" s="1"/>
  <c r="CE36" i="2" s="1"/>
  <c r="BZ27" i="2"/>
  <c r="CD27" i="2" s="1"/>
  <c r="CE27" i="2" s="1"/>
  <c r="BZ279" i="2"/>
  <c r="CD279" i="2" s="1"/>
  <c r="CI279" i="2" s="1"/>
  <c r="CJ279" i="2" s="1"/>
  <c r="CK279" i="2" s="1"/>
  <c r="BZ59" i="2"/>
  <c r="BZ48" i="2"/>
  <c r="CD48" i="2" s="1"/>
  <c r="CI48" i="2" s="1"/>
  <c r="CJ48" i="2" s="1"/>
  <c r="CK48" i="2" s="1"/>
  <c r="BZ266" i="2"/>
  <c r="CD266" i="2" s="1"/>
  <c r="BZ256" i="2"/>
  <c r="CD256" i="2" s="1"/>
  <c r="CE256" i="2" s="1"/>
  <c r="BZ277" i="2"/>
  <c r="BZ251" i="2"/>
  <c r="CD251" i="2" s="1"/>
  <c r="BZ452" i="2"/>
  <c r="CD452" i="2" s="1"/>
  <c r="CE452" i="2" s="1"/>
  <c r="BZ484" i="2"/>
  <c r="CD484" i="2" s="1"/>
  <c r="CI484" i="2" s="1"/>
  <c r="CJ484" i="2" s="1"/>
  <c r="CK484" i="2" s="1"/>
  <c r="BZ472" i="2"/>
  <c r="BZ398" i="2"/>
  <c r="CD398" i="2" s="1"/>
  <c r="CI398" i="2" s="1"/>
  <c r="BZ255" i="2"/>
  <c r="CD255" i="2" s="1"/>
  <c r="CE255" i="2" s="1"/>
  <c r="BZ49" i="2"/>
  <c r="BZ274" i="2"/>
  <c r="CD274" i="2" s="1"/>
  <c r="CE274" i="2" s="1"/>
  <c r="BZ50" i="2"/>
  <c r="CD50" i="2" s="1"/>
  <c r="CE50" i="2" s="1"/>
  <c r="BZ43" i="2"/>
  <c r="CD43" i="2" s="1"/>
  <c r="CE43" i="2" s="1"/>
  <c r="BZ261" i="2"/>
  <c r="CD261" i="2" s="1"/>
  <c r="CI261" i="2" s="1"/>
  <c r="CJ261" i="2" s="1"/>
  <c r="CK261" i="2" s="1"/>
  <c r="BZ257" i="2"/>
  <c r="CD257" i="2" s="1"/>
  <c r="CI257" i="2" s="1"/>
  <c r="CJ257" i="2" s="1"/>
  <c r="CK257" i="2" s="1"/>
  <c r="BZ58" i="2"/>
  <c r="CD58" i="2" s="1"/>
  <c r="CE58" i="2" s="1"/>
  <c r="BZ260" i="2"/>
  <c r="CD260" i="2" s="1"/>
  <c r="CI260" i="2" s="1"/>
  <c r="CJ260" i="2" s="1"/>
  <c r="CK260" i="2" s="1"/>
  <c r="BZ507" i="2"/>
  <c r="BZ276" i="2"/>
  <c r="CD276" i="2" s="1"/>
  <c r="CE276" i="2" s="1"/>
  <c r="BZ268" i="2"/>
  <c r="CD268" i="2" s="1"/>
  <c r="CI268" i="2" s="1"/>
  <c r="CJ268" i="2" s="1"/>
  <c r="CK268" i="2" s="1"/>
  <c r="BZ53" i="2"/>
  <c r="BZ391" i="2"/>
  <c r="CD391" i="2" s="1"/>
  <c r="CI391" i="2" s="1"/>
  <c r="CJ391" i="2" s="1"/>
  <c r="CK391" i="2" s="1"/>
  <c r="BZ249" i="2"/>
  <c r="CD249" i="2" s="1"/>
  <c r="BZ263" i="2"/>
  <c r="CD263" i="2" s="1"/>
  <c r="CI263" i="2" s="1"/>
  <c r="BZ402" i="2"/>
  <c r="BZ24" i="2"/>
  <c r="CD24" i="2" s="1"/>
  <c r="CI24" i="2" s="1"/>
  <c r="CJ24" i="2" s="1"/>
  <c r="CK24" i="2" s="1"/>
  <c r="BZ56" i="2"/>
  <c r="CD56" i="2" s="1"/>
  <c r="CE56" i="2" s="1"/>
  <c r="BZ34" i="2"/>
  <c r="CD34" i="2" s="1"/>
  <c r="CE34" i="2" s="1"/>
  <c r="BZ54" i="2"/>
  <c r="CD54" i="2" s="1"/>
  <c r="CI54" i="2" s="1"/>
  <c r="CJ54" i="2" s="1"/>
  <c r="CK54" i="2" s="1"/>
  <c r="BZ278" i="2"/>
  <c r="CD278" i="2" s="1"/>
  <c r="CE278" i="2" s="1"/>
  <c r="BZ61" i="2"/>
  <c r="CD61" i="2" s="1"/>
  <c r="CE61" i="2" s="1"/>
  <c r="BZ285" i="2"/>
  <c r="BZ265" i="2"/>
  <c r="CD265" i="2" s="1"/>
  <c r="CI265" i="2" s="1"/>
  <c r="CJ265" i="2" s="1"/>
  <c r="CK265" i="2" s="1"/>
  <c r="BZ400" i="2"/>
  <c r="CD400" i="2" s="1"/>
  <c r="CE400" i="2" s="1"/>
  <c r="BZ479" i="2"/>
  <c r="CD479" i="2" s="1"/>
  <c r="CE479" i="2" s="1"/>
  <c r="BZ55" i="2"/>
  <c r="CD55" i="2" s="1"/>
  <c r="BZ250" i="2"/>
  <c r="CD250" i="2" s="1"/>
  <c r="CI250" i="2" s="1"/>
  <c r="CJ250" i="2" s="1"/>
  <c r="CK250" i="2" s="1"/>
  <c r="BZ283" i="2"/>
  <c r="BZ32" i="2"/>
  <c r="CD181" i="2"/>
  <c r="CI181" i="2" s="1"/>
  <c r="CJ181" i="2" s="1"/>
  <c r="CK181" i="2" s="1"/>
  <c r="CD272" i="2"/>
  <c r="CI272" i="2" s="1"/>
  <c r="CJ272" i="2" s="1"/>
  <c r="CK272" i="2" s="1"/>
  <c r="BZ51" i="2"/>
  <c r="BZ483" i="2"/>
  <c r="CD483" i="2" s="1"/>
  <c r="CI483" i="2" s="1"/>
  <c r="CJ483" i="2" s="1"/>
  <c r="CK483" i="2" s="1"/>
  <c r="BZ273" i="2"/>
  <c r="CD273" i="2" s="1"/>
  <c r="BZ28" i="2"/>
  <c r="CD28" i="2" s="1"/>
  <c r="CI28" i="2" s="1"/>
  <c r="CJ28" i="2" s="1"/>
  <c r="CK28" i="2" s="1"/>
  <c r="CI228" i="2"/>
  <c r="CJ228" i="2" s="1"/>
  <c r="CK228" i="2" s="1"/>
  <c r="BZ381" i="2"/>
  <c r="CD381" i="2" s="1"/>
  <c r="CE381" i="2" s="1"/>
  <c r="CI475" i="2"/>
  <c r="CJ475" i="2" s="1"/>
  <c r="CK475" i="2" s="1"/>
  <c r="CD403" i="2"/>
  <c r="CI403" i="2" s="1"/>
  <c r="CJ403" i="2" s="1"/>
  <c r="CD21" i="2"/>
  <c r="CI21" i="2" s="1"/>
  <c r="CJ21" i="2" s="1"/>
  <c r="CK21" i="2" s="1"/>
  <c r="CD342" i="2"/>
  <c r="CE342" i="2" s="1"/>
  <c r="CI397" i="2"/>
  <c r="CJ397" i="2" s="1"/>
  <c r="CK397" i="2" s="1"/>
  <c r="CD376" i="2"/>
  <c r="CI376" i="2" s="1"/>
  <c r="CJ376" i="2" s="1"/>
  <c r="CK376" i="2" s="1"/>
  <c r="CD142" i="2"/>
  <c r="CI142" i="2" s="1"/>
  <c r="CJ142" i="2" s="1"/>
  <c r="CK142" i="2" s="1"/>
  <c r="CD194" i="2"/>
  <c r="CE194" i="2" s="1"/>
  <c r="CD146" i="2"/>
  <c r="CE146" i="2" s="1"/>
  <c r="CD353" i="2"/>
  <c r="CE353" i="2" s="1"/>
  <c r="BZ379" i="2"/>
  <c r="CD379" i="2" s="1"/>
  <c r="BZ380" i="2"/>
  <c r="CD380" i="2" s="1"/>
  <c r="CA397" i="2"/>
  <c r="CD334" i="2"/>
  <c r="CE334" i="2" s="1"/>
  <c r="CD161" i="2"/>
  <c r="CI161" i="2" s="1"/>
  <c r="CJ161" i="2" s="1"/>
  <c r="CK161" i="2" s="1"/>
  <c r="CD421" i="2"/>
  <c r="CI421" i="2" s="1"/>
  <c r="CD117" i="2"/>
  <c r="CE117" i="2" s="1"/>
  <c r="CD130" i="2"/>
  <c r="CE130" i="2" s="1"/>
  <c r="CD327" i="2"/>
  <c r="CE327" i="2" s="1"/>
  <c r="CD377" i="2"/>
  <c r="CI377" i="2" s="1"/>
  <c r="CJ377" i="2" s="1"/>
  <c r="CK377" i="2" s="1"/>
  <c r="CI223" i="2"/>
  <c r="CJ223" i="2" s="1"/>
  <c r="CK223" i="2" s="1"/>
  <c r="CE397" i="2"/>
  <c r="CD405" i="2"/>
  <c r="CE405" i="2" s="1"/>
  <c r="CD102" i="2"/>
  <c r="CE102" i="2" s="1"/>
  <c r="CD418" i="2"/>
  <c r="CE418" i="2" s="1"/>
  <c r="CD136" i="2"/>
  <c r="CI136" i="2" s="1"/>
  <c r="CJ136" i="2" s="1"/>
  <c r="CK136" i="2" s="1"/>
  <c r="CD288" i="2"/>
  <c r="CI288" i="2" s="1"/>
  <c r="CJ288" i="2" s="1"/>
  <c r="CK288" i="2" s="1"/>
  <c r="CD370" i="2"/>
  <c r="CI370" i="2" s="1"/>
  <c r="CJ370" i="2" s="1"/>
  <c r="CK370" i="2" s="1"/>
  <c r="CI218" i="2"/>
  <c r="CJ218" i="2" s="1"/>
  <c r="CK218" i="2" s="1"/>
  <c r="CD295" i="2"/>
  <c r="CE295" i="2" s="1"/>
  <c r="CD66" i="2"/>
  <c r="CI66" i="2" s="1"/>
  <c r="CJ66" i="2" s="1"/>
  <c r="CK66" i="2" s="1"/>
  <c r="CI220" i="2"/>
  <c r="CJ220" i="2" s="1"/>
  <c r="CK220" i="2" s="1"/>
  <c r="CD93" i="2"/>
  <c r="CI93" i="2" s="1"/>
  <c r="CD382" i="2"/>
  <c r="CE382" i="2" s="1"/>
  <c r="CD101" i="2"/>
  <c r="CE101" i="2" s="1"/>
  <c r="CD193" i="2"/>
  <c r="CI193" i="2" s="1"/>
  <c r="CJ193" i="2" s="1"/>
  <c r="CK193" i="2" s="1"/>
  <c r="CD463" i="2"/>
  <c r="CI463" i="2" s="1"/>
  <c r="CJ463" i="2" s="1"/>
  <c r="CK463" i="2" s="1"/>
  <c r="CD128" i="2"/>
  <c r="CI128" i="2" s="1"/>
  <c r="CJ128" i="2" s="1"/>
  <c r="CK128" i="2" s="1"/>
  <c r="CD187" i="2"/>
  <c r="CE187" i="2" s="1"/>
  <c r="CD105" i="2"/>
  <c r="CI105" i="2" s="1"/>
  <c r="CJ105" i="2" s="1"/>
  <c r="CK105" i="2" s="1"/>
  <c r="CD200" i="2"/>
  <c r="CE200" i="2" s="1"/>
  <c r="CI233" i="2"/>
  <c r="CJ233" i="2" s="1"/>
  <c r="CK233" i="2" s="1"/>
  <c r="CD134" i="2"/>
  <c r="CE134" i="2" s="1"/>
  <c r="CI227" i="2"/>
  <c r="CJ227" i="2" s="1"/>
  <c r="CK227" i="2" s="1"/>
  <c r="CI239" i="2"/>
  <c r="CJ239" i="2" s="1"/>
  <c r="CK239" i="2" s="1"/>
  <c r="CD462" i="2"/>
  <c r="CI462" i="2" s="1"/>
  <c r="CJ462" i="2" s="1"/>
  <c r="CK462" i="2" s="1"/>
  <c r="CD311" i="2"/>
  <c r="CI311" i="2" s="1"/>
  <c r="CJ311" i="2" s="1"/>
  <c r="CK311" i="2" s="1"/>
  <c r="CI395" i="2"/>
  <c r="CJ395" i="2" s="1"/>
  <c r="CK395" i="2" s="1"/>
  <c r="CD166" i="2"/>
  <c r="CI166" i="2" s="1"/>
  <c r="CJ166" i="2" s="1"/>
  <c r="CK166" i="2" s="1"/>
  <c r="CE215" i="2"/>
  <c r="CD486" i="2"/>
  <c r="CI486" i="2" s="1"/>
  <c r="CJ486" i="2" s="1"/>
  <c r="CK486" i="2" s="1"/>
  <c r="CD372" i="2"/>
  <c r="CE372" i="2" s="1"/>
  <c r="CD137" i="2"/>
  <c r="CI137" i="2" s="1"/>
  <c r="CJ137" i="2" s="1"/>
  <c r="CK137" i="2" s="1"/>
  <c r="CD422" i="2"/>
  <c r="CE422" i="2" s="1"/>
  <c r="CI240" i="2"/>
  <c r="CJ240" i="2" s="1"/>
  <c r="CK240" i="2" s="1"/>
  <c r="CE240" i="2"/>
  <c r="CD294" i="2"/>
  <c r="CE294" i="2" s="1"/>
  <c r="CI242" i="2"/>
  <c r="CJ242" i="2" s="1"/>
  <c r="CK242" i="2" s="1"/>
  <c r="CD346" i="2"/>
  <c r="CI346" i="2" s="1"/>
  <c r="CJ346" i="2" s="1"/>
  <c r="CK346" i="2" s="1"/>
  <c r="CD210" i="2"/>
  <c r="CD459" i="2"/>
  <c r="CI459" i="2" s="1"/>
  <c r="CJ459" i="2" s="1"/>
  <c r="CD151" i="2"/>
  <c r="CE151" i="2" s="1"/>
  <c r="CD425" i="2"/>
  <c r="CE425" i="2" s="1"/>
  <c r="CD82" i="2"/>
  <c r="CE82" i="2" s="1"/>
  <c r="CD316" i="2"/>
  <c r="CI316" i="2" s="1"/>
  <c r="CJ316" i="2" s="1"/>
  <c r="CK316" i="2" s="1"/>
  <c r="CD430" i="2"/>
  <c r="CI430" i="2" s="1"/>
  <c r="CJ430" i="2" s="1"/>
  <c r="CK430" i="2" s="1"/>
  <c r="CI219" i="2"/>
  <c r="CJ219" i="2" s="1"/>
  <c r="CK219" i="2" s="1"/>
  <c r="CD344" i="2"/>
  <c r="CI344" i="2" s="1"/>
  <c r="CJ344" i="2" s="1"/>
  <c r="CK344" i="2" s="1"/>
  <c r="CD188" i="2"/>
  <c r="CE188" i="2" s="1"/>
  <c r="CD22" i="2"/>
  <c r="CE22" i="2" s="1"/>
  <c r="CD100" i="2"/>
  <c r="CE100" i="2" s="1"/>
  <c r="CD328" i="2"/>
  <c r="CI328" i="2" s="1"/>
  <c r="CJ328" i="2" s="1"/>
  <c r="CK328" i="2" s="1"/>
  <c r="CI388" i="2"/>
  <c r="CJ388" i="2" s="1"/>
  <c r="CK388" i="2" s="1"/>
  <c r="CD92" i="2"/>
  <c r="CI92" i="2" s="1"/>
  <c r="CJ92" i="2" s="1"/>
  <c r="CK92" i="2" s="1"/>
  <c r="CD363" i="2"/>
  <c r="CE363" i="2" s="1"/>
  <c r="CD325" i="2"/>
  <c r="CE325" i="2" s="1"/>
  <c r="CD326" i="2"/>
  <c r="CI326" i="2" s="1"/>
  <c r="CJ326" i="2" s="1"/>
  <c r="CK326" i="2" s="1"/>
  <c r="CE230" i="2"/>
  <c r="CI230" i="2"/>
  <c r="CJ230" i="2" s="1"/>
  <c r="CK230" i="2" s="1"/>
  <c r="CI466" i="2"/>
  <c r="CJ466" i="2" s="1"/>
  <c r="CK466" i="2" s="1"/>
  <c r="CD301" i="2"/>
  <c r="CE301" i="2" s="1"/>
  <c r="CD341" i="2"/>
  <c r="CE341" i="2" s="1"/>
  <c r="CI231" i="2"/>
  <c r="CJ231" i="2" s="1"/>
  <c r="CK231" i="2" s="1"/>
  <c r="BU132" i="2" a="1"/>
  <c r="BU132" i="2" s="1"/>
  <c r="BX132" i="2" s="1"/>
  <c r="BY132" i="2" s="1"/>
  <c r="CA132" i="2" s="1"/>
  <c r="CD441" i="2"/>
  <c r="CD299" i="2"/>
  <c r="CE299" i="2" s="1"/>
  <c r="CD17" i="2"/>
  <c r="CI17" i="2" s="1"/>
  <c r="CJ17" i="2" s="1"/>
  <c r="CK17" i="2" s="1"/>
  <c r="CD292" i="2"/>
  <c r="CI292" i="2" s="1"/>
  <c r="CD87" i="2"/>
  <c r="CI87" i="2" s="1"/>
  <c r="CJ87" i="2" s="1"/>
  <c r="CK87" i="2" s="1"/>
  <c r="CD314" i="2"/>
  <c r="CI314" i="2" s="1"/>
  <c r="CD84" i="2"/>
  <c r="CE84" i="2" s="1"/>
  <c r="CI236" i="2"/>
  <c r="CJ236" i="2" s="1"/>
  <c r="CK236" i="2" s="1"/>
  <c r="CD358" i="2"/>
  <c r="CI358" i="2" s="1"/>
  <c r="CJ358" i="2" s="1"/>
  <c r="CK358" i="2" s="1"/>
  <c r="CD359" i="2"/>
  <c r="CE359" i="2" s="1"/>
  <c r="CD135" i="2"/>
  <c r="CI135" i="2" s="1"/>
  <c r="CJ135" i="2" s="1"/>
  <c r="CK135" i="2" s="1"/>
  <c r="CD23" i="2"/>
  <c r="CI23" i="2" s="1"/>
  <c r="CJ23" i="2" s="1"/>
  <c r="CK23" i="2" s="1"/>
  <c r="CD20" i="2"/>
  <c r="CD184" i="2"/>
  <c r="CE184" i="2" s="1"/>
  <c r="CD432" i="2"/>
  <c r="CE432" i="2" s="1"/>
  <c r="CD88" i="2"/>
  <c r="CE88" i="2" s="1"/>
  <c r="CD355" i="2"/>
  <c r="CI355" i="2" s="1"/>
  <c r="CJ355" i="2" s="1"/>
  <c r="CK355" i="2" s="1"/>
  <c r="CD95" i="2"/>
  <c r="CE95" i="2" s="1"/>
  <c r="CD153" i="2"/>
  <c r="CE153" i="2" s="1"/>
  <c r="CD156" i="2"/>
  <c r="CI156" i="2" s="1"/>
  <c r="CJ156" i="2" s="1"/>
  <c r="CK156" i="2" s="1"/>
  <c r="CD69" i="2"/>
  <c r="CI69" i="2" s="1"/>
  <c r="CJ69" i="2" s="1"/>
  <c r="CK69" i="2" s="1"/>
  <c r="CD179" i="2"/>
  <c r="CE179" i="2" s="1"/>
  <c r="CD172" i="2"/>
  <c r="CE172" i="2" s="1"/>
  <c r="CD125" i="2"/>
  <c r="CI125" i="2" s="1"/>
  <c r="CJ125" i="2" s="1"/>
  <c r="CK125" i="2" s="1"/>
  <c r="CD189" i="2"/>
  <c r="CE189" i="2" s="1"/>
  <c r="CD465" i="2"/>
  <c r="CI465" i="2" s="1"/>
  <c r="CJ465" i="2" s="1"/>
  <c r="CK465" i="2" s="1"/>
  <c r="CD140" i="2"/>
  <c r="CE140" i="2" s="1"/>
  <c r="CD11" i="2"/>
  <c r="CE11" i="2" s="1"/>
  <c r="CD335" i="2"/>
  <c r="CI335" i="2" s="1"/>
  <c r="CJ335" i="2" s="1"/>
  <c r="CK335" i="2" s="1"/>
  <c r="CD164" i="2"/>
  <c r="CI164" i="2" s="1"/>
  <c r="CJ164" i="2" s="1"/>
  <c r="CK164" i="2" s="1"/>
  <c r="CI384" i="2"/>
  <c r="CJ384" i="2" s="1"/>
  <c r="CK384" i="2" s="1"/>
  <c r="CD440" i="2"/>
  <c r="CI440" i="2" s="1"/>
  <c r="CJ440" i="2" s="1"/>
  <c r="CK440" i="2" s="1"/>
  <c r="CD329" i="2"/>
  <c r="CI329" i="2" s="1"/>
  <c r="CJ329" i="2" s="1"/>
  <c r="CK329" i="2" s="1"/>
  <c r="CD318" i="2"/>
  <c r="CE318" i="2" s="1"/>
  <c r="CD169" i="2"/>
  <c r="CE169" i="2" s="1"/>
  <c r="CD368" i="2"/>
  <c r="CI368" i="2" s="1"/>
  <c r="CJ368" i="2" s="1"/>
  <c r="CK368" i="2" s="1"/>
  <c r="CD366" i="2"/>
  <c r="CE366" i="2" s="1"/>
  <c r="CE233" i="2"/>
  <c r="CD114" i="2"/>
  <c r="CI114" i="2" s="1"/>
  <c r="CJ114" i="2" s="1"/>
  <c r="CK114" i="2" s="1"/>
  <c r="CD75" i="2"/>
  <c r="CI75" i="2" s="1"/>
  <c r="CJ75" i="2" s="1"/>
  <c r="CK75" i="2" s="1"/>
  <c r="CD434" i="2"/>
  <c r="CE434" i="2" s="1"/>
  <c r="CD321" i="2"/>
  <c r="CE321" i="2" s="1"/>
  <c r="CD296" i="2"/>
  <c r="CI296" i="2" s="1"/>
  <c r="CJ296" i="2" s="1"/>
  <c r="CK296" i="2" s="1"/>
  <c r="CD365" i="2"/>
  <c r="CI365" i="2" s="1"/>
  <c r="CJ365" i="2" s="1"/>
  <c r="CK365" i="2" s="1"/>
  <c r="CD461" i="2"/>
  <c r="CI461" i="2" s="1"/>
  <c r="CJ461" i="2" s="1"/>
  <c r="CD78" i="2"/>
  <c r="CE78" i="2" s="1"/>
  <c r="CD168" i="2"/>
  <c r="CE168" i="2" s="1"/>
  <c r="CD470" i="2"/>
  <c r="CI470" i="2" s="1"/>
  <c r="CJ470" i="2" s="1"/>
  <c r="CD18" i="2"/>
  <c r="CI18" i="2" s="1"/>
  <c r="CJ18" i="2" s="1"/>
  <c r="CK18" i="2" s="1"/>
  <c r="CD438" i="2"/>
  <c r="CI438" i="2" s="1"/>
  <c r="CJ438" i="2" s="1"/>
  <c r="CD424" i="2"/>
  <c r="CI424" i="2" s="1"/>
  <c r="CJ424" i="2" s="1"/>
  <c r="CK424" i="2" s="1"/>
  <c r="CD80" i="2"/>
  <c r="CE80" i="2" s="1"/>
  <c r="CD120" i="2"/>
  <c r="CE120" i="2" s="1"/>
  <c r="CD302" i="2"/>
  <c r="CI302" i="2" s="1"/>
  <c r="CJ302" i="2" s="1"/>
  <c r="CK302" i="2" s="1"/>
  <c r="CD63" i="2"/>
  <c r="CE63" i="2" s="1"/>
  <c r="CD339" i="2"/>
  <c r="CI339" i="2" s="1"/>
  <c r="CD340" i="2"/>
  <c r="CI340" i="2" s="1"/>
  <c r="CJ340" i="2" s="1"/>
  <c r="CK340" i="2" s="1"/>
  <c r="CD345" i="2"/>
  <c r="CI345" i="2" s="1"/>
  <c r="CD67" i="2"/>
  <c r="CE67" i="2" s="1"/>
  <c r="CD191" i="2"/>
  <c r="CE191" i="2" s="1"/>
  <c r="CD485" i="2"/>
  <c r="CE485" i="2" s="1"/>
  <c r="CD357" i="2"/>
  <c r="CE357" i="2" s="1"/>
  <c r="CD154" i="2"/>
  <c r="CE154" i="2" s="1"/>
  <c r="CD324" i="2"/>
  <c r="CE324" i="2" s="1"/>
  <c r="CD121" i="2"/>
  <c r="CE121" i="2" s="1"/>
  <c r="CD371" i="2"/>
  <c r="CE371" i="2" s="1"/>
  <c r="CD437" i="2"/>
  <c r="CE437" i="2" s="1"/>
  <c r="CD160" i="2"/>
  <c r="CI160" i="2" s="1"/>
  <c r="CJ160" i="2" s="1"/>
  <c r="CK160" i="2" s="1"/>
  <c r="CD364" i="2"/>
  <c r="CE364" i="2" s="1"/>
  <c r="CD174" i="2"/>
  <c r="CI174" i="2" s="1"/>
  <c r="CD349" i="2"/>
  <c r="CE349" i="2" s="1"/>
  <c r="CD14" i="2"/>
  <c r="CI14" i="2" s="1"/>
  <c r="CJ14" i="2" s="1"/>
  <c r="CK14" i="2" s="1"/>
  <c r="CD185" i="2"/>
  <c r="CI185" i="2" s="1"/>
  <c r="CJ185" i="2" s="1"/>
  <c r="CK185" i="2" s="1"/>
  <c r="CD16" i="2"/>
  <c r="CE16" i="2" s="1"/>
  <c r="CD287" i="2"/>
  <c r="CI287" i="2" s="1"/>
  <c r="CJ287" i="2" s="1"/>
  <c r="CK287" i="2" s="1"/>
  <c r="CD420" i="2"/>
  <c r="CE420" i="2" s="1"/>
  <c r="CI225" i="2"/>
  <c r="CJ225" i="2" s="1"/>
  <c r="CK225" i="2" s="1"/>
  <c r="CE226" i="2"/>
  <c r="CI226" i="2"/>
  <c r="CJ226" i="2" s="1"/>
  <c r="CK226" i="2" s="1"/>
  <c r="CD428" i="2"/>
  <c r="CE428" i="2" s="1"/>
  <c r="CD86" i="2"/>
  <c r="CE86" i="2" s="1"/>
  <c r="CD176" i="2"/>
  <c r="CE176" i="2" s="1"/>
  <c r="CI383" i="2"/>
  <c r="CJ383" i="2" s="1"/>
  <c r="CK383" i="2" s="1"/>
  <c r="CD106" i="2"/>
  <c r="CE106" i="2" s="1"/>
  <c r="CD113" i="2"/>
  <c r="CI113" i="2" s="1"/>
  <c r="CJ113" i="2" s="1"/>
  <c r="CK113" i="2" s="1"/>
  <c r="CI386" i="2"/>
  <c r="CJ386" i="2" s="1"/>
  <c r="CK386" i="2" s="1"/>
  <c r="CE386" i="2"/>
  <c r="CI244" i="2"/>
  <c r="CJ244" i="2" s="1"/>
  <c r="CK244" i="2" s="1"/>
  <c r="CE244" i="2"/>
  <c r="CI222" i="2"/>
  <c r="CJ222" i="2" s="1"/>
  <c r="CK222" i="2" s="1"/>
  <c r="CE222" i="2"/>
  <c r="CE235" i="2"/>
  <c r="CI235" i="2"/>
  <c r="CJ235" i="2" s="1"/>
  <c r="CK235" i="2" s="1"/>
  <c r="CE474" i="2"/>
  <c r="CI474" i="2"/>
  <c r="CJ474" i="2" s="1"/>
  <c r="CK474" i="2" s="1"/>
  <c r="CE237" i="2"/>
  <c r="CI237" i="2"/>
  <c r="CJ237" i="2" s="1"/>
  <c r="CK237" i="2" s="1"/>
  <c r="CI211" i="2"/>
  <c r="CJ211" i="2" s="1"/>
  <c r="CK211" i="2" s="1"/>
  <c r="CE211" i="2"/>
  <c r="CD126" i="2"/>
  <c r="CI126" i="2" s="1"/>
  <c r="CD467" i="2"/>
  <c r="CI467" i="2" s="1"/>
  <c r="CJ467" i="2" s="1"/>
  <c r="CD143" i="2"/>
  <c r="CI143" i="2" s="1"/>
  <c r="CJ143" i="2" s="1"/>
  <c r="CK143" i="2" s="1"/>
  <c r="CD433" i="2"/>
  <c r="CE433" i="2" s="1"/>
  <c r="CD406" i="2"/>
  <c r="CE406" i="2" s="1"/>
  <c r="CI216" i="2"/>
  <c r="CJ216" i="2" s="1"/>
  <c r="CK216" i="2" s="1"/>
  <c r="CE245" i="2"/>
  <c r="CI245" i="2"/>
  <c r="CJ245" i="2" s="1"/>
  <c r="CK245" i="2" s="1"/>
  <c r="CD456" i="2"/>
  <c r="CE456" i="2" s="1"/>
  <c r="CD361" i="2"/>
  <c r="CE361" i="2" s="1"/>
  <c r="CD5" i="2"/>
  <c r="CE5" i="2" s="1"/>
  <c r="CD435" i="2"/>
  <c r="CE435" i="2" s="1"/>
  <c r="CD108" i="2"/>
  <c r="CE108" i="2" s="1"/>
  <c r="CD445" i="2"/>
  <c r="CI445" i="2" s="1"/>
  <c r="CJ445" i="2" s="1"/>
  <c r="CD330" i="2"/>
  <c r="CI330" i="2" s="1"/>
  <c r="CJ330" i="2" s="1"/>
  <c r="CK330" i="2" s="1"/>
  <c r="CD477" i="2"/>
  <c r="CE477" i="2" s="1"/>
  <c r="CD443" i="2"/>
  <c r="CI443" i="2" s="1"/>
  <c r="CJ443" i="2" s="1"/>
  <c r="CK443" i="2" s="1"/>
  <c r="CD15" i="2"/>
  <c r="CI15" i="2" s="1"/>
  <c r="CD79" i="2"/>
  <c r="CE79" i="2" s="1"/>
  <c r="CD455" i="2"/>
  <c r="CI455" i="2" s="1"/>
  <c r="CI241" i="2"/>
  <c r="CJ241" i="2" s="1"/>
  <c r="CK241" i="2" s="1"/>
  <c r="CE390" i="2"/>
  <c r="CI390" i="2"/>
  <c r="CJ390" i="2" s="1"/>
  <c r="CK390" i="2" s="1"/>
  <c r="CD289" i="2"/>
  <c r="CE289" i="2" s="1"/>
  <c r="CD423" i="2"/>
  <c r="CE423" i="2" s="1"/>
  <c r="CD145" i="2"/>
  <c r="CI145" i="2" s="1"/>
  <c r="CJ145" i="2" s="1"/>
  <c r="CK145" i="2" s="1"/>
  <c r="CD10" i="2"/>
  <c r="CD186" i="2"/>
  <c r="CE186" i="2" s="1"/>
  <c r="CD375" i="2"/>
  <c r="CI375" i="2" s="1"/>
  <c r="CJ375" i="2" s="1"/>
  <c r="CK375" i="2" s="1"/>
  <c r="CD352" i="2"/>
  <c r="CI352" i="2" s="1"/>
  <c r="CJ352" i="2" s="1"/>
  <c r="CK352" i="2" s="1"/>
  <c r="CD152" i="2"/>
  <c r="CE152" i="2" s="1"/>
  <c r="CD426" i="2"/>
  <c r="CE426" i="2" s="1"/>
  <c r="CD192" i="2"/>
  <c r="CE192" i="2" s="1"/>
  <c r="CD138" i="2"/>
  <c r="CE138" i="2" s="1"/>
  <c r="CD97" i="2"/>
  <c r="CE97" i="2" s="1"/>
  <c r="CD208" i="2"/>
  <c r="CE208" i="2" s="1"/>
  <c r="CD407" i="2"/>
  <c r="CE407" i="2" s="1"/>
  <c r="CD180" i="2"/>
  <c r="CE180" i="2" s="1"/>
  <c r="CD163" i="2"/>
  <c r="CE163" i="2" s="1"/>
  <c r="CD350" i="2"/>
  <c r="CD309" i="2"/>
  <c r="CI309" i="2" s="1"/>
  <c r="CJ309" i="2" s="1"/>
  <c r="CK309" i="2" s="1"/>
  <c r="CD89" i="2"/>
  <c r="CI89" i="2" s="1"/>
  <c r="CJ89" i="2" s="1"/>
  <c r="CK89" i="2" s="1"/>
  <c r="CD305" i="2"/>
  <c r="CE305" i="2" s="1"/>
  <c r="CD147" i="2"/>
  <c r="CE147" i="2" s="1"/>
  <c r="CD127" i="2"/>
  <c r="CE127" i="2" s="1"/>
  <c r="CD190" i="2"/>
  <c r="CE190" i="2" s="1"/>
  <c r="CD206" i="2"/>
  <c r="CI206" i="2" s="1"/>
  <c r="CJ206" i="2" s="1"/>
  <c r="CK206" i="2" s="1"/>
  <c r="CD198" i="2"/>
  <c r="CI198" i="2" s="1"/>
  <c r="CJ198" i="2" s="1"/>
  <c r="CK198" i="2" s="1"/>
  <c r="CD157" i="2"/>
  <c r="CE157" i="2" s="1"/>
  <c r="CD317" i="2"/>
  <c r="CE317" i="2" s="1"/>
  <c r="CD178" i="2"/>
  <c r="CE178" i="2" s="1"/>
  <c r="CD74" i="2"/>
  <c r="CE74" i="2" s="1"/>
  <c r="CI243" i="2"/>
  <c r="CJ243" i="2" s="1"/>
  <c r="CK243" i="2" s="1"/>
  <c r="CD315" i="2"/>
  <c r="CE315" i="2" s="1"/>
  <c r="CE241" i="2"/>
  <c r="CI446" i="2"/>
  <c r="CJ446" i="2" s="1"/>
  <c r="CE446" i="2"/>
  <c r="CD367" i="2"/>
  <c r="CI367" i="2" s="1"/>
  <c r="CJ367" i="2" s="1"/>
  <c r="CK367" i="2" s="1"/>
  <c r="CD73" i="2"/>
  <c r="CI246" i="2"/>
  <c r="CJ246" i="2" s="1"/>
  <c r="CK246" i="2" s="1"/>
  <c r="CD313" i="2"/>
  <c r="CI313" i="2" s="1"/>
  <c r="CJ313" i="2" s="1"/>
  <c r="CK313" i="2" s="1"/>
  <c r="CD165" i="2"/>
  <c r="CE165" i="2" s="1"/>
  <c r="CD19" i="2"/>
  <c r="CE19" i="2" s="1"/>
  <c r="CD7" i="2"/>
  <c r="CE7" i="2" s="1"/>
  <c r="CD427" i="2"/>
  <c r="CI427" i="2" s="1"/>
  <c r="CJ427" i="2" s="1"/>
  <c r="CD356" i="2"/>
  <c r="CE356" i="2" s="1"/>
  <c r="CD203" i="2"/>
  <c r="CE203" i="2" s="1"/>
  <c r="CD290" i="2"/>
  <c r="CE290" i="2" s="1"/>
  <c r="CD205" i="2"/>
  <c r="CD416" i="2"/>
  <c r="CE416" i="2" s="1"/>
  <c r="CD175" i="2"/>
  <c r="CE175" i="2" s="1"/>
  <c r="CD333" i="2"/>
  <c r="CI333" i="2" s="1"/>
  <c r="CJ333" i="2" s="1"/>
  <c r="CK333" i="2" s="1"/>
  <c r="CD81" i="2"/>
  <c r="CI81" i="2" s="1"/>
  <c r="CJ81" i="2" s="1"/>
  <c r="CK81" i="2" s="1"/>
  <c r="CD457" i="2"/>
  <c r="CI457" i="2" s="1"/>
  <c r="CD347" i="2"/>
  <c r="CI347" i="2" s="1"/>
  <c r="CJ347" i="2" s="1"/>
  <c r="CK347" i="2" s="1"/>
  <c r="CD150" i="2"/>
  <c r="CE150" i="2" s="1"/>
  <c r="CD308" i="2"/>
  <c r="CI308" i="2" s="1"/>
  <c r="CD64" i="2"/>
  <c r="CE64" i="2" s="1"/>
  <c r="CD293" i="2"/>
  <c r="CE293" i="2" s="1"/>
  <c r="CE476" i="2"/>
  <c r="CI476" i="2"/>
  <c r="CJ476" i="2" s="1"/>
  <c r="CE213" i="2"/>
  <c r="CI213" i="2"/>
  <c r="CJ213" i="2" s="1"/>
  <c r="CK213" i="2" s="1"/>
  <c r="CE212" i="2"/>
  <c r="CI212" i="2"/>
  <c r="CJ212" i="2" s="1"/>
  <c r="CK212" i="2" s="1"/>
  <c r="CA396" i="2"/>
  <c r="CE401" i="2"/>
  <c r="CI401" i="2"/>
  <c r="CJ401" i="2" s="1"/>
  <c r="CD110" i="2"/>
  <c r="CD8" i="2"/>
  <c r="CD204" i="2"/>
  <c r="CD338" i="2"/>
  <c r="CD454" i="2"/>
  <c r="CD171" i="2"/>
  <c r="CD468" i="2"/>
  <c r="CD332" i="2"/>
  <c r="CD351" i="2"/>
  <c r="CD103" i="2"/>
  <c r="CD122" i="2"/>
  <c r="CA51" i="2"/>
  <c r="CD303" i="2"/>
  <c r="CA402" i="2"/>
  <c r="CD173" i="2"/>
  <c r="CD458" i="2"/>
  <c r="CD319" i="2"/>
  <c r="CA53" i="2"/>
  <c r="CD297" i="2"/>
  <c r="CD469" i="2"/>
  <c r="CD202" i="2"/>
  <c r="CD6" i="2"/>
  <c r="CD182" i="2"/>
  <c r="CD348" i="2"/>
  <c r="CD449" i="2"/>
  <c r="CD307" i="2"/>
  <c r="CD419" i="2"/>
  <c r="CA49" i="2"/>
  <c r="CA277" i="2"/>
  <c r="CE389" i="2"/>
  <c r="CI389" i="2"/>
  <c r="CJ389" i="2" s="1"/>
  <c r="CK389" i="2" s="1"/>
  <c r="CD72" i="2"/>
  <c r="CD112" i="2"/>
  <c r="CD104" i="2"/>
  <c r="CD123" i="2"/>
  <c r="CD450" i="2"/>
  <c r="CD320" i="2"/>
  <c r="CD68" i="2"/>
  <c r="CD337" i="2"/>
  <c r="CD378" i="2"/>
  <c r="CD444" i="2"/>
  <c r="CD70" i="2"/>
  <c r="CD298" i="2"/>
  <c r="CD71" i="2"/>
  <c r="CD96" i="2"/>
  <c r="CD148" i="2"/>
  <c r="CD65" i="2"/>
  <c r="CD336" i="2"/>
  <c r="CD481" i="2"/>
  <c r="CE232" i="2"/>
  <c r="CI232" i="2"/>
  <c r="CJ232" i="2" s="1"/>
  <c r="CK232" i="2" s="1"/>
  <c r="CD115" i="2"/>
  <c r="CD109" i="2"/>
  <c r="CD331" i="2"/>
  <c r="CD373" i="2"/>
  <c r="CA280" i="2"/>
  <c r="CD107" i="2"/>
  <c r="CA253" i="2"/>
  <c r="CA285" i="2"/>
  <c r="CI394" i="2"/>
  <c r="CJ394" i="2" s="1"/>
  <c r="CK394" i="2" s="1"/>
  <c r="CE394" i="2"/>
  <c r="CD85" i="2"/>
  <c r="CD431" i="2"/>
  <c r="CD167" i="2"/>
  <c r="CD429" i="2"/>
  <c r="CD159" i="2"/>
  <c r="CD83" i="2"/>
  <c r="CD291" i="2"/>
  <c r="CD12" i="2"/>
  <c r="CD158" i="2"/>
  <c r="CD439" i="2"/>
  <c r="CD196" i="2"/>
  <c r="CD149" i="2"/>
  <c r="CD155" i="2"/>
  <c r="CD201" i="2"/>
  <c r="CD90" i="2"/>
  <c r="CD124" i="2"/>
  <c r="CD322" i="2"/>
  <c r="CD312" i="2"/>
  <c r="CD9" i="2"/>
  <c r="CA59" i="2"/>
  <c r="CD464" i="2"/>
  <c r="CD209" i="2"/>
  <c r="CD13" i="2"/>
  <c r="CD141" i="2"/>
  <c r="CD131" i="2"/>
  <c r="CD99" i="2"/>
  <c r="CA507" i="2"/>
  <c r="CA472" i="2"/>
  <c r="CE229" i="2"/>
  <c r="CI229" i="2"/>
  <c r="CJ229" i="2" s="1"/>
  <c r="CK229" i="2" s="1"/>
  <c r="CE224" i="2"/>
  <c r="CI224" i="2"/>
  <c r="CJ224" i="2" s="1"/>
  <c r="CK224" i="2" s="1"/>
  <c r="CA283" i="2"/>
  <c r="CI385" i="2"/>
  <c r="CJ385" i="2" s="1"/>
  <c r="CK385" i="2" s="1"/>
  <c r="CE385" i="2"/>
  <c r="CD77" i="2"/>
  <c r="CD4" i="2"/>
  <c r="CD399" i="2"/>
  <c r="CD442" i="2"/>
  <c r="CD304" i="2"/>
  <c r="CD98" i="2"/>
  <c r="CD170" i="2"/>
  <c r="CD360" i="2"/>
  <c r="CD197" i="2"/>
  <c r="CD116" i="2"/>
  <c r="CD133" i="2"/>
  <c r="CD199" i="2"/>
  <c r="CD76" i="2"/>
  <c r="CD306" i="2"/>
  <c r="CI234" i="2"/>
  <c r="CJ234" i="2" s="1"/>
  <c r="CK234" i="2" s="1"/>
  <c r="CE234" i="2"/>
  <c r="CD323" i="2"/>
  <c r="CD62" i="2"/>
  <c r="CA32" i="2"/>
  <c r="CD362" i="2"/>
  <c r="CD374" i="2"/>
  <c r="CD300" i="2"/>
  <c r="CE217" i="2"/>
  <c r="CI217" i="2"/>
  <c r="CJ217" i="2" s="1"/>
  <c r="CK217" i="2" s="1"/>
  <c r="CE473" i="2"/>
  <c r="CI473" i="2"/>
  <c r="CJ473" i="2" s="1"/>
  <c r="CD111" i="2"/>
  <c r="CD369" i="2"/>
  <c r="CA286" i="2"/>
  <c r="CE214" i="2"/>
  <c r="CI214" i="2"/>
  <c r="CJ214" i="2" s="1"/>
  <c r="CK214" i="2" s="1"/>
  <c r="CD404" i="2"/>
  <c r="CD436" i="2"/>
  <c r="CD139" i="2"/>
  <c r="CD162" i="2"/>
  <c r="CD144" i="2"/>
  <c r="CD183" i="2"/>
  <c r="CD118" i="2"/>
  <c r="CD343" i="2"/>
  <c r="CD91" i="2"/>
  <c r="CD94" i="2"/>
  <c r="CD177" i="2"/>
  <c r="CD207" i="2"/>
  <c r="CD310" i="2"/>
  <c r="CD119" i="2"/>
  <c r="CE497" i="2" l="1"/>
  <c r="CI408" i="2"/>
  <c r="CJ408" i="2" s="1"/>
  <c r="CK408" i="2" s="1"/>
  <c r="CI493" i="2"/>
  <c r="CJ493" i="2" s="1"/>
  <c r="CK493" i="2" s="1"/>
  <c r="CE499" i="2"/>
  <c r="CI495" i="2"/>
  <c r="CJ495" i="2" s="1"/>
  <c r="CK495" i="2" s="1"/>
  <c r="CI496" i="2"/>
  <c r="CJ496" i="2" s="1"/>
  <c r="CK496" i="2" s="1"/>
  <c r="CI498" i="2"/>
  <c r="CJ498" i="2" s="1"/>
  <c r="CK498" i="2" s="1"/>
  <c r="CI491" i="2"/>
  <c r="CJ491" i="2" s="1"/>
  <c r="CK491" i="2" s="1"/>
  <c r="CI492" i="2"/>
  <c r="CJ492" i="2" s="1"/>
  <c r="CK492" i="2" s="1"/>
  <c r="CI489" i="2"/>
  <c r="CJ489" i="2" s="1"/>
  <c r="CK489" i="2" s="1"/>
  <c r="CI387" i="2"/>
  <c r="CJ387" i="2" s="1"/>
  <c r="CK387" i="2" s="1"/>
  <c r="CI221" i="2"/>
  <c r="CJ221" i="2" s="1"/>
  <c r="CK221" i="2" s="1"/>
  <c r="CE238" i="2"/>
  <c r="CE354" i="2"/>
  <c r="CI129" i="2"/>
  <c r="CJ129" i="2" s="1"/>
  <c r="CK129" i="2" s="1"/>
  <c r="CD286" i="2"/>
  <c r="CI286" i="2" s="1"/>
  <c r="CJ286" i="2" s="1"/>
  <c r="CK286" i="2" s="1"/>
  <c r="CD253" i="2"/>
  <c r="CI253" i="2" s="1"/>
  <c r="CJ253" i="2" s="1"/>
  <c r="CK253" i="2" s="1"/>
  <c r="CI195" i="2"/>
  <c r="CJ195" i="2" s="1"/>
  <c r="CK195" i="2" s="1"/>
  <c r="CI487" i="2"/>
  <c r="CJ487" i="2" s="1"/>
  <c r="CK487" i="2" s="1"/>
  <c r="CD396" i="2"/>
  <c r="CI396" i="2" s="1"/>
  <c r="CJ396" i="2" s="1"/>
  <c r="CD277" i="2"/>
  <c r="CI277" i="2" s="1"/>
  <c r="CJ277" i="2" s="1"/>
  <c r="CK277" i="2" s="1"/>
  <c r="CI52" i="2"/>
  <c r="CJ52" i="2" s="1"/>
  <c r="CK52" i="2" s="1"/>
  <c r="CE52" i="2"/>
  <c r="CE266" i="2"/>
  <c r="CI266" i="2"/>
  <c r="CJ266" i="2" s="1"/>
  <c r="CK266" i="2" s="1"/>
  <c r="CI267" i="2"/>
  <c r="CJ267" i="2" s="1"/>
  <c r="CK267" i="2" s="1"/>
  <c r="CE267" i="2"/>
  <c r="CI282" i="2"/>
  <c r="CJ282" i="2" s="1"/>
  <c r="CK282" i="2" s="1"/>
  <c r="CI271" i="2"/>
  <c r="CJ271" i="2" s="1"/>
  <c r="CK271" i="2" s="1"/>
  <c r="CD280" i="2"/>
  <c r="CE280" i="2" s="1"/>
  <c r="CD285" i="2"/>
  <c r="CI285" i="2" s="1"/>
  <c r="CJ285" i="2" s="1"/>
  <c r="CK285" i="2" s="1"/>
  <c r="CD507" i="2"/>
  <c r="CI507" i="2" s="1"/>
  <c r="CJ507" i="2" s="1"/>
  <c r="CK507" i="2" s="1"/>
  <c r="CD472" i="2"/>
  <c r="CE472" i="2" s="1"/>
  <c r="CE41" i="2"/>
  <c r="CI41" i="2"/>
  <c r="CJ41" i="2" s="1"/>
  <c r="CK41" i="2" s="1"/>
  <c r="CI25" i="2"/>
  <c r="CJ25" i="2" s="1"/>
  <c r="CK25" i="2" s="1"/>
  <c r="CI146" i="2"/>
  <c r="CJ146" i="2" s="1"/>
  <c r="CK146" i="2" s="1"/>
  <c r="CE268" i="2"/>
  <c r="CD49" i="2"/>
  <c r="CE49" i="2" s="1"/>
  <c r="CD59" i="2"/>
  <c r="CI59" i="2" s="1"/>
  <c r="CJ59" i="2" s="1"/>
  <c r="CK59" i="2" s="1"/>
  <c r="CE484" i="2"/>
  <c r="CD51" i="2"/>
  <c r="CI51" i="2" s="1"/>
  <c r="CJ51" i="2" s="1"/>
  <c r="CK51" i="2" s="1"/>
  <c r="CI451" i="2"/>
  <c r="CJ451" i="2" s="1"/>
  <c r="CK451" i="2" s="1"/>
  <c r="CD402" i="2"/>
  <c r="CE402" i="2" s="1"/>
  <c r="CI31" i="2"/>
  <c r="CJ31" i="2" s="1"/>
  <c r="CK31" i="2" s="1"/>
  <c r="CI249" i="2"/>
  <c r="CJ249" i="2" s="1"/>
  <c r="CK249" i="2" s="1"/>
  <c r="CE249" i="2"/>
  <c r="CE265" i="2"/>
  <c r="CI256" i="2"/>
  <c r="CJ256" i="2" s="1"/>
  <c r="CK256" i="2" s="1"/>
  <c r="CI56" i="2"/>
  <c r="CJ56" i="2" s="1"/>
  <c r="CK56" i="2" s="1"/>
  <c r="CE261" i="2"/>
  <c r="CD53" i="2"/>
  <c r="CE53" i="2" s="1"/>
  <c r="CD283" i="2"/>
  <c r="CI283" i="2" s="1"/>
  <c r="CJ283" i="2" s="1"/>
  <c r="CK283" i="2" s="1"/>
  <c r="CI55" i="2"/>
  <c r="CJ55" i="2" s="1"/>
  <c r="CK55" i="2" s="1"/>
  <c r="CE55" i="2"/>
  <c r="CE181" i="2"/>
  <c r="CI482" i="2"/>
  <c r="CJ482" i="2" s="1"/>
  <c r="CK482" i="2" s="1"/>
  <c r="CI34" i="2"/>
  <c r="CJ34" i="2" s="1"/>
  <c r="CK34" i="2" s="1"/>
  <c r="CE30" i="2"/>
  <c r="CD32" i="2"/>
  <c r="CE32" i="2" s="1"/>
  <c r="CI187" i="2"/>
  <c r="CJ187" i="2" s="1"/>
  <c r="CK187" i="2" s="1"/>
  <c r="CI255" i="2"/>
  <c r="CJ255" i="2" s="1"/>
  <c r="CK255" i="2" s="1"/>
  <c r="CE463" i="2"/>
  <c r="CI295" i="2"/>
  <c r="CJ295" i="2" s="1"/>
  <c r="CK295" i="2" s="1"/>
  <c r="CE21" i="2"/>
  <c r="CE60" i="2"/>
  <c r="CI418" i="2"/>
  <c r="CJ418" i="2" s="1"/>
  <c r="CK418" i="2" s="1"/>
  <c r="CI479" i="2"/>
  <c r="CJ479" i="2" s="1"/>
  <c r="CK479" i="2" s="1"/>
  <c r="CE272" i="2"/>
  <c r="CI273" i="2"/>
  <c r="CJ273" i="2" s="1"/>
  <c r="CK273" i="2" s="1"/>
  <c r="CE273" i="2"/>
  <c r="CE254" i="2"/>
  <c r="CE260" i="2"/>
  <c r="CI278" i="2"/>
  <c r="CJ278" i="2" s="1"/>
  <c r="CK278" i="2" s="1"/>
  <c r="CE370" i="2"/>
  <c r="CI58" i="2"/>
  <c r="CJ58" i="2" s="1"/>
  <c r="CK58" i="2" s="1"/>
  <c r="CE44" i="2"/>
  <c r="CI274" i="2"/>
  <c r="CJ274" i="2" s="1"/>
  <c r="CK274" i="2" s="1"/>
  <c r="CE17" i="2"/>
  <c r="CI405" i="2"/>
  <c r="CJ405" i="2" s="1"/>
  <c r="CK405" i="2" s="1"/>
  <c r="CE453" i="2"/>
  <c r="CI275" i="2"/>
  <c r="CJ275" i="2" s="1"/>
  <c r="CK275" i="2" s="1"/>
  <c r="CI39" i="2"/>
  <c r="CJ39" i="2" s="1"/>
  <c r="CK39" i="2" s="1"/>
  <c r="CE142" i="2"/>
  <c r="CI36" i="2"/>
  <c r="CJ36" i="2" s="1"/>
  <c r="CK36" i="2" s="1"/>
  <c r="CE46" i="2"/>
  <c r="CI382" i="2"/>
  <c r="CJ382" i="2" s="1"/>
  <c r="CK382" i="2" s="1"/>
  <c r="CI37" i="2"/>
  <c r="CJ37" i="2" s="1"/>
  <c r="CK37" i="2" s="1"/>
  <c r="CE403" i="2"/>
  <c r="CE376" i="2"/>
  <c r="CE417" i="2"/>
  <c r="CE281" i="2"/>
  <c r="CI200" i="2"/>
  <c r="CJ200" i="2" s="1"/>
  <c r="CK200" i="2" s="1"/>
  <c r="CE161" i="2"/>
  <c r="CE380" i="2"/>
  <c r="CI380" i="2"/>
  <c r="CJ380" i="2" s="1"/>
  <c r="CK380" i="2" s="1"/>
  <c r="CI415" i="2"/>
  <c r="CJ415" i="2" s="1"/>
  <c r="CK415" i="2" s="1"/>
  <c r="CI342" i="2"/>
  <c r="CJ342" i="2" s="1"/>
  <c r="CK342" i="2" s="1"/>
  <c r="CI400" i="2"/>
  <c r="CJ400" i="2" s="1"/>
  <c r="CK400" i="2" s="1"/>
  <c r="CE33" i="2"/>
  <c r="CE257" i="2"/>
  <c r="CI43" i="2"/>
  <c r="CJ43" i="2" s="1"/>
  <c r="CK43" i="2" s="1"/>
  <c r="CI478" i="2"/>
  <c r="CJ478" i="2" s="1"/>
  <c r="CK478" i="2" s="1"/>
  <c r="CI372" i="2"/>
  <c r="CJ372" i="2" s="1"/>
  <c r="CK372" i="2" s="1"/>
  <c r="CI134" i="2"/>
  <c r="CJ134" i="2" s="1"/>
  <c r="CK134" i="2" s="1"/>
  <c r="CE136" i="2"/>
  <c r="CE340" i="2"/>
  <c r="CI270" i="2"/>
  <c r="CJ270" i="2" s="1"/>
  <c r="CK270" i="2" s="1"/>
  <c r="CI130" i="2"/>
  <c r="CJ130" i="2" s="1"/>
  <c r="CK130" i="2" s="1"/>
  <c r="CI357" i="2"/>
  <c r="CJ357" i="2" s="1"/>
  <c r="CK357" i="2" s="1"/>
  <c r="CI194" i="2"/>
  <c r="CJ194" i="2" s="1"/>
  <c r="CK194" i="2" s="1"/>
  <c r="CI27" i="2"/>
  <c r="CJ27" i="2" s="1"/>
  <c r="CK27" i="2" s="1"/>
  <c r="CI381" i="2"/>
  <c r="CJ381" i="2" s="1"/>
  <c r="CK381" i="2" s="1"/>
  <c r="CI117" i="2"/>
  <c r="CJ117" i="2" s="1"/>
  <c r="CK117" i="2" s="1"/>
  <c r="CI50" i="2"/>
  <c r="CJ50" i="2" s="1"/>
  <c r="CK50" i="2" s="1"/>
  <c r="CI353" i="2"/>
  <c r="CJ353" i="2" s="1"/>
  <c r="CK353" i="2" s="1"/>
  <c r="CI425" i="2"/>
  <c r="CJ425" i="2" s="1"/>
  <c r="CK425" i="2" s="1"/>
  <c r="CE379" i="2"/>
  <c r="CI379" i="2"/>
  <c r="CJ379" i="2" s="1"/>
  <c r="CK379" i="2" s="1"/>
  <c r="CI327" i="2"/>
  <c r="CJ327" i="2" s="1"/>
  <c r="CK327" i="2" s="1"/>
  <c r="CI276" i="2"/>
  <c r="CJ276" i="2" s="1"/>
  <c r="CK276" i="2" s="1"/>
  <c r="CI334" i="2"/>
  <c r="CJ334" i="2" s="1"/>
  <c r="CK334" i="2" s="1"/>
  <c r="CI35" i="2"/>
  <c r="CJ35" i="2" s="1"/>
  <c r="CK35" i="2" s="1"/>
  <c r="CE40" i="2"/>
  <c r="CE28" i="2"/>
  <c r="CI284" i="2"/>
  <c r="CJ284" i="2" s="1"/>
  <c r="CK284" i="2" s="1"/>
  <c r="CE38" i="2"/>
  <c r="CE248" i="2"/>
  <c r="CE311" i="2"/>
  <c r="CI61" i="2"/>
  <c r="CJ61" i="2" s="1"/>
  <c r="CK61" i="2" s="1"/>
  <c r="CE462" i="2"/>
  <c r="CE377" i="2"/>
  <c r="CI258" i="2"/>
  <c r="CJ258" i="2" s="1"/>
  <c r="CK258" i="2" s="1"/>
  <c r="CE20" i="2"/>
  <c r="CI63" i="2"/>
  <c r="CJ63" i="2" s="1"/>
  <c r="CK63" i="2" s="1"/>
  <c r="CI437" i="2"/>
  <c r="CJ437" i="2" s="1"/>
  <c r="CK437" i="2" s="1"/>
  <c r="CI169" i="2"/>
  <c r="CJ169" i="2" s="1"/>
  <c r="CK169" i="2" s="1"/>
  <c r="CE459" i="2"/>
  <c r="CE421" i="2"/>
  <c r="CE250" i="2"/>
  <c r="CE247" i="2"/>
  <c r="CE137" i="2"/>
  <c r="CJ421" i="2"/>
  <c r="CK421" i="2" s="1"/>
  <c r="CE24" i="2"/>
  <c r="CE288" i="2"/>
  <c r="CI20" i="2"/>
  <c r="CJ20" i="2" s="1"/>
  <c r="CK20" i="2" s="1"/>
  <c r="CI189" i="2"/>
  <c r="CJ189" i="2" s="1"/>
  <c r="CK189" i="2" s="1"/>
  <c r="CE264" i="2"/>
  <c r="CI293" i="2"/>
  <c r="CJ293" i="2" s="1"/>
  <c r="CK293" i="2" s="1"/>
  <c r="CI422" i="2"/>
  <c r="CJ422" i="2" s="1"/>
  <c r="CK422" i="2" s="1"/>
  <c r="CE368" i="2"/>
  <c r="CI471" i="2"/>
  <c r="CJ471" i="2" s="1"/>
  <c r="CK471" i="2" s="1"/>
  <c r="CI102" i="2"/>
  <c r="CJ102" i="2" s="1"/>
  <c r="CK102" i="2" s="1"/>
  <c r="CE329" i="2"/>
  <c r="CE87" i="2"/>
  <c r="CI392" i="2"/>
  <c r="CJ392" i="2" s="1"/>
  <c r="CK392" i="2" s="1"/>
  <c r="CI432" i="2"/>
  <c r="CJ432" i="2" s="1"/>
  <c r="CK432" i="2" s="1"/>
  <c r="CE66" i="2"/>
  <c r="CE460" i="2"/>
  <c r="CI88" i="2"/>
  <c r="CJ88" i="2" s="1"/>
  <c r="CK88" i="2" s="1"/>
  <c r="CE135" i="2"/>
  <c r="CE92" i="2"/>
  <c r="CI172" i="2"/>
  <c r="CJ172" i="2" s="1"/>
  <c r="CK172" i="2" s="1"/>
  <c r="CI262" i="2"/>
  <c r="CJ262" i="2" s="1"/>
  <c r="CK262" i="2" s="1"/>
  <c r="CE105" i="2"/>
  <c r="CI45" i="2"/>
  <c r="CJ45" i="2" s="1"/>
  <c r="CK45" i="2" s="1"/>
  <c r="CE57" i="2"/>
  <c r="CE328" i="2"/>
  <c r="CI151" i="2"/>
  <c r="CJ151" i="2" s="1"/>
  <c r="CK151" i="2" s="1"/>
  <c r="CI106" i="2"/>
  <c r="CJ106" i="2" s="1"/>
  <c r="CK106" i="2" s="1"/>
  <c r="CE440" i="2"/>
  <c r="CI356" i="2"/>
  <c r="CJ356" i="2" s="1"/>
  <c r="CK356" i="2" s="1"/>
  <c r="CI101" i="2"/>
  <c r="CJ101" i="2" s="1"/>
  <c r="CK101" i="2" s="1"/>
  <c r="CE69" i="2"/>
  <c r="CE185" i="2"/>
  <c r="CE486" i="2"/>
  <c r="CE114" i="2"/>
  <c r="CI341" i="2"/>
  <c r="CJ341" i="2" s="1"/>
  <c r="CK341" i="2" s="1"/>
  <c r="CI176" i="2"/>
  <c r="CJ176" i="2" s="1"/>
  <c r="CK176" i="2" s="1"/>
  <c r="CI120" i="2"/>
  <c r="CJ120" i="2" s="1"/>
  <c r="CK120" i="2" s="1"/>
  <c r="CE193" i="2"/>
  <c r="CE308" i="2"/>
  <c r="CE198" i="2"/>
  <c r="CE427" i="2"/>
  <c r="CE54" i="2"/>
  <c r="CE358" i="2"/>
  <c r="CI321" i="2"/>
  <c r="CJ321" i="2" s="1"/>
  <c r="CK321" i="2" s="1"/>
  <c r="CE344" i="2"/>
  <c r="CI269" i="2"/>
  <c r="CJ269" i="2" s="1"/>
  <c r="CK269" i="2" s="1"/>
  <c r="CE470" i="2"/>
  <c r="CE296" i="2"/>
  <c r="CI154" i="2"/>
  <c r="CJ154" i="2" s="1"/>
  <c r="CK154" i="2" s="1"/>
  <c r="CI16" i="2"/>
  <c r="CJ16" i="2" s="1"/>
  <c r="CK16" i="2" s="1"/>
  <c r="CE316" i="2"/>
  <c r="CE326" i="2"/>
  <c r="CE483" i="2"/>
  <c r="CE143" i="2"/>
  <c r="CE467" i="2"/>
  <c r="CI191" i="2"/>
  <c r="CJ191" i="2" s="1"/>
  <c r="CK191" i="2" s="1"/>
  <c r="CI252" i="2"/>
  <c r="CJ252" i="2" s="1"/>
  <c r="CK252" i="2" s="1"/>
  <c r="CE166" i="2"/>
  <c r="CE391" i="2"/>
  <c r="CE355" i="2"/>
  <c r="CE461" i="2"/>
  <c r="CE128" i="2"/>
  <c r="CE93" i="2"/>
  <c r="CI178" i="2"/>
  <c r="CJ178" i="2" s="1"/>
  <c r="CK178" i="2" s="1"/>
  <c r="CE75" i="2"/>
  <c r="CE314" i="2"/>
  <c r="CJ93" i="2"/>
  <c r="CK93" i="2" s="1"/>
  <c r="CI188" i="2"/>
  <c r="CJ188" i="2" s="1"/>
  <c r="CK188" i="2" s="1"/>
  <c r="CI363" i="2"/>
  <c r="CJ363" i="2" s="1"/>
  <c r="CK363" i="2" s="1"/>
  <c r="CE352" i="2"/>
  <c r="CI86" i="2"/>
  <c r="CJ86" i="2" s="1"/>
  <c r="CK86" i="2" s="1"/>
  <c r="CI84" i="2"/>
  <c r="CJ84" i="2" s="1"/>
  <c r="CK84" i="2" s="1"/>
  <c r="CI452" i="2"/>
  <c r="CJ452" i="2" s="1"/>
  <c r="CK452" i="2" s="1"/>
  <c r="CI456" i="2"/>
  <c r="CJ456" i="2" s="1"/>
  <c r="CK456" i="2" s="1"/>
  <c r="CI78" i="2"/>
  <c r="CJ78" i="2" s="1"/>
  <c r="CK78" i="2" s="1"/>
  <c r="CE160" i="2"/>
  <c r="CE14" i="2"/>
  <c r="CE430" i="2"/>
  <c r="CI325" i="2"/>
  <c r="CJ325" i="2" s="1"/>
  <c r="CK325" i="2" s="1"/>
  <c r="CI428" i="2"/>
  <c r="CJ428" i="2" s="1"/>
  <c r="CK428" i="2" s="1"/>
  <c r="CI485" i="2"/>
  <c r="CJ485" i="2" s="1"/>
  <c r="CK485" i="2" s="1"/>
  <c r="CI359" i="2"/>
  <c r="CJ359" i="2" s="1"/>
  <c r="CK359" i="2" s="1"/>
  <c r="CE393" i="2"/>
  <c r="CI184" i="2"/>
  <c r="CJ184" i="2" s="1"/>
  <c r="CK184" i="2" s="1"/>
  <c r="CE365" i="2"/>
  <c r="CI64" i="2"/>
  <c r="CJ64" i="2" s="1"/>
  <c r="CK64" i="2" s="1"/>
  <c r="CI95" i="2"/>
  <c r="CJ95" i="2" s="1"/>
  <c r="CK95" i="2" s="1"/>
  <c r="CE164" i="2"/>
  <c r="CI477" i="2"/>
  <c r="CJ477" i="2" s="1"/>
  <c r="CK477" i="2" s="1"/>
  <c r="CE23" i="2"/>
  <c r="CI318" i="2"/>
  <c r="CJ318" i="2" s="1"/>
  <c r="CK318" i="2" s="1"/>
  <c r="CI324" i="2"/>
  <c r="CJ324" i="2" s="1"/>
  <c r="CK324" i="2" s="1"/>
  <c r="CI47" i="2"/>
  <c r="CJ47" i="2" s="1"/>
  <c r="CK47" i="2" s="1"/>
  <c r="CI305" i="2"/>
  <c r="CJ305" i="2" s="1"/>
  <c r="CK305" i="2" s="1"/>
  <c r="CD132" i="2"/>
  <c r="CI132" i="2" s="1"/>
  <c r="CJ132" i="2" s="1"/>
  <c r="CK132" i="2" s="1"/>
  <c r="CI22" i="2"/>
  <c r="CJ22" i="2" s="1"/>
  <c r="CK22" i="2" s="1"/>
  <c r="CI179" i="2"/>
  <c r="CJ179" i="2" s="1"/>
  <c r="CK179" i="2" s="1"/>
  <c r="CJ314" i="2"/>
  <c r="CK314" i="2" s="1"/>
  <c r="CI100" i="2"/>
  <c r="CJ100" i="2" s="1"/>
  <c r="CK100" i="2" s="1"/>
  <c r="CE279" i="2"/>
  <c r="CI11" i="2"/>
  <c r="CJ11" i="2" s="1"/>
  <c r="CK11" i="2" s="1"/>
  <c r="CI364" i="2"/>
  <c r="CJ364" i="2" s="1"/>
  <c r="CK364" i="2" s="1"/>
  <c r="CI168" i="2"/>
  <c r="CJ168" i="2" s="1"/>
  <c r="CK168" i="2" s="1"/>
  <c r="CE81" i="2"/>
  <c r="CI441" i="2"/>
  <c r="CJ441" i="2" s="1"/>
  <c r="CK441" i="2" s="1"/>
  <c r="CE210" i="2"/>
  <c r="CI448" i="2"/>
  <c r="CJ448" i="2" s="1"/>
  <c r="CK448" i="2" s="1"/>
  <c r="CE89" i="2"/>
  <c r="CE424" i="2"/>
  <c r="CI175" i="2"/>
  <c r="CJ175" i="2" s="1"/>
  <c r="CK175" i="2" s="1"/>
  <c r="CE335" i="2"/>
  <c r="CI82" i="2"/>
  <c r="CJ82" i="2" s="1"/>
  <c r="CK82" i="2" s="1"/>
  <c r="CI210" i="2"/>
  <c r="CJ210" i="2" s="1"/>
  <c r="CK210" i="2" s="1"/>
  <c r="CI140" i="2"/>
  <c r="CJ140" i="2" s="1"/>
  <c r="CK140" i="2" s="1"/>
  <c r="CI407" i="2"/>
  <c r="CJ407" i="2" s="1"/>
  <c r="CK407" i="2" s="1"/>
  <c r="CI79" i="2"/>
  <c r="CJ79" i="2" s="1"/>
  <c r="CK79" i="2" s="1"/>
  <c r="CE339" i="2"/>
  <c r="CI152" i="2"/>
  <c r="CJ152" i="2" s="1"/>
  <c r="CK152" i="2" s="1"/>
  <c r="CE346" i="2"/>
  <c r="CI74" i="2"/>
  <c r="CJ74" i="2" s="1"/>
  <c r="CK74" i="2" s="1"/>
  <c r="CI294" i="2"/>
  <c r="CJ294" i="2" s="1"/>
  <c r="CK294" i="2" s="1"/>
  <c r="CI192" i="2"/>
  <c r="CJ192" i="2" s="1"/>
  <c r="CK192" i="2" s="1"/>
  <c r="CE441" i="2"/>
  <c r="CE48" i="2"/>
  <c r="CE18" i="2"/>
  <c r="CE465" i="2"/>
  <c r="CI26" i="2"/>
  <c r="CJ26" i="2" s="1"/>
  <c r="CK26" i="2" s="1"/>
  <c r="CI299" i="2"/>
  <c r="CJ299" i="2" s="1"/>
  <c r="CK299" i="2" s="1"/>
  <c r="CI147" i="2"/>
  <c r="CJ147" i="2" s="1"/>
  <c r="CK147" i="2" s="1"/>
  <c r="CI301" i="2"/>
  <c r="CJ301" i="2" s="1"/>
  <c r="CK301" i="2" s="1"/>
  <c r="CE156" i="2"/>
  <c r="CE113" i="2"/>
  <c r="CI426" i="2"/>
  <c r="CJ426" i="2" s="1"/>
  <c r="CK426" i="2" s="1"/>
  <c r="CI434" i="2"/>
  <c r="CJ434" i="2" s="1"/>
  <c r="CK434" i="2" s="1"/>
  <c r="CE42" i="2"/>
  <c r="CI165" i="2"/>
  <c r="CJ165" i="2" s="1"/>
  <c r="CK165" i="2" s="1"/>
  <c r="CE302" i="2"/>
  <c r="CI371" i="2"/>
  <c r="CJ371" i="2" s="1"/>
  <c r="CK371" i="2" s="1"/>
  <c r="CE447" i="2"/>
  <c r="CI153" i="2"/>
  <c r="CJ153" i="2" s="1"/>
  <c r="CK153" i="2" s="1"/>
  <c r="CI121" i="2"/>
  <c r="CJ121" i="2" s="1"/>
  <c r="CK121" i="2" s="1"/>
  <c r="CJ292" i="2"/>
  <c r="CK292" i="2" s="1"/>
  <c r="CE347" i="2"/>
  <c r="CI361" i="2"/>
  <c r="CJ361" i="2" s="1"/>
  <c r="CK361" i="2" s="1"/>
  <c r="CE125" i="2"/>
  <c r="CI80" i="2"/>
  <c r="CJ80" i="2" s="1"/>
  <c r="CK80" i="2" s="1"/>
  <c r="CE292" i="2"/>
  <c r="CI190" i="2"/>
  <c r="CJ190" i="2" s="1"/>
  <c r="CK190" i="2" s="1"/>
  <c r="CI366" i="2"/>
  <c r="CJ366" i="2" s="1"/>
  <c r="CK366" i="2" s="1"/>
  <c r="CI420" i="2"/>
  <c r="CJ420" i="2" s="1"/>
  <c r="CK420" i="2" s="1"/>
  <c r="CI19" i="2"/>
  <c r="CJ19" i="2" s="1"/>
  <c r="CK19" i="2" s="1"/>
  <c r="CE438" i="2"/>
  <c r="CE287" i="2"/>
  <c r="CE333" i="2"/>
  <c r="CI127" i="2"/>
  <c r="CJ127" i="2" s="1"/>
  <c r="CK127" i="2" s="1"/>
  <c r="CI433" i="2"/>
  <c r="CJ433" i="2" s="1"/>
  <c r="CK433" i="2" s="1"/>
  <c r="CE443" i="2"/>
  <c r="CE206" i="2"/>
  <c r="CI67" i="2"/>
  <c r="CJ67" i="2" s="1"/>
  <c r="CK67" i="2" s="1"/>
  <c r="CI138" i="2"/>
  <c r="CJ138" i="2" s="1"/>
  <c r="CK138" i="2" s="1"/>
  <c r="CI97" i="2"/>
  <c r="CJ97" i="2" s="1"/>
  <c r="CK97" i="2" s="1"/>
  <c r="CI349" i="2"/>
  <c r="CJ349" i="2" s="1"/>
  <c r="CK349" i="2" s="1"/>
  <c r="CI423" i="2"/>
  <c r="CJ423" i="2" s="1"/>
  <c r="CK423" i="2" s="1"/>
  <c r="CE174" i="2"/>
  <c r="CE345" i="2"/>
  <c r="CI5" i="2"/>
  <c r="CJ5" i="2" s="1"/>
  <c r="CK5" i="2" s="1"/>
  <c r="CJ174" i="2"/>
  <c r="CK174" i="2" s="1"/>
  <c r="CI435" i="2"/>
  <c r="CJ435" i="2" s="1"/>
  <c r="CK435" i="2" s="1"/>
  <c r="CI150" i="2"/>
  <c r="CJ150" i="2" s="1"/>
  <c r="CK150" i="2" s="1"/>
  <c r="CJ345" i="2"/>
  <c r="CK345" i="2" s="1"/>
  <c r="CI289" i="2"/>
  <c r="CJ289" i="2" s="1"/>
  <c r="CK289" i="2" s="1"/>
  <c r="CJ457" i="2"/>
  <c r="CK457" i="2" s="1"/>
  <c r="CI315" i="2"/>
  <c r="CJ315" i="2" s="1"/>
  <c r="CK315" i="2" s="1"/>
  <c r="CE457" i="2"/>
  <c r="CI7" i="2"/>
  <c r="CJ7" i="2" s="1"/>
  <c r="CK7" i="2" s="1"/>
  <c r="CE445" i="2"/>
  <c r="CJ339" i="2"/>
  <c r="CK339" i="2" s="1"/>
  <c r="CI10" i="2"/>
  <c r="CJ10" i="2" s="1"/>
  <c r="CK10" i="2" s="1"/>
  <c r="CE15" i="2"/>
  <c r="CE10" i="2"/>
  <c r="CE313" i="2"/>
  <c r="CJ308" i="2"/>
  <c r="CK308" i="2" s="1"/>
  <c r="CI317" i="2"/>
  <c r="CJ317" i="2" s="1"/>
  <c r="CK317" i="2" s="1"/>
  <c r="CE205" i="2"/>
  <c r="CI259" i="2"/>
  <c r="CJ259" i="2" s="1"/>
  <c r="CK259" i="2" s="1"/>
  <c r="CI416" i="2"/>
  <c r="CJ416" i="2" s="1"/>
  <c r="CK416" i="2" s="1"/>
  <c r="CE350" i="2"/>
  <c r="CE309" i="2"/>
  <c r="CI350" i="2"/>
  <c r="CJ350" i="2" s="1"/>
  <c r="CK350" i="2" s="1"/>
  <c r="CJ398" i="2"/>
  <c r="CK398" i="2" s="1"/>
  <c r="CI208" i="2"/>
  <c r="CJ208" i="2" s="1"/>
  <c r="CK208" i="2" s="1"/>
  <c r="CJ15" i="2"/>
  <c r="CK15" i="2" s="1"/>
  <c r="CI108" i="2"/>
  <c r="CJ108" i="2" s="1"/>
  <c r="CK108" i="2" s="1"/>
  <c r="CI73" i="2"/>
  <c r="CJ73" i="2" s="1"/>
  <c r="CK73" i="2" s="1"/>
  <c r="CE330" i="2"/>
  <c r="CE455" i="2"/>
  <c r="CI406" i="2"/>
  <c r="CJ406" i="2" s="1"/>
  <c r="CK406" i="2" s="1"/>
  <c r="CJ126" i="2"/>
  <c r="CK126" i="2" s="1"/>
  <c r="CK446" i="2"/>
  <c r="CE73" i="2"/>
  <c r="CJ455" i="2"/>
  <c r="CK455" i="2" s="1"/>
  <c r="CI203" i="2"/>
  <c r="CJ203" i="2" s="1"/>
  <c r="CK203" i="2" s="1"/>
  <c r="CI186" i="2"/>
  <c r="CJ186" i="2" s="1"/>
  <c r="CK186" i="2" s="1"/>
  <c r="CE126" i="2"/>
  <c r="CE263" i="2"/>
  <c r="CI163" i="2"/>
  <c r="CJ163" i="2" s="1"/>
  <c r="CK163" i="2" s="1"/>
  <c r="CI205" i="2"/>
  <c r="CJ205" i="2" s="1"/>
  <c r="CK205" i="2" s="1"/>
  <c r="CE398" i="2"/>
  <c r="CI290" i="2"/>
  <c r="CJ290" i="2" s="1"/>
  <c r="CK290" i="2" s="1"/>
  <c r="CI157" i="2"/>
  <c r="CJ157" i="2" s="1"/>
  <c r="CK157" i="2" s="1"/>
  <c r="CE145" i="2"/>
  <c r="CE367" i="2"/>
  <c r="CE375" i="2"/>
  <c r="CJ263" i="2"/>
  <c r="CK263" i="2" s="1"/>
  <c r="CI180" i="2"/>
  <c r="CJ180" i="2" s="1"/>
  <c r="CK180" i="2" s="1"/>
  <c r="CK461" i="2"/>
  <c r="CK473" i="2"/>
  <c r="CK401" i="2"/>
  <c r="CI436" i="2"/>
  <c r="CJ436" i="2" s="1"/>
  <c r="CE436" i="2"/>
  <c r="CE323" i="2"/>
  <c r="CI323" i="2"/>
  <c r="CJ323" i="2" s="1"/>
  <c r="CK323" i="2" s="1"/>
  <c r="CK403" i="2"/>
  <c r="CE348" i="2"/>
  <c r="CI348" i="2"/>
  <c r="CJ348" i="2" s="1"/>
  <c r="CK348" i="2" s="1"/>
  <c r="CE91" i="2"/>
  <c r="CI91" i="2"/>
  <c r="CJ91" i="2" s="1"/>
  <c r="CK91" i="2" s="1"/>
  <c r="CI343" i="2"/>
  <c r="CJ343" i="2" s="1"/>
  <c r="CK343" i="2" s="1"/>
  <c r="CE343" i="2"/>
  <c r="CI300" i="2"/>
  <c r="CJ300" i="2" s="1"/>
  <c r="CK300" i="2" s="1"/>
  <c r="CE300" i="2"/>
  <c r="CE320" i="2"/>
  <c r="CI320" i="2"/>
  <c r="CJ320" i="2" s="1"/>
  <c r="CK320" i="2" s="1"/>
  <c r="CE322" i="2"/>
  <c r="CI322" i="2"/>
  <c r="CJ322" i="2" s="1"/>
  <c r="CK322" i="2" s="1"/>
  <c r="CI336" i="2"/>
  <c r="CJ336" i="2" s="1"/>
  <c r="CK336" i="2" s="1"/>
  <c r="CE336" i="2"/>
  <c r="CI104" i="2"/>
  <c r="CJ104" i="2" s="1"/>
  <c r="CK104" i="2" s="1"/>
  <c r="CE104" i="2"/>
  <c r="CE251" i="2"/>
  <c r="CI251" i="2"/>
  <c r="CJ251" i="2" s="1"/>
  <c r="CK251" i="2" s="1"/>
  <c r="CI112" i="2"/>
  <c r="CJ112" i="2" s="1"/>
  <c r="CK112" i="2" s="1"/>
  <c r="CE112" i="2"/>
  <c r="CI103" i="2"/>
  <c r="CJ103" i="2" s="1"/>
  <c r="CK103" i="2" s="1"/>
  <c r="CE103" i="2"/>
  <c r="CE199" i="2"/>
  <c r="CI199" i="2"/>
  <c r="CJ199" i="2" s="1"/>
  <c r="CK199" i="2" s="1"/>
  <c r="CE399" i="2"/>
  <c r="CI399" i="2"/>
  <c r="CJ399" i="2" s="1"/>
  <c r="CI131" i="2"/>
  <c r="CJ131" i="2" s="1"/>
  <c r="CK131" i="2" s="1"/>
  <c r="CE131" i="2"/>
  <c r="CI90" i="2"/>
  <c r="CJ90" i="2" s="1"/>
  <c r="CK90" i="2" s="1"/>
  <c r="CE90" i="2"/>
  <c r="CE429" i="2"/>
  <c r="CI429" i="2"/>
  <c r="CJ429" i="2" s="1"/>
  <c r="CK429" i="2" s="1"/>
  <c r="CE148" i="2"/>
  <c r="CI148" i="2"/>
  <c r="CJ148" i="2" s="1"/>
  <c r="CK148" i="2" s="1"/>
  <c r="CE351" i="2"/>
  <c r="CI351" i="2"/>
  <c r="CJ351" i="2" s="1"/>
  <c r="CK351" i="2" s="1"/>
  <c r="CE118" i="2"/>
  <c r="CI118" i="2"/>
  <c r="CJ118" i="2" s="1"/>
  <c r="CK118" i="2" s="1"/>
  <c r="CE133" i="2"/>
  <c r="CI133" i="2"/>
  <c r="CJ133" i="2" s="1"/>
  <c r="CK133" i="2" s="1"/>
  <c r="CI4" i="2"/>
  <c r="CJ4" i="2" s="1"/>
  <c r="CK4" i="2" s="1"/>
  <c r="CE4" i="2"/>
  <c r="CE201" i="2"/>
  <c r="CI201" i="2"/>
  <c r="CJ201" i="2" s="1"/>
  <c r="CK201" i="2" s="1"/>
  <c r="CE167" i="2"/>
  <c r="CI167" i="2"/>
  <c r="CJ167" i="2" s="1"/>
  <c r="CK167" i="2" s="1"/>
  <c r="CI96" i="2"/>
  <c r="CJ96" i="2" s="1"/>
  <c r="CK96" i="2" s="1"/>
  <c r="CE96" i="2"/>
  <c r="CI450" i="2"/>
  <c r="CJ450" i="2" s="1"/>
  <c r="CE450" i="2"/>
  <c r="CI173" i="2"/>
  <c r="CJ173" i="2" s="1"/>
  <c r="CK173" i="2" s="1"/>
  <c r="CE173" i="2"/>
  <c r="CE332" i="2"/>
  <c r="CI332" i="2"/>
  <c r="CJ332" i="2" s="1"/>
  <c r="CK332" i="2" s="1"/>
  <c r="CE29" i="2"/>
  <c r="CI29" i="2"/>
  <c r="CJ29" i="2" s="1"/>
  <c r="CK29" i="2" s="1"/>
  <c r="CE62" i="2"/>
  <c r="CI62" i="2"/>
  <c r="CJ62" i="2" s="1"/>
  <c r="CK62" i="2" s="1"/>
  <c r="CE439" i="2"/>
  <c r="CI439" i="2"/>
  <c r="CJ439" i="2" s="1"/>
  <c r="CK439" i="2" s="1"/>
  <c r="CI449" i="2"/>
  <c r="CJ449" i="2" s="1"/>
  <c r="CE449" i="2"/>
  <c r="CI94" i="2"/>
  <c r="CJ94" i="2" s="1"/>
  <c r="CK94" i="2" s="1"/>
  <c r="CE94" i="2"/>
  <c r="CE111" i="2"/>
  <c r="CI111" i="2"/>
  <c r="CJ111" i="2" s="1"/>
  <c r="CK111" i="2" s="1"/>
  <c r="CE464" i="2"/>
  <c r="CI464" i="2"/>
  <c r="CJ464" i="2" s="1"/>
  <c r="CK464" i="2" s="1"/>
  <c r="CE123" i="2"/>
  <c r="CI123" i="2"/>
  <c r="CJ123" i="2" s="1"/>
  <c r="CK123" i="2" s="1"/>
  <c r="CE312" i="2"/>
  <c r="CI312" i="2"/>
  <c r="CJ312" i="2" s="1"/>
  <c r="CK312" i="2" s="1"/>
  <c r="CE298" i="2"/>
  <c r="CI298" i="2"/>
  <c r="CJ298" i="2" s="1"/>
  <c r="CK298" i="2" s="1"/>
  <c r="CE374" i="2"/>
  <c r="CI374" i="2"/>
  <c r="CJ374" i="2" s="1"/>
  <c r="CK374" i="2" s="1"/>
  <c r="CI304" i="2"/>
  <c r="CJ304" i="2" s="1"/>
  <c r="CK304" i="2" s="1"/>
  <c r="CE304" i="2"/>
  <c r="CI109" i="2"/>
  <c r="CJ109" i="2" s="1"/>
  <c r="CK109" i="2" s="1"/>
  <c r="CE109" i="2"/>
  <c r="CE159" i="2"/>
  <c r="CI159" i="2"/>
  <c r="CJ159" i="2" s="1"/>
  <c r="CK159" i="2" s="1"/>
  <c r="CE183" i="2"/>
  <c r="CI183" i="2"/>
  <c r="CJ183" i="2" s="1"/>
  <c r="CK183" i="2" s="1"/>
  <c r="CE362" i="2"/>
  <c r="CI362" i="2"/>
  <c r="CJ362" i="2" s="1"/>
  <c r="CK362" i="2" s="1"/>
  <c r="CE155" i="2"/>
  <c r="CI155" i="2"/>
  <c r="CJ155" i="2" s="1"/>
  <c r="CK155" i="2" s="1"/>
  <c r="CE119" i="2"/>
  <c r="CI119" i="2"/>
  <c r="CJ119" i="2" s="1"/>
  <c r="CK119" i="2" s="1"/>
  <c r="CI204" i="2"/>
  <c r="CJ204" i="2" s="1"/>
  <c r="CK204" i="2" s="1"/>
  <c r="CE204" i="2"/>
  <c r="CK445" i="2"/>
  <c r="CE177" i="2"/>
  <c r="CI177" i="2"/>
  <c r="CJ177" i="2" s="1"/>
  <c r="CK177" i="2" s="1"/>
  <c r="CI209" i="2"/>
  <c r="CJ209" i="2" s="1"/>
  <c r="CK209" i="2" s="1"/>
  <c r="CE209" i="2"/>
  <c r="CK470" i="2"/>
  <c r="CI481" i="2"/>
  <c r="CJ481" i="2" s="1"/>
  <c r="CE481" i="2"/>
  <c r="CE337" i="2"/>
  <c r="CI337" i="2"/>
  <c r="CJ337" i="2" s="1"/>
  <c r="CK337" i="2" s="1"/>
  <c r="CK459" i="2"/>
  <c r="CK393" i="2"/>
  <c r="CI404" i="2"/>
  <c r="CJ404" i="2" s="1"/>
  <c r="CK404" i="2" s="1"/>
  <c r="CE404" i="2"/>
  <c r="CE9" i="2"/>
  <c r="CI9" i="2"/>
  <c r="CJ9" i="2" s="1"/>
  <c r="CK9" i="2" s="1"/>
  <c r="CI68" i="2"/>
  <c r="CJ68" i="2" s="1"/>
  <c r="CK68" i="2" s="1"/>
  <c r="CE68" i="2"/>
  <c r="CI297" i="2"/>
  <c r="CJ297" i="2" s="1"/>
  <c r="CK297" i="2" s="1"/>
  <c r="CE297" i="2"/>
  <c r="CI331" i="2"/>
  <c r="CJ331" i="2" s="1"/>
  <c r="CK331" i="2" s="1"/>
  <c r="CE331" i="2"/>
  <c r="CK427" i="2"/>
  <c r="CI83" i="2"/>
  <c r="CJ83" i="2" s="1"/>
  <c r="CK83" i="2" s="1"/>
  <c r="CE83" i="2"/>
  <c r="CE107" i="2"/>
  <c r="CI107" i="2"/>
  <c r="CJ107" i="2" s="1"/>
  <c r="CK107" i="2" s="1"/>
  <c r="CI70" i="2"/>
  <c r="CJ70" i="2" s="1"/>
  <c r="CK70" i="2" s="1"/>
  <c r="CE70" i="2"/>
  <c r="CE122" i="2"/>
  <c r="CI122" i="2"/>
  <c r="CJ122" i="2" s="1"/>
  <c r="CK122" i="2" s="1"/>
  <c r="CE454" i="2"/>
  <c r="CI454" i="2"/>
  <c r="CJ454" i="2" s="1"/>
  <c r="CK447" i="2"/>
  <c r="CE369" i="2"/>
  <c r="CI369" i="2"/>
  <c r="CJ369" i="2" s="1"/>
  <c r="CK369" i="2" s="1"/>
  <c r="CI442" i="2"/>
  <c r="CJ442" i="2" s="1"/>
  <c r="CE442" i="2"/>
  <c r="CI99" i="2"/>
  <c r="CJ99" i="2" s="1"/>
  <c r="CK99" i="2" s="1"/>
  <c r="CE99" i="2"/>
  <c r="CI115" i="2"/>
  <c r="CJ115" i="2" s="1"/>
  <c r="CK115" i="2" s="1"/>
  <c r="CE115" i="2"/>
  <c r="CE338" i="2"/>
  <c r="CI338" i="2"/>
  <c r="CJ338" i="2" s="1"/>
  <c r="CK338" i="2" s="1"/>
  <c r="CK467" i="2"/>
  <c r="CI149" i="2"/>
  <c r="CJ149" i="2" s="1"/>
  <c r="CK149" i="2" s="1"/>
  <c r="CE149" i="2"/>
  <c r="CK438" i="2"/>
  <c r="CI310" i="2"/>
  <c r="CJ310" i="2" s="1"/>
  <c r="CK310" i="2" s="1"/>
  <c r="CE310" i="2"/>
  <c r="CE162" i="2"/>
  <c r="CI162" i="2"/>
  <c r="CJ162" i="2" s="1"/>
  <c r="CK162" i="2" s="1"/>
  <c r="CE360" i="2"/>
  <c r="CI360" i="2"/>
  <c r="CJ360" i="2" s="1"/>
  <c r="CK360" i="2" s="1"/>
  <c r="CE444" i="2"/>
  <c r="CI444" i="2"/>
  <c r="CJ444" i="2" s="1"/>
  <c r="CK444" i="2" s="1"/>
  <c r="CE419" i="2"/>
  <c r="CI419" i="2"/>
  <c r="CJ419" i="2" s="1"/>
  <c r="CK419" i="2" s="1"/>
  <c r="CE303" i="2"/>
  <c r="CI303" i="2"/>
  <c r="CJ303" i="2" s="1"/>
  <c r="CK303" i="2" s="1"/>
  <c r="CI8" i="2"/>
  <c r="CJ8" i="2" s="1"/>
  <c r="CK8" i="2" s="1"/>
  <c r="CE8" i="2"/>
  <c r="CE77" i="2"/>
  <c r="CI77" i="2"/>
  <c r="CJ77" i="2" s="1"/>
  <c r="CK77" i="2" s="1"/>
  <c r="CI469" i="2"/>
  <c r="CJ469" i="2" s="1"/>
  <c r="CK469" i="2" s="1"/>
  <c r="CE469" i="2"/>
  <c r="CK476" i="2"/>
  <c r="CE141" i="2"/>
  <c r="CI141" i="2"/>
  <c r="CJ141" i="2" s="1"/>
  <c r="CK141" i="2" s="1"/>
  <c r="CE158" i="2"/>
  <c r="CI158" i="2"/>
  <c r="CJ158" i="2" s="1"/>
  <c r="CK158" i="2" s="1"/>
  <c r="CI306" i="2"/>
  <c r="CJ306" i="2" s="1"/>
  <c r="CK306" i="2" s="1"/>
  <c r="CE306" i="2"/>
  <c r="CI12" i="2"/>
  <c r="CJ12" i="2" s="1"/>
  <c r="CK12" i="2" s="1"/>
  <c r="CE12" i="2"/>
  <c r="CE468" i="2"/>
  <c r="CI468" i="2"/>
  <c r="CJ468" i="2" s="1"/>
  <c r="CK460" i="2"/>
  <c r="CE98" i="2"/>
  <c r="CI98" i="2"/>
  <c r="CJ98" i="2" s="1"/>
  <c r="CK98" i="2" s="1"/>
  <c r="CI291" i="2"/>
  <c r="CJ291" i="2" s="1"/>
  <c r="CK291" i="2" s="1"/>
  <c r="CE291" i="2"/>
  <c r="CE182" i="2"/>
  <c r="CI182" i="2"/>
  <c r="CJ182" i="2" s="1"/>
  <c r="CK182" i="2" s="1"/>
  <c r="CE458" i="2"/>
  <c r="CI458" i="2"/>
  <c r="CJ458" i="2" s="1"/>
  <c r="CK458" i="2" s="1"/>
  <c r="CI171" i="2"/>
  <c r="CJ171" i="2" s="1"/>
  <c r="CK171" i="2" s="1"/>
  <c r="CE171" i="2"/>
  <c r="CI13" i="2"/>
  <c r="CJ13" i="2" s="1"/>
  <c r="CK13" i="2" s="1"/>
  <c r="CE13" i="2"/>
  <c r="CI6" i="2"/>
  <c r="CJ6" i="2" s="1"/>
  <c r="CK6" i="2" s="1"/>
  <c r="CE6" i="2"/>
  <c r="CE76" i="2"/>
  <c r="CI76" i="2"/>
  <c r="CJ76" i="2" s="1"/>
  <c r="CK76" i="2" s="1"/>
  <c r="CI124" i="2"/>
  <c r="CJ124" i="2" s="1"/>
  <c r="CK124" i="2" s="1"/>
  <c r="CE124" i="2"/>
  <c r="CI319" i="2"/>
  <c r="CJ319" i="2" s="1"/>
  <c r="CK319" i="2" s="1"/>
  <c r="CE319" i="2"/>
  <c r="CE116" i="2"/>
  <c r="CI116" i="2"/>
  <c r="CJ116" i="2" s="1"/>
  <c r="CK116" i="2" s="1"/>
  <c r="CI431" i="2"/>
  <c r="CJ431" i="2" s="1"/>
  <c r="CK431" i="2" s="1"/>
  <c r="CE431" i="2"/>
  <c r="CE144" i="2"/>
  <c r="CI144" i="2"/>
  <c r="CJ144" i="2" s="1"/>
  <c r="CK144" i="2" s="1"/>
  <c r="CE197" i="2"/>
  <c r="CI197" i="2"/>
  <c r="CJ197" i="2" s="1"/>
  <c r="CK197" i="2" s="1"/>
  <c r="CE85" i="2"/>
  <c r="CI85" i="2"/>
  <c r="CJ85" i="2" s="1"/>
  <c r="CK85" i="2" s="1"/>
  <c r="CI72" i="2"/>
  <c r="CJ72" i="2" s="1"/>
  <c r="CK72" i="2" s="1"/>
  <c r="CE72" i="2"/>
  <c r="CI207" i="2"/>
  <c r="CJ207" i="2" s="1"/>
  <c r="CK207" i="2" s="1"/>
  <c r="CE207" i="2"/>
  <c r="CI139" i="2"/>
  <c r="CJ139" i="2" s="1"/>
  <c r="CK139" i="2" s="1"/>
  <c r="CE139" i="2"/>
  <c r="CE170" i="2"/>
  <c r="CI170" i="2"/>
  <c r="CJ170" i="2" s="1"/>
  <c r="CK170" i="2" s="1"/>
  <c r="CE196" i="2"/>
  <c r="CI196" i="2"/>
  <c r="CJ196" i="2" s="1"/>
  <c r="CK196" i="2" s="1"/>
  <c r="CE373" i="2"/>
  <c r="CI373" i="2"/>
  <c r="CJ373" i="2" s="1"/>
  <c r="CK373" i="2" s="1"/>
  <c r="CE65" i="2"/>
  <c r="CI65" i="2"/>
  <c r="CJ65" i="2" s="1"/>
  <c r="CK65" i="2" s="1"/>
  <c r="CI71" i="2"/>
  <c r="CJ71" i="2" s="1"/>
  <c r="CK71" i="2" s="1"/>
  <c r="CE71" i="2"/>
  <c r="CE378" i="2"/>
  <c r="CI378" i="2"/>
  <c r="CJ378" i="2" s="1"/>
  <c r="CK378" i="2" s="1"/>
  <c r="CE307" i="2"/>
  <c r="CI307" i="2"/>
  <c r="CJ307" i="2" s="1"/>
  <c r="CK307" i="2" s="1"/>
  <c r="CI202" i="2"/>
  <c r="CJ202" i="2" s="1"/>
  <c r="CK202" i="2" s="1"/>
  <c r="CE202" i="2"/>
  <c r="CE110" i="2"/>
  <c r="CI110" i="2"/>
  <c r="CJ110" i="2" s="1"/>
  <c r="CK110" i="2" s="1"/>
  <c r="CE286" i="2" l="1"/>
  <c r="CE396" i="2"/>
  <c r="CE253" i="2"/>
  <c r="CE59" i="2"/>
  <c r="CE277" i="2"/>
  <c r="CE507" i="2"/>
  <c r="CE283" i="2"/>
  <c r="CI472" i="2"/>
  <c r="CJ472" i="2" s="1"/>
  <c r="CK472" i="2" s="1"/>
  <c r="CI280" i="2"/>
  <c r="CJ280" i="2" s="1"/>
  <c r="CK280" i="2" s="1"/>
  <c r="CE285" i="2"/>
  <c r="CI53" i="2"/>
  <c r="CJ53" i="2" s="1"/>
  <c r="CK53" i="2" s="1"/>
  <c r="CI49" i="2"/>
  <c r="CJ49" i="2" s="1"/>
  <c r="CK49" i="2" s="1"/>
  <c r="CE51" i="2"/>
  <c r="CI402" i="2"/>
  <c r="CJ402" i="2" s="1"/>
  <c r="CK402" i="2" s="1"/>
  <c r="CI32" i="2"/>
  <c r="CJ32" i="2" s="1"/>
  <c r="CK32" i="2" s="1"/>
  <c r="CE132" i="2"/>
  <c r="CK481" i="2"/>
  <c r="CK468" i="2"/>
  <c r="CK436" i="2"/>
  <c r="CK454" i="2"/>
  <c r="CK449" i="2"/>
  <c r="CK450" i="2"/>
  <c r="CK399" i="2"/>
  <c r="CK442" i="2"/>
  <c r="CK39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<sst xmlns="http://schemas.openxmlformats.org/spreadsheetml/2006/main" count="6319" uniqueCount="482">
  <si>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</si>
  <si>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</si>
  <si>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</si>
  <si>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</si>
  <si>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</si>
  <si>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</si>
  <si>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</si>
  <si>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</si>
  <si>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</si>
  <si>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</si>
  <si>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</si>
  <si>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</si>
  <si>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</si>
  <si>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</si>
  <si>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</si>
  <si>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</si>
  <si>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</si>
  <si>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</si>
  <si>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</si>
  <si>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</si>
  <si>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</si>
  <si>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</si>
  <si>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</si>
  <si>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</si>
  <si>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</si>
  <si>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</si>
  <si>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</si>
  <si>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</si>
  <si>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</si>
  <si>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</si>
  <si>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</si>
  <si>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</si>
  <si>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</si>
  <si>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</si>
  <si>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</si>
  <si>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</si>
  <si>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</si>
  <si>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</si>
  <si>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</si>
  <si>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</si>
  <si>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</si>
  <si>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</si>
  <si>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</si>
  <si>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</si>
  <si>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</si>
  <si>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</si>
  <si>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</si>
  <si>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</si>
  <si>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</si>
  <si>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</si>
  <si>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</si>
  <si>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</si>
  <si>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</si>
  <si>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</si>
  <si>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</si>
  <si>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</si>
  <si>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</si>
  <si>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</si>
  <si>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</si>
  <si>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</si>
  <si>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</si>
  <si>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</si>
  <si>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</si>
  <si>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</si>
  <si>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</si>
  <si>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</si>
  <si>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</si>
  <si>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</si>
  <si>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</si>
  <si>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</si>
  <si>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</si>
  <si>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</si>
  <si>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</si>
  <si>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</si>
  <si>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</si>
  <si>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</si>
  <si>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</si>
  <si>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</si>
  <si>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</si>
  <si>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</si>
  <si>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</si>
  <si>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</si>
  <si>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</si>
  <si>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</si>
  <si>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</si>
  <si>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</si>
  <si>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</si>
  <si>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</si>
  <si>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</si>
  <si>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</si>
  <si>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</si>
  <si>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</si>
  <si>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</si>
  <si>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</si>
  <si>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</si>
  <si>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</si>
  <si>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</si>
  <si>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</si>
  <si>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</si>
  <si>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</si>
  <si>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</si>
  <si>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</si>
  <si>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</si>
  <si>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</si>
  <si>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</si>
  <si>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</si>
  <si>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</si>
  <si>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</si>
  <si>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</si>
  <si>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</si>
  <si>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</si>
  <si>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</si>
  <si>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</si>
  <si>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</si>
  <si>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</si>
  <si>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</si>
  <si>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</si>
  <si>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</si>
  <si>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</si>
  <si>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</si>
  <si>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</si>
  <si>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</si>
  <si>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</si>
  <si>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</si>
  <si>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</si>
  <si>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</si>
  <si>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</si>
  <si>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</si>
  <si>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</si>
  <si>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</si>
  <si>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</si>
  <si>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</si>
  <si>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</si>
  <si>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</si>
  <si>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</si>
  <si>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</si>
  <si>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</si>
  <si>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</si>
  <si>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</si>
  <si>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</si>
  <si>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</si>
  <si>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</si>
  <si>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</si>
  <si>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</si>
  <si>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</si>
  <si>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</si>
  <si>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</si>
  <si>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</si>
  <si>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</si>
  <si>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</si>
  <si>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</si>
  <si>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</si>
  <si>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</si>
  <si>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</si>
  <si>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</si>
  <si>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</si>
  <si>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</si>
  <si>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</si>
  <si>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</si>
  <si>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</si>
  <si>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</si>
  <si>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</si>
  <si>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</si>
  <si>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</si>
  <si>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</si>
  <si>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</si>
  <si>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</si>
  <si>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</si>
  <si>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</si>
  <si>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</si>
  <si>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</si>
  <si>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</si>
  <si>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</si>
  <si>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</si>
  <si>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</si>
  <si>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</si>
  <si>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</si>
  <si>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</si>
  <si>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</si>
  <si>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</si>
  <si>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</si>
  <si>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</si>
  <si>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</si>
  <si>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</si>
  <si>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</si>
  <si>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</si>
  <si>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</si>
  <si>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</si>
  <si>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</si>
  <si>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</si>
  <si>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</si>
  <si>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</si>
  <si>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</si>
  <si>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</si>
  <si>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</si>
  <si>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</si>
  <si>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</si>
  <si>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</si>
  <si>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</si>
  <si>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</si>
  <si>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</si>
  <si>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</si>
  <si>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</si>
  <si>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</si>
  <si>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</si>
  <si>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</si>
  <si>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</si>
  <si>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</si>
  <si>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</si>
  <si>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</si>
  <si>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</si>
  <si>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</si>
  <si>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</si>
  <si>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</si>
  <si>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</si>
  <si>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</si>
  <si>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</si>
  <si>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</si>
  <si>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</si>
  <si>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</si>
  <si>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</si>
  <si>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</si>
  <si>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</si>
  <si>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</si>
  <si>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</si>
  <si>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</si>
  <si>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</si>
  <si>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</si>
  <si>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</si>
  <si>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</si>
  <si>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</si>
  <si>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</si>
  <si>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</si>
  <si>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</si>
  <si>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</si>
  <si>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</si>
  <si>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</si>
  <si>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</si>
  <si>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</si>
  <si>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</si>
  <si>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</si>
  <si>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</si>
  <si>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</si>
  <si>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</si>
  <si>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</si>
  <si>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</si>
  <si>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</si>
  <si>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</si>
  <si>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</si>
  <si>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</si>
  <si>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</si>
  <si>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</si>
  <si>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</si>
  <si>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</si>
  <si>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</si>
  <si>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</si>
  <si>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</si>
  <si>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</si>
  <si>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</si>
  <si>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</si>
  <si>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</si>
  <si>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</si>
  <si>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</si>
  <si>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</si>
  <si>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</si>
  <si>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</si>
  <si>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</si>
  <si>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</si>
  <si>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</si>
  <si>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</si>
  <si>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</si>
  <si>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</si>
  <si>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</si>
  <si>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</si>
  <si>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</si>
  <si>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</si>
  <si>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</si>
  <si>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</si>
  <si>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</si>
  <si>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</si>
  <si>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</si>
  <si>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</si>
  <si>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</si>
  <si>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</si>
  <si>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</si>
  <si>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</si>
  <si>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</si>
  <si>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</si>
  <si>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</si>
  <si>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</si>
  <si>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</si>
  <si>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</si>
  <si>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</si>
  <si>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</si>
  <si>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</si>
  <si>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</si>
  <si>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</si>
  <si>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</si>
  <si>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</si>
  <si>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</si>
  <si>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</si>
  <si>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</si>
  <si>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</si>
  <si>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</si>
  <si>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</si>
  <si>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</si>
  <si>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</si>
  <si>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</si>
  <si>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</si>
  <si>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</si>
  <si>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</si>
  <si>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</si>
  <si>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</si>
  <si>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</si>
  <si>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</si>
  <si>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</si>
  <si>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</si>
  <si>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</si>
  <si>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</si>
  <si>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</si>
  <si>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</si>
  <si>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</si>
  <si>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</si>
  <si>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</si>
  <si>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</si>
  <si>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</si>
  <si>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</si>
  <si>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</si>
  <si>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</si>
  <si>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</si>
  <si>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</si>
  <si>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</si>
  <si>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</si>
  <si>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</si>
  <si>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</si>
  <si>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</si>
  <si>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</si>
  <si>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</si>
  <si>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</si>
  <si>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</si>
  <si>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</si>
  <si>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</si>
  <si>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</si>
  <si>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</si>
  <si>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</si>
  <si>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8269LOP</t>
  </si>
  <si>
    <t>0004LOP</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</si>
  <si>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</si>
  <si>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</si>
  <si>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</si>
  <si>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</si>
  <si>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</si>
  <si>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</si>
  <si>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</si>
  <si>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</si>
  <si>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</si>
  <si>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</si>
  <si>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</si>
  <si>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</si>
  <si>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</si>
  <si>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</si>
  <si>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</si>
  <si>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</si>
  <si>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</si>
  <si>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</si>
  <si>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</si>
  <si>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</si>
  <si>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</si>
  <si>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</si>
  <si>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</si>
  <si>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</si>
  <si>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</si>
  <si>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</si>
  <si>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</si>
  <si>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</si>
  <si>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</si>
  <si>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</si>
  <si>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</si>
  <si>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</si>
  <si>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</si>
  <si>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</si>
  <si>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</si>
  <si>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</si>
  <si>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</si>
  <si>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</si>
  <si>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</si>
  <si>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</si>
  <si>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</si>
  <si>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</si>
  <si>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</si>
  <si>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</si>
  <si>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</si>
  <si>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</si>
  <si>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</si>
  <si>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</si>
  <si>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</si>
  <si>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</si>
  <si>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</si>
  <si>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</si>
  <si>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</si>
  <si>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</si>
  <si>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</si>
  <si>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</si>
  <si>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</si>
  <si>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</si>
  <si>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</si>
  <si>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</si>
  <si>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</si>
  <si>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</si>
  <si>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</si>
  <si>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</si>
  <si>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</si>
  <si>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</si>
  <si>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</si>
  <si>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</si>
  <si>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</si>
  <si>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</si>
  <si>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</si>
  <si>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</si>
  <si>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</si>
  <si>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</si>
  <si>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</si>
  <si>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</si>
  <si>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</si>
  <si>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</si>
  <si>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</si>
  <si>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</si>
  <si>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</si>
  <si>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</si>
  <si>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</si>
  <si>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</si>
  <si>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</si>
  <si>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</si>
  <si>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</si>
  <si>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</si>
  <si>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</si>
  <si>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</si>
  <si>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</si>
  <si>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</si>
  <si>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</si>
  <si>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</si>
  <si>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</si>
  <si>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</si>
  <si>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</si>
  <si>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</si>
  <si>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</si>
  <si>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</si>
  <si>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</si>
  <si>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</si>
  <si>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</si>
  <si>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</si>
  <si>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</si>
  <si>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</si>
  <si>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</si>
  <si>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</si>
  <si>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</si>
  <si>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</si>
  <si>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</si>
  <si>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</si>
  <si>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</si>
  <si>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</si>
  <si>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</si>
  <si>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</si>
  <si>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</si>
  <si>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</si>
  <si>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</si>
  <si>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</si>
  <si>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</si>
  <si>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</si>
  <si>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</si>
  <si>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</si>
  <si>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&lt;- valor da simulação considerando frete ZERO</t>
  </si>
  <si>
    <t>(vazio)</t>
  </si>
  <si>
    <t>#N/D</t>
  </si>
  <si>
    <t>7005636</t>
  </si>
  <si>
    <t>7005635</t>
  </si>
  <si>
    <t xml:space="preserve"> </t>
  </si>
  <si>
    <t>7005629</t>
  </si>
  <si>
    <t>SUNSHINE 2638</t>
  </si>
  <si>
    <t>8291 LOP</t>
  </si>
  <si>
    <t>8292 LOP</t>
  </si>
  <si>
    <t>7005622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</si>
</sst>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64">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2"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4" fontId="7" fillId="0" borderId="0" xfId="0" applyNumberFormat="1" applyFont="1" applyAlignment="1" applyProtection="1">
      <alignment vertical="center" shrinkToFit="1"/>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0" fontId="6" fillId="0" borderId="36" xfId="0" applyFont="1" applyBorder="1" applyAlignment="1" applyProtection="1">
      <alignment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17" fontId="11" fillId="7" borderId="0" xfId="0" applyNumberFormat="1" applyFont="1" applyFill="1" applyAlignment="1">
      <alignment horizontal="center"/>
    </xf>
    <xf numFmtId="0" fontId="0" fillId="0" borderId="2" xfId="0" applyBorder="1" applyAlignment="1" applyProtection="1">
      <alignment horizontal="center" vertical="center"/>
      <protection locked="0"/>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xf>
    <xf numFmtId="0" fontId="15" fillId="13" borderId="9" xfId="0" applyFont="1" applyFill="1" applyBorder="1" applyAlignment="1">
      <alignment horizontal="center"/>
    </xf>
    <xf numFmtId="0" fontId="15" fillId="13" borderId="10"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21" fillId="0" borderId="1" xfId="0" applyFont="1" applyBorder="1" applyAlignment="1">
      <alignment horizontal="center" vertical="center" wrapText="1"/>
    </xf>
    <xf numFmtId="14" fontId="7" fillId="17" borderId="1" xfId="0" applyNumberFormat="1" applyFont="1" applyFill="1" applyBorder="1" applyAlignment="1" applyProtection="1">
      <alignment vertical="center" shrinkToFit="1"/>
    </xf>
    <xf numFmtId="4" fontId="7" fillId="0" borderId="1" xfId="0" applyNumberFormat="1" applyFont="1" applyBorder="1" applyAlignment="1" applyProtection="1">
      <alignment vertical="center" shrinkToFit="1"/>
    </xf>
    <xf numFmtId="43" fontId="0" fillId="0" borderId="1" xfId="2" applyNumberFormat="1" applyFont="1" applyBorder="1" applyAlignment="1" applyProtection="1">
      <alignment vertical="center"/>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xf numFmtId="43" fontId="0" fillId="14" borderId="1" xfId="0" applyNumberFormat="1" applyFill="1" applyBorder="1" applyAlignment="1" applyProtection="1">
      <alignment vertical="center"/>
    </xf>
    <xf numFmtId="0" fontId="0" fillId="0" borderId="1" xfId="0" applyNumberFormat="1" applyBorder="1" applyAlignment="1" applyProtection="1">
      <alignment horizontal="center" vertical="center"/>
    </xf>
    <xf numFmtId="0" fontId="0" fillId="0" borderId="1" xfId="0" applyBorder="1" applyAlignment="1" applyProtection="1">
      <alignment horizontal="center" vertical="center"/>
    </xf>
    <xf numFmtId="4" fontId="0" fillId="0" borderId="1" xfId="0" applyNumberFormat="1" applyBorder="1" applyAlignment="1" applyProtection="1">
      <alignment vertical="center"/>
    </xf>
    <xf numFmtId="43" fontId="0" fillId="8" borderId="1" xfId="0" applyNumberFormat="1" applyFill="1" applyBorder="1" applyAlignment="1" applyProtection="1">
      <alignment vertical="center"/>
    </xf>
    <xf numFmtId="43" fontId="0" fillId="8" borderId="3" xfId="0" applyNumberFormat="1" applyFill="1" applyBorder="1" applyAlignment="1" applyProtection="1">
      <alignment vertical="center"/>
    </xf>
  </cellXfs>
  <cellStyles count="8">
    <cellStyle name="Comma 2" xfId="6" xr:uid="{DE457F17-6463-488E-B791-65112A7FA5D4}"/>
    <cellStyle name="Moeda" xfId="3" builtinId="4"/>
    <cellStyle name="Normal" xfId="0" builtinId="0"/>
    <cellStyle name="Normal 2" xfId="5" xr:uid="{3A139084-CAD4-4CD2-8BE6-D7FAC681C1EC}"/>
    <cellStyle name="Normal 3" xfId="4" xr:uid="{F47D5D87-9802-4C68-AC7F-E03FC22EBCF2}"/>
    <cellStyle name="Porcentagem" xfId="1" builtinId="5"/>
    <cellStyle name="Vírgula" xfId="2" builtinId="3"/>
    <cellStyle name="Vírgula 2" xfId="7" xr:uid="{159FC4DD-6656-40F1-A0B6-A7BE804C73FF}"/>
  </cellStyles>
  <dxfs count="13574">
    <dxf>
      <fill>
        <patternFill>
          <bgColor theme="9"/>
        </patternFill>
      </fill>
    </dxf>
    <dxf>
      <fill>
        <patternFill>
          <bgColor rgb="FFFF0000"/>
        </patternFill>
      </fill>
    </dxf>
    <dxf>
      <font>
        <color theme="0"/>
      </fon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2" formatCode="_-* #,##0.0_-;\-* #,##0.0_-;_-* &quot;-&quot;??_-;_-@_-"/>
    </dxf>
    <dxf>
      <numFmt numFmtId="172" formatCode="_-* #,##0.0_-;\-* #,##0.0_-;_-* &quot;-&quot;??_-;_-@_-"/>
    </dxf>
    <dxf>
      <numFmt numFmtId="172" formatCode="_-* #,##0.0_-;\-* #,##0.0_-;_-* &quot;-&quot;??_-;_-@_-"/>
    </dxf>
    <dxf>
      <numFmt numFmtId="172"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13573"/>
      <tableStyleElement type="firstColumnStripe" dxfId="13572"/>
      <tableStyleElement type="firstRowSubheading" dxfId="13571"/>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60325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refreshError="1"/>
      <sheetData sheetId="1" refreshError="1"/>
      <sheetData sheetId="2">
        <row r="24">
          <cell r="G24">
            <v>46183</v>
          </cell>
        </row>
      </sheetData>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hany Lima Gonçalves Wojcik" refreshedDate="46199.531338773151" createdVersion="8" refreshedVersion="8" minRefreshableVersion="3" recordCount="484" xr:uid="{00000000-000A-0000-FFFF-FFFF18000000}">
  <cacheSource type="worksheet">
    <worksheetSource ref="A3:CK695"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1">
        <n v="399"/>
        <n v="932"/>
        <n v="8222"/>
        <s v="BACKING"/>
        <n v="2"/>
        <n v="483"/>
        <n v="689"/>
        <n v="244"/>
        <n v="128"/>
        <n v="301"/>
        <n v="248"/>
        <n v="104"/>
        <n v="3222"/>
        <n v="1833"/>
        <n v="86"/>
        <s v="FF PARDO"/>
        <n v="9370"/>
        <s v="XH1007"/>
        <n v="8269"/>
        <s v="8269F"/>
        <s v="0004LOP"/>
        <s v="8269LOP"/>
        <n v="1410"/>
        <n v="1430"/>
        <s v="0128K"/>
        <n v="408"/>
        <n v="31052"/>
        <n v="673"/>
        <n v="986"/>
        <n v="2638"/>
        <n v="9300"/>
        <n v="9080"/>
        <n v="938"/>
        <n v="497"/>
        <n v="664"/>
        <s v="acerto"/>
        <s v="FF branco"/>
        <n v="308"/>
        <s v="0006"/>
        <n v="8686"/>
        <n v="8292"/>
        <s v="0104 F"/>
        <n v="2795"/>
        <n v="8130"/>
        <n v="5740"/>
        <n v="8291"/>
        <n v="5481"/>
        <n v="380"/>
        <s v="FF TABACO"/>
        <s v="FF BRANCO HO"/>
        <s v="FF PRETO"/>
        <s v="FF MONOMAX"/>
        <n v="247"/>
        <n v="9371"/>
        <n v="9372"/>
        <n v="9374"/>
        <n v="9377"/>
        <n v="204"/>
        <m/>
        <n v="6" u="1"/>
        <n v="1832" u="1"/>
      </sharedItems>
    </cacheField>
    <cacheField name="g/m2" numFmtId="0">
      <sharedItems containsString="0" containsBlank="1" containsNumber="1" containsInteger="1" minValue="30" maxValue="105" count="17">
        <n v="68"/>
        <n v="80"/>
        <n v="60"/>
        <n v="50"/>
        <n v="70"/>
        <n v="65"/>
        <n v="40"/>
        <n v="72"/>
        <n v="90"/>
        <n v="67"/>
        <n v="30"/>
        <n v="35"/>
        <n v="105"/>
        <n v="71"/>
        <n v="45"/>
        <n v="78"/>
        <m/>
      </sharedItems>
    </cacheField>
    <cacheField name="Width (mm)" numFmtId="0">
      <sharedItems containsString="0" containsBlank="1" containsNumber="1" containsInteger="1" minValue="623" maxValue="2175" count="25">
        <n v="1870"/>
        <n v="1855"/>
        <n v="1840"/>
        <n v="2080"/>
        <n v="1865"/>
        <n v="1270"/>
        <n v="2175"/>
        <n v="1830"/>
        <n v="1860"/>
        <n v="1900"/>
        <n v="1880"/>
        <n v="2120"/>
        <n v="1550"/>
        <n v="623"/>
        <n v="1330"/>
        <m/>
        <n v="2065"/>
        <n v="1845"/>
        <n v="2140"/>
        <n v="2160"/>
        <n v="1250"/>
        <n v="2070"/>
        <n v="1920"/>
        <n v="1905"/>
        <n v="640" u="1"/>
      </sharedItems>
    </cacheField>
    <cacheField name="Usage" numFmtId="0">
      <sharedItems containsBlank="1"/>
    </cacheField>
    <cacheField name="Supplier" numFmtId="0">
      <sharedItems containsBlank="1" count="20">
        <s v="Cartiere"/>
        <s v="Huawon"/>
        <s v="Kingdecor"/>
        <s v="Koehler"/>
        <s v="Maltadecor"/>
        <s v="Munksjo ESP"/>
        <s v="Munksjo UNTER"/>
        <s v="Munksjo DETT"/>
        <s v="Munksjo BR"/>
        <s v="Santher"/>
        <s v="Sunshine"/>
        <s v="Technocell"/>
        <s v="Tentok"/>
        <s v="VerdeForte"/>
        <s v="Xianhe"/>
        <s v="VF Papéis"/>
        <s v="Ultradecor"/>
        <s v="Qifeng"/>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90"/>
        <n v="75"/>
        <n v="120"/>
        <n v="30"/>
        <n v="60"/>
        <n v="0"/>
        <n v="45"/>
        <m/>
      </sharedItems>
    </cacheField>
    <cacheField name="Paper bonus (t)" numFmtId="0">
      <sharedItems containsString="0" containsBlank="1" containsNumber="1" containsInteger="1" minValue="300" maxValue="3300" count="6">
        <m/>
        <n v="3300"/>
        <n v="400"/>
        <n v="500"/>
        <n v="3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2">
        <n v="50"/>
        <n v="100"/>
        <n v="25"/>
        <n v="15"/>
        <n v="300"/>
        <n v="150"/>
        <n v="26"/>
        <m/>
        <n v="600"/>
        <n v="500"/>
        <n v="200"/>
        <n v="70"/>
        <n v="30"/>
        <n v="80"/>
        <n v="20"/>
        <n v="10"/>
        <n v="5"/>
        <n v="400"/>
        <n v="800"/>
        <n v="1000"/>
        <n v="40"/>
        <n v="3000" u="1"/>
      </sharedItems>
    </cacheField>
    <cacheField name="Currency" numFmtId="0">
      <sharedItems containsBlank="1" count="6">
        <s v="EUR"/>
        <s v="CNY"/>
        <s v="BRL"/>
        <s v="USD"/>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minValue="1100" maxValue="26060"/>
    </cacheField>
    <cacheField name="jun/26" numFmtId="0">
      <sharedItems containsString="0" containsBlank="1" containsNumber="1" minValue="1100" maxValue="26060"/>
    </cacheField>
    <cacheField name="jul/26" numFmtId="0">
      <sharedItems containsNonDate="0" containsString="0" containsBlank="1"/>
    </cacheField>
    <cacheField name="ago/26" numFmtId="0">
      <sharedItems containsNonDate="0" containsString="0" containsBlank="1"/>
    </cacheField>
    <cacheField name="set/26" numFmtId="0">
      <sharedItems containsNonDate="0" containsString="0" containsBlank="1"/>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36">
        <n v="2450"/>
        <n v="2370"/>
        <n v="2900"/>
        <n v="3750"/>
        <n v="2550"/>
        <n v="2630"/>
        <n v="1230"/>
        <n v="1250"/>
        <n v="2390"/>
        <n v="2890"/>
        <n v="1750"/>
        <n v="1790"/>
        <n v="1900"/>
        <n v="2050"/>
        <n v="2350"/>
        <n v="1890"/>
        <n v="13500"/>
        <n v="1800"/>
        <n v="12000"/>
        <n v="1650"/>
        <n v="12100"/>
        <n v="1600"/>
        <n v="13650"/>
        <n v="1530"/>
        <n v="11700"/>
        <n v="1450"/>
        <n v="1080"/>
        <n v="11600"/>
        <n v="8300"/>
        <n v="12300"/>
        <n v="2600"/>
        <n v="11500"/>
        <n v="19500"/>
        <n v="9000"/>
        <n v="13000"/>
        <n v="2250"/>
        <n v="2190"/>
        <n v="2200"/>
        <n v="2210"/>
        <n v="2230"/>
        <n v="2270"/>
        <n v="2300"/>
        <n v="2100"/>
        <n v="2120"/>
        <n v="2150"/>
        <n v="2020"/>
        <n v="2040"/>
        <n v="2070"/>
        <n v="1920"/>
        <n v="1940"/>
        <n v="1970"/>
        <n v="1820"/>
        <n v="1850"/>
        <n v="1770"/>
        <n v="2240"/>
        <n v="2290"/>
        <n v="2400"/>
        <n v="2410"/>
        <n v="2470"/>
        <n v="2500"/>
        <n v="2650"/>
        <n v="2670"/>
        <n v="2700"/>
        <n v="2160"/>
        <n v="2690"/>
        <n v="2710"/>
        <n v="2760"/>
        <n v="1660"/>
        <n v="1670"/>
        <n v="1720"/>
        <n v="2910"/>
        <n v="2960"/>
        <n v="1960"/>
        <n v="1980"/>
        <n v="2010"/>
        <n v="2180"/>
        <n v="1990"/>
        <n v="2340"/>
        <n v="2360"/>
        <n v="1910"/>
        <n v="1930"/>
        <n v="1950"/>
        <n v="2000"/>
        <n v="2570"/>
        <n v="3430"/>
        <n v="2090"/>
        <n v="2780"/>
        <n v="2730"/>
        <n v="3550"/>
        <n v="3400"/>
        <n v="3350"/>
        <n v="2980"/>
        <n v="3110"/>
        <n v="3310"/>
        <n v="3010"/>
        <n v="26060"/>
        <n v="20331"/>
        <n v="19183"/>
        <n v="17581"/>
        <n v="18111"/>
        <n v="22609"/>
        <n v="18981"/>
        <n v="24799"/>
        <n v="21897"/>
        <n v="24864"/>
        <n v="23999.75"/>
        <n v="11079"/>
        <n v="14425"/>
        <n v="9440.6498999999985"/>
        <n v="9568.2262499999997"/>
        <n v="8864.4599999999991"/>
        <n v="11650"/>
        <n v="1760"/>
        <n v="1730"/>
        <n v="10950"/>
        <n v="1620"/>
        <n v="14500"/>
        <n v="1380"/>
        <n v="10300"/>
        <n v="1337"/>
        <n v="13900"/>
        <n v="1797"/>
        <n v="11900"/>
        <n v="2640"/>
        <n v="2740"/>
        <n v="2820"/>
        <n v="2940"/>
        <n v="2990"/>
        <n v="3040"/>
        <n v="3120"/>
        <n v="2330"/>
        <n v="2380"/>
        <n v="2430"/>
        <n v="2510"/>
        <n v="2320"/>
        <n v="2420"/>
        <n v="2480"/>
        <n v="2560"/>
        <n v="2520"/>
        <n v="2610"/>
        <n v="2660"/>
        <n v="2530"/>
        <n v="2580"/>
        <n v="2680"/>
        <n v="2460"/>
        <n v="1350"/>
        <n v="2800"/>
        <n v="2198"/>
        <n v="2153"/>
        <n v="14203.2"/>
        <n v="12385.83"/>
        <n v="17269.86"/>
        <n v="19239.78"/>
        <n v="16823.400000000001"/>
        <n v="9432"/>
        <n v="10590"/>
        <e v="#N/A"/>
        <n v="2220"/>
        <n v="2590"/>
        <n v="8500"/>
        <n v="2540"/>
        <n v="11000"/>
        <n v="1100"/>
        <n v="210000"/>
        <m/>
        <n v="1880" u="1"/>
        <n v="1870" u="1"/>
        <n v="1740" u="1"/>
        <n v="1830" u="1"/>
        <n v="1480" u="1"/>
        <n v="1010" u="1"/>
        <n v="1050" u="1"/>
        <n v="1840" u="1"/>
        <n v="3270" u="1"/>
        <n v="2080" u="1"/>
        <n v="2860" u="1"/>
        <n v="2810" u="1"/>
        <n v="24631" u="1"/>
        <n v="19216" u="1"/>
        <n v="18131" u="1"/>
        <n v="16617" u="1"/>
        <n v="17118" u="1"/>
        <n v="21370" u="1"/>
        <n v="17941" u="1"/>
        <n v="23439" u="1"/>
        <n v="20696" u="1"/>
        <n v="23501" u="1"/>
        <n v="10471" u="1"/>
        <n v="13634" u="1"/>
        <n v="2110" u="1"/>
        <n v="2140" u="1"/>
        <n v="2260" u="1"/>
        <n v="1810" u="1"/>
        <n v="1860" u="1"/>
        <n v="2130" u="1"/>
        <n v="2750" u="1"/>
        <n v="2280" u="1"/>
        <n v="3030" u="1"/>
        <n v="2060" u="1"/>
        <n v="2030" u="1"/>
        <n v="2720" u="1"/>
        <n v="2840" u="1"/>
        <n v="3020" u="1"/>
        <n v="2310" u="1"/>
        <n v="14996.25" u="1"/>
        <n v="13077.4" u="1"/>
        <n v="18234.14" u="1"/>
        <n v="20314.04" u="1"/>
        <n v="17762.740000000002" u="1"/>
        <n v="13911.18" u="1"/>
        <n v="12131.17" u="1"/>
        <n v="16914.78" u="1"/>
        <n v="18844.2" u="1"/>
        <n v="15859" u="1"/>
        <n v="17340" u="1"/>
        <n v="13700" u="1"/>
        <n v="15100" u="1"/>
        <n v="12800" u="1"/>
        <n v="12400" u="1"/>
        <n v="12600" u="1"/>
        <n v="13800" u="1"/>
        <n v="12500" u="1"/>
        <n v="19120" u="1"/>
        <n v="10000" u="1"/>
        <n v="2770" u="1"/>
        <n v="3070" u="1"/>
        <n v="3420" u="1"/>
        <n v="3260" u="1"/>
        <n v="2830" u="1"/>
        <n v="2850" u="1"/>
        <n v="2490" u="1"/>
        <n v="2170" u="1"/>
        <n v="1570" u="1"/>
        <n v="8800" u="1"/>
        <n v="1000" u="1"/>
        <n v="9500" u="1"/>
      </sharedItems>
    </cacheField>
    <cacheField name="Última Atualização de Preço" numFmtId="0">
      <sharedItems containsDate="1" containsBlank="1" containsMixedTypes="1" minDate="2023-03-01T00:00:00" maxDate="2026-06-02T00:00:00" count="91">
        <d v="2024-09-01T00:00:00"/>
        <d v="2025-08-01T00:00:00"/>
        <d v="2026-01-01T00:00:00"/>
        <d v="2025-06-01T00:00:00"/>
        <d v="2024-02-01T00:00:00"/>
        <d v="2024-06-01T00:00:00"/>
        <d v="2025-11-01T00:00:00"/>
        <d v="2025-12-01T00:00:00"/>
        <d v="2026-06-01T00:00:00"/>
        <d v="2026-03-01T00:00:00"/>
        <d v="2026-02-01T00:00:00"/>
        <d v="2023-12-01T00:00:00"/>
        <d v="2025-05-01T00:00:00"/>
        <d v="2024-12-01T00:00:00"/>
        <d v="2023-03-01T00:00:00"/>
        <d v="2025-09-01T00:00:00"/>
        <d v="2025-03-01T00:00:00"/>
        <d v="2025-07-01T00:00:00"/>
        <d v="2025-10-01T00:00:00"/>
        <d v="2023-06-01T00:00:00"/>
        <d v="2026-04-01T00:00:00"/>
        <d v="2026-05-01T00:00:00"/>
        <e v="#N/A"/>
        <m/>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193">
        <e v="#N/A"/>
        <n v="0"/>
        <n v="4.1666666666666741E-2"/>
        <n v="4.2857142857142927E-2"/>
        <n v="4.2654028436019065E-2"/>
        <n v="4.2452830188679291E-2"/>
        <n v="4.20560747663552E-2"/>
        <n v="4.1284403669724856E-2"/>
        <n v="4.0723981900452566E-2"/>
        <n v="3.9823008849557473E-2"/>
        <n v="3.9603960396039639E-2"/>
        <n v="3.9215686274509887E-2"/>
        <n v="3.8647342995169032E-2"/>
        <n v="3.7735849056603765E-2"/>
        <n v="4.9180327868852514E-2"/>
        <n v="4.8648648648648596E-2"/>
        <n v="4.7872340425531901E-2"/>
        <n v="4.663212435233155E-2"/>
        <n v="4.6511627906976827E-2"/>
        <n v="4.5977011494252817E-2"/>
        <n v="4.5197740112994378E-2"/>
        <n v="4.3956043956044022E-2"/>
        <n v="-2.2099447513812209E-2"/>
        <n v="3.7914691943127909E-2"/>
        <n v="3.7558685446009488E-2"/>
        <n v="3.7037037037036979E-2"/>
        <n v="3.6199095022624528E-2"/>
        <n v="3.524229074889873E-2"/>
        <n v="3.4934497816593968E-2"/>
        <n v="3.4482758620689724E-2"/>
        <n v="3.3755274261603407E-2"/>
        <n v="-1.2096774193548376E-2"/>
        <n v="-1.2000000000000011E-2"/>
        <n v="-1.9607843137254943E-2"/>
        <n v="-1.1194029850746245E-2"/>
        <n v="-1.1111111111111072E-2"/>
        <n v="-1.8181818181818188E-2"/>
        <n v="-1.3157894736842146E-2"/>
        <n v="-1.3043478260869601E-2"/>
        <n v="-2.1276595744680882E-2"/>
        <n v="0.26291079812206575"/>
        <n v="0.26046511627906987"/>
        <n v="0.25454545454545463"/>
        <n v="-0.10810810810810811"/>
        <n v="-0.10695187165775399"/>
        <n v="-0.10416666666666663"/>
        <n v="0.24034334763948495"/>
        <n v="0.15019762845849804"/>
        <n v="-2.3102310231023049E-2"/>
        <n v="-1.5075376884422065E-2"/>
        <n v="-1.4925373134328401E-2"/>
        <n v="-2.4271844660194164E-2"/>
        <n v="-1.3698630136986356E-2"/>
        <n v="-1.3574660633484115E-2"/>
        <n v="-2.2123893805309769E-2"/>
        <n v="-1.4851485148514865E-2"/>
        <n v="-1.4705882352941124E-2"/>
        <n v="-2.3923444976076569E-2"/>
        <n v="-1.3513513513513487E-2"/>
        <n v="-1.3392857142857095E-2"/>
        <n v="-2.183406113537123E-2"/>
        <n v="4.2918454935623185E-3"/>
        <n v="4.2553191489360653E-3"/>
        <n v="-4.1666666666666519E-3"/>
        <n v="-3.7634408602150504E-2"/>
        <n v="-2.0618556701030966E-2"/>
        <n v="5.2631578947368585E-3"/>
        <n v="5.2083333333332593E-3"/>
        <n v="-5.0761421319797106E-3"/>
        <n v="4.9751243781095411E-3"/>
        <n v="4.9261083743843415E-3"/>
        <n v="-4.8076923076922906E-3"/>
        <n v="8.9385474860335101E-2"/>
        <n v="8.6956521739130377E-2"/>
        <n v="8.040201005025116E-2"/>
        <n v="6.639004149377592E-2"/>
        <n v="4.8929663608562768E-2"/>
        <n v="7.6923076923076872E-2"/>
        <n v="8.290155440414515E-2"/>
        <n v="7.1748878923766801E-2"/>
        <n v="4.5112781954887327E-2"/>
        <n v="4.195804195804187E-2"/>
        <n v="6.4308681672025747E-2"/>
        <n v="7.1174377224199281E-2"/>
        <n v="7.2463768115942129E-2"/>
        <n v="5.8394160583941535E-2"/>
        <n v="5.8016320896431273E-2"/>
        <n v="5.8024562864279705E-2"/>
        <n v="5.8022171970657954E-2"/>
        <n v="5.801287837756508E-2"/>
        <n v="5.8009113214160468E-2"/>
        <n v="5.7978474496958254E-2"/>
        <n v="5.796778328967167E-2"/>
        <n v="5.8022953197661931E-2"/>
        <n v="5.8030537301894114E-2"/>
        <n v="5.7997532019913978E-2"/>
        <n v="5.8065132270079367E-2"/>
        <n v="5.8016722898635686E-2"/>
        <n v="5.1792828685258918E-2"/>
        <n v="5.078125E-2"/>
        <n v="4.9808429118773923E-2"/>
        <n v="4.8327137546468446E-2"/>
        <n v="4.6263345195729499E-2"/>
        <n v="4.5454545454545414E-2"/>
        <n v="4.4673539518900407E-2"/>
        <n v="4.3478260869565188E-2"/>
        <n v="5.9090909090909083E-2"/>
        <n v="5.7777777777777706E-2"/>
        <n v="5.6521739130434678E-2"/>
        <n v="5.4621848739495826E-2"/>
        <n v="5.4545454545454453E-2"/>
        <n v="5.3333333333333233E-2"/>
        <n v="5.2173913043478182E-2"/>
        <n v="5.0420168067226934E-2"/>
        <n v="5.6034482758620774E-2"/>
        <n v="5.5319148936170182E-2"/>
        <n v="5.3497942386831365E-2"/>
        <n v="5.1063829787234116E-2"/>
        <n v="5.0000000000000044E-2"/>
        <n v="4.8387096774193505E-2"/>
        <n v="5.2419354838709742E-2"/>
        <n v="5.1383399209486091E-2"/>
        <n v="6.3025210084033612E-2"/>
        <n v="6.1728395061728447E-2"/>
        <n v="6.0483870967741993E-2"/>
        <n v="5.859375E-2"/>
        <n v="5.9288537549407216E-2"/>
        <n v="5.7471264367816133E-2"/>
        <n v="5.7017543859649189E-2"/>
        <n v="4.9382716049382713E-2"/>
        <n v="2.0991749082392763E-2"/>
        <n v="2.0992204379297386E-2"/>
        <n v="2.0992291948225272E-2"/>
        <n v="2.0992135511191723E-2"/>
        <n v="2.0992262175694165E-2"/>
        <n v="4.6025104602510414E-2"/>
        <n v="3.937007874015741E-2"/>
        <n v="3.8610038610038533E-2"/>
        <n v="3.7878787878787845E-2"/>
        <n v="3.6764705882353033E-2"/>
        <n v="-1.6666666666666718E-2"/>
        <n v="7.2625698324022325E-2"/>
        <n v="5.7142857142857162E-2"/>
        <n v="4.5045045045045029E-2"/>
        <n v="4.4052863436123246E-2"/>
        <n v="4.31034482758621E-2"/>
        <n v="4.0322580645161255E-2"/>
        <n v="3.9525691699604737E-2"/>
        <n v="3.8759689922480689E-2"/>
        <n v="3.7593984962406068E-2"/>
        <n v="-9.2741935483870996E-2"/>
        <n v="4.4444444444444509E-2"/>
        <n v="4.2194092827004148E-2"/>
        <n v="4.081632653061229E-2"/>
        <n v="3.8022813688213031E-2"/>
        <n v="6.9999571772821456E-2"/>
        <n v="6.9999088445634072E-2"/>
        <n v="6.999926569363879E-2"/>
        <n v="6.9999573867521203E-2"/>
        <n v="-1.1673151750972721E-2"/>
        <m/>
        <n v="4.3243243243243246E-2" u="1"/>
        <n v="-3.3149171270718258E-2" u="1"/>
        <n v="4.3715846994535568E-2" u="1"/>
        <n v="4.3010752688172005E-2" u="1"/>
        <n v="4.1884816753926746E-2" u="1"/>
        <n v="5.3763440860215006E-3" u="1"/>
        <n v="5.3191489361701372E-3" u="1"/>
        <n v="-5.1813471502590858E-3" u="1"/>
        <n v="5.1546391752577136E-3" u="1"/>
        <n v="5.1020408163264808E-3" u="1"/>
        <n v="-4.9751243781094301E-3" u="1"/>
        <n v="4.0000000000000036E-2" u="1"/>
        <n v="3.460207612456756E-2" u="1"/>
        <n v="8.4656084656084651E-2" u="1"/>
        <n v="4.2553191489361764E-2" u="1"/>
        <n v="-5.7142857142856718E-3" u="1"/>
        <n v="-5.5248618784530246E-3" u="1"/>
        <n v="4.5714285714285818E-2" u="1"/>
        <n v="4.4198895027624419E-2" u="1"/>
        <n v="1.195219123505975E-2" u="1"/>
        <n v="1.171875E-2" u="1"/>
        <n v="1.149425287356331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2.0161290322580738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810810810810811E-2" u="1"/>
        <n v="-1.0695187165775444E-2" u="1"/>
        <n v="-1.0526315789473717E-2" u="1"/>
        <n v="-1.025641025641022E-2" u="1"/>
        <n v="-1.1494252873563204E-2" u="1"/>
        <n v="-1.1363636363636354E-2" u="1"/>
        <n v="-1.1173184357541888E-2" u="1"/>
        <n v="-1.0869565217391353E-2" u="1"/>
        <n v="-1.1299435028248594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7.1146245059288571E-2" u="1"/>
        <n v="6.9767441860465018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4.3062200956937691E-2"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9.1891891891891841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8.8082901554404236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8.8235294117646967E-2"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25" u="1"/>
        <n v="-0.10595110373967209" u="1"/>
        <n v="7.4509803921568585E-2" u="1"/>
        <n v="-9.9337748344370813E-2" u="1"/>
        <n v="0.13953488372093026" u="1"/>
        <n v="-3.0030769230769194E-2" u="1"/>
        <n v="-9.375E-2" u="1"/>
        <n v="6.3559322033898358E-2" u="1"/>
        <n v="0.10377358490566047" u="1"/>
        <n v="0.10407239819004532"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8.3333333333333259E-2"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8.4033613445378075E-2"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4.4117647058823595E-2"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7.8431372549019551E-2"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8.8888888888888795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8.0645161290322509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8.2304526748971263E-2"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1.7241379310344751E-2"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2250000000000005" maxValue="115.05000000000001"/>
    </cacheField>
    <cacheField name="International Freight" numFmtId="0">
      <sharedItems containsString="0" containsBlank="1" containsNumber="1" minValue="0" maxValue="1.8659666666666668"/>
    </cacheField>
    <cacheField name="Import Fees" numFmtId="43">
      <sharedItems containsBlank="1" containsMixedTypes="1" containsNumber="1" minValue="0" maxValue="16.107000000000003"/>
    </cacheField>
    <cacheField name="Incoterm Adjust" numFmtId="4">
      <sharedItems containsString="0" containsBlank="1" containsNumber="1" minValue="-0.17699999999999999" maxValue="5.9000000000000004E-2"/>
    </cacheField>
    <cacheField name="Freight" numFmtId="4">
      <sharedItems containsString="0" containsBlank="1" containsNumber="1" minValue="9.1999999999999998E-2" maxValue="0.2"/>
    </cacheField>
    <cacheField name="TCO_x000a_(R$/KG)" numFmtId="43">
      <sharedItems containsBlank="1" containsMixedTypes="1" containsNumber="1" minValue="6.9773304046371516" maxValue="141.03413131959928" count="8000">
        <n v="16.5679132"/>
        <n v="16.034553200000001"/>
        <n v="19.568063199999997"/>
        <n v="25.235013199999997"/>
        <n v="17.234613199999998"/>
        <n v="17.767973199999997"/>
        <n v="8.4341732000000018"/>
        <n v="8.6265131999999998"/>
        <n v="16.167893199999998"/>
        <n v="19.501393200000003"/>
        <n v="11.901013200000001"/>
        <n v="12.167693200000002"/>
        <n v="12.901063200000001"/>
        <n v="13.901113199999999"/>
        <n v="15.901213200000003"/>
        <n v="12.834393199999999"/>
        <n v="12.75408"/>
        <n v="13.318380000000001"/>
        <n v="11.471579999999999"/>
        <n v="12.309479999999999"/>
        <n v="11.557079999999999"/>
        <n v="11.973180000000001"/>
        <n v="12.882330000000001"/>
        <n v="11.502360000000001"/>
        <n v="11.215079999999999"/>
        <n v="10.964279999999999"/>
        <n v="8.4756600000000013"/>
        <n v="11.129579999999999"/>
        <n v="8.3080800000000021"/>
        <n v="11.728080000000002"/>
        <n v="18.699180000000002"/>
        <n v="11.044079999999999"/>
        <n v="17.884079999999997"/>
        <n v="132.36858000000004"/>
        <n v="8.9065799999999999"/>
        <n v="12.32658"/>
        <n v="15.057513200000001"/>
        <n v="14.657493200000003"/>
        <n v="14.724163200000003"/>
        <n v="14.7908332"/>
        <n v="14.9241732"/>
        <n v="15.190853200000001"/>
        <n v="15.3908632"/>
        <n v="15.724213200000003"/>
        <n v="14.057463200000001"/>
        <n v="14.190803200000001"/>
        <n v="14.390813200000002"/>
        <n v="13.524103200000003"/>
        <n v="13.657443200000003"/>
        <n v="13.8574532"/>
        <n v="12.8574032"/>
        <n v="12.990743200000001"/>
        <n v="13.190753200000001"/>
        <n v="12.057363200000003"/>
        <n v="12.190703200000002"/>
        <n v="12.390713200000002"/>
        <n v="12.724063200000002"/>
        <n v="11.724013200000002"/>
        <n v="11.857353200000002"/>
        <n v="14.990843200000004"/>
        <n v="15.324193200000002"/>
        <n v="15.857553200000003"/>
        <n v="16.057563200000001"/>
        <n v="16.3909132"/>
        <n v="16.124233199999999"/>
        <n v="16.7012532"/>
        <n v="16.901263199999999"/>
        <n v="17.901313199999997"/>
        <n v="18.034653199999997"/>
        <n v="18.234663200000004"/>
        <n v="15.2345132"/>
        <n v="15.367853200000001"/>
        <n v="15.5678632"/>
        <n v="14.634483200000002"/>
        <n v="18.167993200000002"/>
        <n v="18.301333199999998"/>
        <n v="18.634683199999998"/>
        <n v="11.300983200000001"/>
        <n v="11.234313199999999"/>
        <n v="11.367653199999999"/>
        <n v="11.701003200000001"/>
        <n v="19.634733199999999"/>
        <n v="19.968083200000002"/>
        <n v="12.567713200000002"/>
        <n v="13.301083200000001"/>
        <n v="13.434423200000001"/>
        <n v="13.6344332"/>
        <n v="14.767823200000002"/>
        <n v="14.967833199999999"/>
        <n v="13.501093200000001"/>
        <n v="13.834443200000003"/>
        <n v="14.834493200000002"/>
        <n v="15.167843200000004"/>
        <n v="15.834543199999999"/>
        <n v="15.967883199999999"/>
        <n v="12.9677332"/>
        <n v="13.1010732"/>
        <n v="13.701103200000002"/>
        <n v="14.0344532"/>
        <n v="13.234413200000001"/>
        <n v="13.567763200000002"/>
        <n v="14.567813200000002"/>
        <n v="17.367953199999999"/>
        <n v="23.101573200000001"/>
        <n v="14.1677932"/>
        <n v="18.768023199999998"/>
        <n v="18.434673199999999"/>
        <n v="23.9016132"/>
        <n v="22.901563200000002"/>
        <n v="22.568213199999999"/>
        <n v="20.101423199999999"/>
        <n v="20.968133199999997"/>
        <n v="22.301533199999998"/>
        <n v="20.301433199999998"/>
        <n v="26.259999999999998"/>
        <n v="20.530999999999999"/>
        <n v="19.382999999999999"/>
        <n v="17.780999999999999"/>
        <n v="18.311"/>
        <n v="22.809000000000001"/>
        <n v="19.181000000000001"/>
        <n v="24.998999999999999"/>
        <n v="22.096999999999998"/>
        <n v="25.064"/>
        <n v="24.199749999999998"/>
        <n v="11.279"/>
        <n v="14.625"/>
        <n v="19.7"/>
        <n v="9.6406498999999979"/>
        <n v="9.7682262499999997"/>
        <n v="9.0644599999999986"/>
        <n v="11.172330000000001"/>
        <n v="13.049340000000001"/>
        <n v="12.84756"/>
        <n v="10.573829999999997"/>
        <n v="12.107700000000003"/>
        <n v="13.609080000000001"/>
        <n v="14.327280000000002"/>
        <n v="10.493459999999999"/>
        <n v="10.018080000000001"/>
        <n v="10.204242000000001"/>
        <n v="13.096080000000001"/>
        <n v="13.298202"/>
        <n v="11.386080000000002"/>
        <n v="17.834643200000002"/>
        <n v="18.501343200000004"/>
        <n v="19.034703199999999"/>
        <n v="19.834743199999998"/>
        <n v="20.168093200000001"/>
        <n v="20.501443199999997"/>
        <n v="21.034803199999999"/>
        <n v="15.767873200000002"/>
        <n v="16.1012232"/>
        <n v="16.434573199999999"/>
        <n v="16.967933199999997"/>
        <n v="15.7012032"/>
        <n v="16.367903200000001"/>
        <n v="16.767923199999998"/>
        <n v="17.3012832"/>
        <n v="16.2345632"/>
        <n v="17.034603199999999"/>
        <n v="17.567963200000001"/>
        <n v="17.6346332"/>
        <n v="17.967983200000003"/>
        <n v="17.101273199999998"/>
        <n v="17.434623200000001"/>
        <n v="18.1013232"/>
        <n v="16.301233199999999"/>
        <n v="16.634583200000002"/>
        <n v="9.2342132000000028"/>
        <n v="18.901363199999999"/>
        <n v="14.596466666666668"/>
        <n v="14.337716666666669"/>
        <n v="13.400466666666667"/>
        <n v="14.4032"/>
        <n v="12.58583"/>
        <n v="17.469860000000001"/>
        <n v="19.439779999999999"/>
        <n v="17.023400000000002"/>
        <n v="9.6319999999999997"/>
        <n v="10.79"/>
        <n v="12.982080000000003"/>
        <e v="#N/A"/>
        <n v="13.0344032"/>
        <n v="15.034503200000003"/>
        <n v="17.501293199999999"/>
        <n v="8.4790800000000015"/>
        <n v="17.1679432"/>
        <n v="10.616579999999999"/>
        <n v="7.5674632000000006"/>
        <n v="15.664601000000001"/>
        <m/>
        <n v="16.5667084" u="1"/>
        <n v="16.033348400000001" u="1"/>
        <n v="19.566858399999997" u="1"/>
        <n v="25.233808399999997" u="1"/>
        <n v="17.233408399999998" u="1"/>
        <n v="17.766768399999997" u="1"/>
        <n v="8.4329684000000018" u="1"/>
        <n v="8.6253083999999998" u="1"/>
        <n v="16.166688399999998" u="1"/>
        <n v="19.500188399999999" u="1"/>
        <n v="11.899808400000001" u="1"/>
        <n v="12.166488400000002" u="1"/>
        <n v="12.899858400000001" u="1"/>
        <n v="13.899908399999999" u="1"/>
        <n v="15.900008400000003" u="1"/>
        <n v="12.833188399999999" u="1"/>
        <n v="12.747392000000001" u="1"/>
        <n v="13.311692000000003" u="1"/>
        <n v="11.464892000000001" u="1"/>
        <n v="12.302792" u="1"/>
        <n v="11.550392" u="1"/>
        <n v="11.966492000000002" u="1"/>
        <n v="12.875642000000001" u="1"/>
        <n v="11.495672000000003" u="1"/>
        <n v="11.208392" u="1"/>
        <n v="10.957592" u="1"/>
        <n v="8.4689720000000008" u="1"/>
        <n v="11.122892" u="1"/>
        <n v="8.3013920000000017" u="1"/>
        <n v="11.721392000000003" u="1"/>
        <n v="18.692492000000001" u="1"/>
        <n v="11.037392000000001" u="1"/>
        <n v="17.877392" u="1"/>
        <n v="132.36189200000004" u="1"/>
        <n v="8.8998920000000012" u="1"/>
        <n v="12.319892000000001" u="1"/>
        <n v="15.056308400000001" u="1"/>
        <n v="14.656288400000003" u="1"/>
        <n v="14.722958400000003" u="1"/>
        <n v="14.7896284" u="1"/>
        <n v="14.9229684" u="1"/>
        <n v="15.189648400000001" u="1"/>
        <n v="15.3896584" u="1"/>
        <n v="15.723008400000003" u="1"/>
        <n v="14.056258400000001" u="1"/>
        <n v="14.189598400000001" u="1"/>
        <n v="14.389608400000002" u="1"/>
        <n v="13.522898400000003" u="1"/>
        <n v="13.656238400000003" u="1"/>
        <n v="13.8562484" u="1"/>
        <n v="12.8561984" u="1"/>
        <n v="12.989538400000001" u="1"/>
        <n v="13.189548400000001" u="1"/>
        <n v="12.056158400000003" u="1"/>
        <n v="12.189498400000002" u="1"/>
        <n v="12.389508400000002" u="1"/>
        <n v="12.722858400000002" u="1"/>
        <n v="11.722808400000002" u="1"/>
        <n v="12.589518400000001" u="1"/>
        <n v="12.9228684" u="1"/>
        <n v="12.7895284" u="1"/>
        <n v="13.322888400000002" u="1"/>
        <n v="14.989638400000004" u="1"/>
        <n v="15.322988400000002" u="1"/>
        <n v="15.856348400000003" u="1"/>
        <n v="16.056358400000001" u="1"/>
        <n v="16.3897084" u="1"/>
        <n v="16.123028399999999" u="1"/>
        <n v="16.7000484" u="1"/>
        <n v="16.900058399999999" u="1"/>
        <n v="17.900108399999997" u="1"/>
        <n v="18.033448399999997" u="1"/>
        <n v="18.233458400000004" u="1"/>
        <n v="15.2333084" u="1"/>
        <n v="15.366648400000001" u="1"/>
        <n v="15.5666584" u="1"/>
        <n v="14.633278400000002" u="1"/>
        <n v="18.166788400000002" u="1"/>
        <n v="18.300128399999998" u="1"/>
        <n v="18.633478399999998" u="1"/>
        <n v="11.299778400000001" u="1"/>
        <n v="11.233108399999999" u="1"/>
        <n v="11.366448399999999" u="1"/>
        <n v="11.699798400000001" u="1"/>
        <n v="19.633528399999999" u="1"/>
        <n v="19.966878400000002" u="1"/>
        <n v="12.566508400000002" u="1"/>
        <n v="13.299878400000001" u="1"/>
        <n v="13.433218400000001" u="1"/>
        <n v="13.6332284" u="1"/>
        <n v="14.766618400000002" u="1"/>
        <n v="14.966628399999999" u="1"/>
        <n v="13.499888400000001" u="1"/>
        <n v="13.833238400000003" u="1"/>
        <n v="14.833288400000002" u="1"/>
        <n v="15.166638400000004" u="1"/>
        <n v="15.833338399999999" u="1"/>
        <n v="15.966678399999999" u="1"/>
        <n v="12.699848400000002" u="1"/>
        <n v="13.0331984" u="1"/>
        <n v="13.233208400000001" u="1"/>
        <n v="13.366548400000001" u="1"/>
        <n v="13.566558400000002" u="1"/>
        <n v="12.9665284" u="1"/>
        <n v="13.0998684" u="1"/>
        <n v="13.699898400000002" u="1"/>
        <n v="14.0332484" u="1"/>
        <n v="14.566608400000002" u="1"/>
        <n v="17.366748399999999" u="1"/>
        <n v="23.100368400000001" u="1"/>
        <n v="14.1665884" u="1"/>
        <n v="18.766818399999998" u="1"/>
        <n v="18.433468399999999" u="1"/>
        <n v="23.9004084" u="1"/>
        <n v="22.900358400000002" u="1"/>
        <n v="22.567008399999999" u="1"/>
        <n v="20.100218399999999" u="1"/>
        <n v="20.9669284" u="1"/>
        <n v="22.300328399999998" u="1"/>
        <n v="20.300228399999998" u="1"/>
        <n v="11.165642000000002" u="1"/>
        <n v="13.042652000000002" u="1"/>
        <n v="12.840872000000003" u="1"/>
        <n v="10.567141999999999" u="1"/>
        <n v="12.101012000000003" u="1"/>
        <n v="13.602392000000002" u="1"/>
        <n v="14.320592000000001" u="1"/>
        <n v="10.486772" u="1"/>
        <n v="10.011392000000001" u="1"/>
        <n v="10.197554" u="1"/>
        <n v="13.089392000000002" u="1"/>
        <n v="13.291514000000001" u="1"/>
        <n v="11.379392000000001" u="1"/>
        <n v="17.833438400000002" u="1"/>
        <n v="18.500138400000004" u="1"/>
        <n v="19.033498399999999" u="1"/>
        <n v="19.833538399999998" u="1"/>
        <n v="20.166888400000001" u="1"/>
        <n v="20.500238399999997" u="1"/>
        <n v="21.033598399999999" u="1"/>
        <n v="15.766668400000002" u="1"/>
        <n v="16.1000184" u="1"/>
        <n v="16.433368399999999" u="1"/>
        <n v="16.966728399999997" u="1"/>
        <n v="15.6999984" u="1"/>
        <n v="16.366698400000001" u="1"/>
        <n v="16.766718400000002" u="1"/>
        <n v="17.3000784" u="1"/>
        <n v="16.2333584" u="1"/>
        <n v="17.033398399999999" u="1"/>
        <n v="17.566758400000001" u="1"/>
        <n v="17.6334284" u="1"/>
        <n v="17.966778400000003" u="1"/>
        <n v="17.100068399999998" u="1"/>
        <n v="17.433418400000001" u="1"/>
        <n v="18.100118399999999" u="1"/>
        <n v="16.300028399999999" u="1"/>
        <n v="16.633378399999998" u="1"/>
        <n v="9.2330084000000028" u="1"/>
        <n v="18.900158399999999" u="1"/>
        <n v="14.585320000000001" u="1"/>
        <n v="14.326570000000002" u="1"/>
        <n v="13.38932" u="1"/>
        <n v="12.975392000000003" u="1"/>
        <n v="15.033298400000003" u="1"/>
        <n v="17.500088399999999" u="1"/>
        <n v="8.472392000000001" u="1"/>
        <n v="17.1667384" u="1"/>
        <n v="10.609892" u="1"/>
        <n v="7.5662584000000006" u="1"/>
        <n v="16.38286005008322" u="1"/>
        <n v="15.855591894978462" u="1"/>
        <n v="19.348743422547482" u="1"/>
        <n v="24.950967570535536" u="1"/>
        <n v="17.041945243964165" u="1"/>
        <n v="17.569213399068925" u="1"/>
        <n v="8.3420206847356582" u="1"/>
        <n v="8.5320236235118472" u="1"/>
        <n v="15.987408933754653" u="1"/>
        <n v="19.28283490315939" u="1"/>
        <n v="11.769263692916585" u="1"/>
        <n v="12.032897770468965" u="1"/>
        <n v="12.757891483738007" u="1"/>
        <n v="13.746519274559427" u="1"/>
        <n v="15.723774856202272" u="1"/>
        <n v="12.691982964349911" u="1"/>
        <n v="12.556311392667403" u="1"/>
        <n v="13.233207165895918" u="1"/>
        <n v="11.263329237926579" u="1"/>
        <n v="12.207062568737925" u="1"/>
        <n v="11.349528048242634" u="1"/>
        <n v="11.865014369685261" u="1"/>
        <n v="12.685609608141485" u="1"/>
        <n v="11.386146891011531" u="1"/>
        <n v="11.004732806978414" u="1"/>
        <n v="10.838869772527268" u="1"/>
        <n v="8.3077130995375512" u="1"/>
        <n v="10.91853399666236" u="1"/>
        <n v="8.0739732562325504" u="1"/>
        <n v="11.521925668874744" u="1"/>
        <n v="18.705978350738548" u="1"/>
        <n v="10.832335186346304" u="1"/>
        <n v="17.728240011630689" u="1"/>
        <n v="134.31826963053913" u="1"/>
        <n v="8.6773649284449341" u="1"/>
        <n v="12.125317341087127" u="1"/>
        <n v="14.890131962321325" u="1"/>
        <n v="14.494680845992756" u="1"/>
        <n v="14.560589365380853" u="1"/>
        <n v="14.626497884768945" u="1"/>
        <n v="14.758314923545134" u="1"/>
        <n v="15.021949001097514" u="1"/>
        <n v="15.219674559261797" u="1"/>
        <n v="15.549217156202273" u="1"/>
        <n v="13.901504171499903" u="1"/>
        <n v="14.033321210276094" u="1"/>
        <n v="14.231046768440375" u="1"/>
        <n v="13.374236016395145" u="1"/>
        <n v="13.506053055171336" u="1"/>
        <n v="13.703778613335617" u="1"/>
        <n v="12.715150822514197" u="1"/>
        <n v="12.846967861290386" u="1"/>
        <n v="13.044693419454672" u="1"/>
        <n v="11.924248589857061" u="1"/>
        <n v="12.056065628633249" u="1"/>
        <n v="12.253791186797535" u="1"/>
        <n v="12.583333783738007" u="1"/>
        <n v="11.594705992916586" u="1"/>
        <n v="12.451516744961816" u="1"/>
        <n v="12.781059341902292" u="1"/>
        <n v="12.649242303126103" u="1"/>
        <n v="13.176510458230862" u="1"/>
        <n v="14.824223442933231" u="1"/>
        <n v="15.153766039873704" u="1"/>
        <n v="15.681034194978462" u="1"/>
        <n v="15.878759753142745" u="1"/>
        <n v="16.208302350083219" u="1"/>
        <n v="15.944668272530841" u="1"/>
        <n v="16.514677088859408" u="1"/>
        <n v="16.712402647023694" u="1"/>
        <n v="17.701030437845112" u="1"/>
        <n v="17.832847476621303" u="1"/>
        <n v="18.030573034785586" u="1"/>
        <n v="15.064689662321324" u="1"/>
        <n v="15.196506701097514" u="1"/>
        <n v="15.394232259261797" u="1"/>
        <n v="14.471512987828472" u="1"/>
        <n v="17.964664515397491" u="1"/>
        <n v="18.096481554173682" u="1"/>
        <n v="18.426024151114152" u="1"/>
        <n v="11.176087018423733" u="1"/>
        <n v="11.110178499035637" u="1"/>
        <n v="11.241995537811826" u="1"/>
        <n v="11.571538134752302" u="1"/>
        <n v="19.414651941935578" u="1"/>
        <n v="19.744194538876048" u="1"/>
        <n v="12.428348886797535" u="1"/>
        <n v="13.153342600066575" u="1"/>
        <n v="13.285159638842766" u="1"/>
        <n v="13.482885197007047" u="1"/>
        <n v="14.603330026604663" u="1"/>
        <n v="14.801055584768944" u="1"/>
        <n v="13.351068158230861" u="1"/>
        <n v="13.680610755171335" u="1"/>
        <n v="14.669238545992755" u="1"/>
        <n v="14.998781142933231" u="1"/>
        <n v="15.657866336814175" u="1"/>
        <n v="15.789683375590366" u="1"/>
        <n v="12.560165925573724" u="1"/>
        <n v="12.889708522514196" u="1"/>
        <n v="13.087434080678481" u="1"/>
        <n v="13.219251119454672" u="1"/>
        <n v="13.416976677618955" u="1"/>
        <n v="12.823800003126102" u="1"/>
        <n v="12.955617041902292" u="1"/>
        <n v="13.548793716395144" u="1"/>
        <n v="13.878336313335616" u="1"/>
        <n v="14.405604468440375" u="1"/>
        <n v="17.173762282740356" u="1"/>
        <n v="22.841894950116505" u="1"/>
        <n v="14.010153352111807" u="1"/>
        <n v="18.557841189890343" u="1"/>
        <n v="18.228298592949873" u="1"/>
        <n v="23.63279718277364" u="1"/>
        <n v="22.644169391952222" u="1"/>
        <n v="22.314626795011748" u="1"/>
        <n v="19.876011577652235" u="1"/>
        <n v="20.73282232969747" u="1"/>
        <n v="22.050992717459366" u="1"/>
        <n v="20.073737135816522" u="1"/>
        <n v="26.2456" u="1"/>
        <n v="20.5166" u="1"/>
        <n v="19.368600000000001" u="1"/>
        <n v="17.7666" u="1"/>
        <n v="18.296600000000002" u="1"/>
        <n v="22.794600000000003" u="1"/>
        <n v="19.166600000000003" u="1"/>
        <n v="24.9846" u="1"/>
        <n v="22.082599999999999" u="1"/>
        <n v="25.049600000000002" u="1"/>
        <n v="24.18535" u="1"/>
        <n v="11.264600000000002" u="1"/>
        <n v="14.610600000000002" u="1"/>
        <n v="19.685600000000001" u="1"/>
        <n v="9.6262498999999977" u="1"/>
        <n v="9.7538262499999995" u="1"/>
        <n v="9.0500599999999984" u="1"/>
        <n v="10.961633401820388" u="1"/>
        <n v="12.959568606653786" u="1"/>
        <n v="12.754339687222188" u="1"/>
        <n v="10.358241729608004" u="1"/>
        <n v="12.001833649306327" u="1"/>
        <n v="13.41829949582795" u="1"/>
        <n v="14.25935176305391" u="1"/>
        <n v="10.360002293853537" u="1"/>
        <n v="9.7979494625536478" u="1"/>
        <n v="10.065840842668244" u="1"/>
        <n v="12.90110663393162" u="1"/>
        <n v="13.212684273952757" u="1"/>
        <n v="11.177130427610525" u="1"/>
        <n v="17.635121918457017" u="1"/>
        <n v="18.294207112337968" u="1"/>
        <n v="18.821475267442722" u="1"/>
        <n v="19.612377500099861" u="1"/>
        <n v="19.941920097040335" u="1"/>
        <n v="20.271462693980808" u="1"/>
        <n v="20.798730849085565" u="1"/>
        <n v="15.591957817426083" u="1"/>
        <n v="15.921500414366555" u="1"/>
        <n v="16.251043011307029" u="1"/>
        <n v="16.778311166411786" u="1"/>
        <n v="15.526049298037986" u="1"/>
        <n v="16.185134491918934" u="1"/>
        <n v="16.580585608247503" u="1"/>
        <n v="17.10785376335226" u="1"/>
        <n v="16.053317453142743" u="1"/>
        <n v="16.844219685799882" u="1"/>
        <n v="17.371487840904642" u="1"/>
        <n v="17.437396360292734" u="1"/>
        <n v="17.766938957233208" u="1"/>
        <n v="16.910128205187974" u="1"/>
        <n v="17.239670802128451" u="1"/>
        <n v="17.898755996009399" u="1"/>
        <n v="16.119225972530838" u="1"/>
        <n v="16.448768569471312" u="1"/>
        <n v="9.1329229173927953" u="1"/>
        <n v="18.689658228666531" u="1"/>
        <n v="14.493003966650969" u="1"/>
        <n v="14.226404886351018" u="1"/>
        <n v="13.260723773264527" u="1"/>
        <n v="14.3888" u="1"/>
        <n v="12.571429999999999" u="1"/>
        <n v="17.455460000000002" u="1"/>
        <n v="19.425380000000001" u="1"/>
        <n v="17.009000000000004" u="1"/>
        <n v="9.6175999999999995" u="1"/>
        <n v="10.775600000000001" u="1"/>
        <n v="12.891158966843253" u="1"/>
        <n v="14.866964104157042" u="1"/>
        <n v="17.305579321516543" u="1"/>
        <n v="8.2463708768646597" u="1"/>
        <n v="16.976036724576069" u="1"/>
        <n v="10.401341134766032" u="1"/>
        <n v="7.4852099326904256" u="1"/>
        <n v="15.667043300000001" u="1"/>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n v="15.197635275243771" u="1"/>
        <n v="15.480813979673359" u="1"/>
        <n v="16.047171388532533" u="1"/>
        <n v="11.759507386815377" u="1"/>
        <n v="13.311219105768961" u="1"/>
        <n v="11.411677100977396" u="1"/>
        <n v="13.095043863738807" u="1"/>
        <n v="10.976889243679922" u="1"/>
        <n v="12.302401309628248" u="1"/>
        <n v="13.237786101626797" u="1"/>
        <n v="13.022985449728758" u="1"/>
        <n v="12.158284481608147" u="1"/>
        <n v="10.716016529301434" u="1"/>
        <n v="10.572999373387024" u="1"/>
        <n v="9.5855681003280004" u="1"/>
        <n v="10.263148193143806" u="1"/>
        <n v="13.599452761809166" u="1"/>
        <n v="12.716040672869823" u="1"/>
        <n v="13.577835237606147" u="1"/>
        <n v="12.368210387031843" u="1"/>
        <n v="11.585592243896388" u="1"/>
        <n v="12.5185765516584" u="1"/>
        <n v="11.150804386598912" u="1"/>
        <n v="12.498646744221089" u="1"/>
        <n v="11.65387558353779" u="1"/>
        <n v="11.324719529517903" u="1"/>
        <n v="12.542125529950836" u="1"/>
        <n v="11.077408271457381" u="1"/>
        <n v="8.4112469530854987" u="1"/>
        <n v="18.283249672462478" u="1"/>
        <n v="17.706782360382068" u="1"/>
        <n v="20.766065181145059" u="1"/>
        <n v="26.783612650273781" u="1"/>
        <n v="18.288251517386172" u="1"/>
        <n v="17.580304756312202" u="1"/>
        <n v="18.854608926245344" u="1"/>
        <n v="19.350171658997123" u="1"/>
        <n v="19.704145039534104" u="1"/>
        <n v="15.527259149197695" u="1"/>
        <n v="15.314875120875504" u="1"/>
        <n v="15.456464473090296" u="1"/>
        <n v="13.332624189868397" u="1"/>
        <n v="13.47421354208319" u="1"/>
        <n v="13.828186922620173" u="1"/>
        <n v="14.465339007586742" u="1"/>
        <n v="14.819312388123727" u="1"/>
        <n v="16.235205910271663" u="1"/>
        <n v="14.677723035908935" u="1"/>
        <n v="15.031696416445916" u="1"/>
        <n v="15.952027205842075" u="1"/>
        <n v="16.093616558056873" u="1"/>
        <n v="16.447589938593854" u="1"/>
        <n v="13.403418865975793" u="1"/>
        <n v="13.545008218190585" u="1"/>
        <n v="13.969776274834967" u="1"/>
        <n v="14.111365627049759" u="1"/>
        <n v="13.686597570405381" u="1"/>
        <n v="14.182160303157158" u="1"/>
        <n v="14.606928359801534" u="1"/>
        <n v="15.616939925884274" u="1"/>
        <n v="15.328845283407118" u="1"/>
        <n v="12.62908310141033" u="1"/>
        <n v="8.9433542712097989" u="1"/>
        <n v="19.364125882613237" u="1"/>
        <n v="11.498634672436893" u="1"/>
        <n v="11.063846815139415" u="1"/>
        <n v="17.585664674601553" u="1"/>
        <n v="14.285302467323191" u="1"/>
        <n v="18.643541742512731" u="1"/>
        <n v="8.4551196713545629" u="1"/>
        <n v="9.1476217973376368" u="1"/>
        <n v="9.3246953859495161" u="1"/>
        <n v="18.095680103731098" u="1"/>
        <n v="18.451458410379136" u="1"/>
        <n v="18.807236717027163" u="1"/>
        <n v="19.376482007664009" u="1"/>
        <n v="20.230349943619284" u="1"/>
        <n v="20.586128250267311" u="1"/>
        <n v="20.941906556915342" u="1"/>
        <n v="21.511151847552192" u="1"/>
        <n v="15.889854602513315" u="1"/>
        <n v="16.245632909161348" u="1"/>
        <n v="16.601411215809375" u="1"/>
        <n v="17.170656506446221" u="1"/>
        <n v="12.687849842681045" u="1"/>
        <n v="16.743722538468585" u="1"/>
        <n v="17.099500845116619" u="1"/>
        <n v="17.45527915176465" u="1"/>
        <n v="18.024524442401496" u="1"/>
        <n v="16.957189522457405" u="1"/>
        <n v="17.526434813094255" u="1"/>
        <n v="17.312967829105435" u="1"/>
        <n v="17.882213119742282" u="1"/>
        <n v="18.237991426390312" u="1"/>
        <n v="19.305326346334404" u="1"/>
        <n v="16.459099893150164" u="1"/>
        <n v="16.814878199798194" u="1"/>
        <n v="17.739901797083071" u="1"/>
        <n v="14.609052698580406" u="1"/>
        <n v="15.961010263842919" u="1"/>
        <n v="15.818698941183708" u="1"/>
        <n v="21.653463170211399" u="1"/>
        <n v="9.8416233894968066" u="1"/>
        <n v="12.97247248799947" u="1"/>
        <n v="13.3282507946475" u="1"/>
        <n v="14.395585714591588" u="1"/>
        <n v="17.384123490435044" u="1"/>
        <n v="23.503510364781157" u="1"/>
        <n v="15.035986666558044" u="1"/>
        <n v="13.968651746613952" u="1"/>
        <n v="16.103321586502133" u="1"/>
        <n v="19.163015023675197" u="1"/>
        <n v="20.159194282289675" u="1"/>
        <n v="25.495868882010122" u="1"/>
        <n v="24.428533962066034" u="1"/>
        <n v="24.072755655418007" u="1"/>
        <n v="22.365019783507464" u="1"/>
        <n v="19.87457163697125" u="1"/>
        <n v="19.732260314312043" u="1"/>
        <n v="14.420059380398587" u="1"/>
        <n v="14.5623707030578" u="1"/>
        <n v="14.775837687046618" u="1"/>
        <n v="15.131615993694648" u="1"/>
        <n v="13.068101815136075" u="1"/>
        <n v="13.210413137795285" u="1"/>
        <n v="13.423880121784105" u="1"/>
        <n v="13.779658428432134" u="1"/>
        <n v="12.285389540510408" u="1"/>
        <n v="12.427700863169621" u="1"/>
        <n v="12.641167847158437" u="1"/>
        <n v="12.996946153806469" u="1"/>
        <n v="12.498856524499226" u="1"/>
        <n v="12.854634831147257" u="1"/>
        <n v="12.925790492476862" u="1"/>
        <n v="13.281568799124893" u="1"/>
        <n v="13.637347105772921" u="1"/>
        <n v="15.060460332365041" u="1"/>
        <n v="15.202771655024252" u="1"/>
        <n v="15.416238639013073" u="1"/>
        <n v="15.7720169456611" u="1"/>
        <n v="16.19895091363874" u="1"/>
        <n v="16.34126223629795" u="1"/>
        <n v="16.554729220286767" u="1"/>
        <n v="16.910507526934801" u="1"/>
        <n v="17.195130172253226" u="1"/>
        <n v="14.989304671035436" u="1"/>
        <n v="15.273927316353861" u="1"/>
        <n v="15.558549961672284" u="1"/>
        <n v="16.127795252309134" u="1"/>
        <n v="11.715747344040254" u="1"/>
        <n v="13.375886623556662" u="1"/>
        <n v="11.369284559538999" u="1"/>
        <n v="13.15860909429149" u="1"/>
        <n v="10.936206078912422" u="1"/>
        <n v="12.361924820319199" u="1"/>
        <n v="13.1882141781706" u="1"/>
        <n v="13.086183251203101" u="1"/>
        <n v="12.217073134142423" u="1"/>
        <n v="10.67635899053648" u="1"/>
        <n v="10.623704586197837" u="1"/>
        <n v="9.5503549409073916" u="1"/>
        <n v="10.312273460917758" u="1"/>
        <n v="13.665589995910221" u="1"/>
        <n v="12.668520001418715" u="1"/>
        <n v="13.643862242983706" u="1"/>
        <n v="12.322057216917456" u="1"/>
        <n v="11.542515951789627" u="1"/>
        <n v="12.579202349584371" u="1"/>
        <n v="11.109437471163051" u="1"/>
        <n v="12.451980761105427" u="1"/>
        <n v="11.710092232523687" u="1"/>
        <n v="11.282668863413683" u="1"/>
        <n v="12.495288609168083" u="1"/>
        <n v="11.130685487816567" u="1"/>
        <n v="8.4509292935461335" u="1"/>
        <n v="18.373269796655585" u="1"/>
        <n v="17.79386305194846" u="1"/>
        <n v="20.870750895585733" u="1"/>
        <n v="26.918982108602247" u="1"/>
        <n v="18.380302749049527" u="1"/>
        <n v="17.668746135753466" u="1"/>
        <n v="18.949548039686373" u="1"/>
        <n v="19.447637668993618" u="1"/>
        <n v="19.803415975641645" u="1"/>
        <n v="15.605231957194892" u="1"/>
        <n v="15.391764973206071" u="1"/>
        <n v="15.534076295865285" u="1"/>
        <n v="13.399406455977104" u="1"/>
        <n v="13.541717778636318" u="1"/>
        <n v="13.897496085284347" u="1"/>
        <n v="14.537897037250799" u="1"/>
        <n v="14.893675343898831" u="1"/>
        <n v="16.316788570490953" u="1"/>
        <n v="14.751364021239619" u="1"/>
        <n v="15.107142327887647" u="1"/>
        <n v="16.032165925172528" u="1"/>
        <n v="16.174477247831742" u="1"/>
        <n v="16.530255554479769" u="1"/>
        <n v="13.470562117306711" u="1"/>
        <n v="13.612873439965924" u="1"/>
        <n v="14.039807407943558" u="1"/>
        <n v="14.182118730602772" u="1"/>
        <n v="13.755184762625134" u="1"/>
        <n v="14.253274391932376" u="1"/>
        <n v="14.680208359910011" u="1"/>
        <n v="15.569618243297279" u="1"/>
        <n v="15.282492425076907" u="1"/>
        <n v="12.581904305293401" u="1"/>
        <n v="8.9877554535415349" u="1"/>
        <n v="19.459657442981435" u="1"/>
        <n v="11.455900255664313" u="1"/>
        <n v="11.022821775037738" u="1"/>
        <n v="17.518998984436326" u="1"/>
        <n v="14.242458905745337" u="1"/>
        <n v="18.735399012097531" u="1"/>
        <n v="8.4243508912783032" u="1"/>
        <n v="9.1930645489280209" u="1"/>
        <n v="9.290507852531448" u="1"/>
        <n v="18.664925394367948" u="1"/>
        <n v="19.020703701015982" u="1"/>
        <n v="19.945727298300859" u="1"/>
        <n v="20.799595234256131" u="1"/>
        <n v="21.155373540904161" u="1"/>
        <n v="22.080397138189035" u="1"/>
        <n v="18.593769733038343" u="1"/>
        <n v="17.02834518378701" u="1"/>
        <n v="18.309147087719921" u="1"/>
        <n v="15.46292063453568" u="1"/>
        <n v="24.570845284725248" u="1"/>
        <n v="21.297684863563372" u="1"/>
        <n v="23.432354703451551" u="1"/>
        <n v="18.794921064312589" u="1"/>
        <n v="19.153208939878471" u="1"/>
        <n v="19.51149681544435" u="1"/>
        <n v="20.084757416349756" u="1"/>
        <n v="20.94464831770787" u="1"/>
        <n v="21.302936193273752" u="1"/>
        <n v="21.66122406883963" u="1"/>
        <n v="22.234484669745036" u="1"/>
        <n v="16.716851386030481" u="1"/>
        <n v="17.075139261596362" u="1"/>
        <n v="17.433427137162241" u="1"/>
        <n v="18.006687738067651" u="1"/>
        <n v="12.7756847548058" u="1"/>
        <n v="17.791715012728126" u="1"/>
        <n v="18.150002888294008" u="1"/>
        <n v="18.723263489199415" u="1"/>
        <n v="18.364975613633533" u="1"/>
        <n v="18.221660463407183" u="1"/>
        <n v="18.579948338973061" u="1"/>
        <n v="18.938236214538939" u="1"/>
        <n v="17.863372587841297" u="1"/>
        <n v="19.439839240331175" u="1"/>
        <n v="17.146796836709537" u="1"/>
        <n v="17.505084712275419" u="1"/>
        <n v="18.436633188746708" u="1"/>
        <n v="14.710439282861554" u="1"/>
        <n v="16.071933210011899" u="1"/>
        <n v="15.928618059785546" u="1"/>
        <n v="21.804539219065983" u="1"/>
        <n v="9.9093817502787616" u="1"/>
        <n v="14.137178681956145" u="1"/>
        <n v="14.495466557522025" u="1"/>
        <n v="15.570330184219667" u="1"/>
        <n v="24.742499798706199" u="1"/>
        <n v="16.215248360238252" u="1"/>
        <n v="15.140384733540611" u="1"/>
        <n v="17.290111986935891" u="1"/>
        <n v="20.371387716802463" u="1"/>
        <n v="20.013099841236581" u="1"/>
        <n v="21.087963467934223" u="1"/>
        <n v="20.299730141689285" u="1"/>
        <n v="25.674048275177487" u="1"/>
        <n v="24.599184648479845" u="1"/>
        <n v="24.240896772913967" u="1"/>
        <n v="22.521114970197743" u="1"/>
        <n v="21.446251343500101" u="1"/>
        <n v="23.595978596895378" u="1"/>
        <n v="14.520112854290126" u="1"/>
        <n v="14.663428004516478" u="1"/>
        <n v="14.878400729856004" u="1"/>
        <n v="15.236688605421886" u="1"/>
        <n v="13.158618927139782" u="1"/>
        <n v="13.301934077366132" u="1"/>
        <n v="13.516906802705661" u="1"/>
        <n v="13.875194678271541" u="1"/>
        <n v="12.370385600894846" u="1"/>
        <n v="12.513700751121196" u="1"/>
        <n v="12.728673476460726" u="1"/>
        <n v="13.086961352026606" u="1"/>
        <n v="12.585358326234372" u="1"/>
        <n v="12.943646201800252" u="1"/>
        <n v="13.015303776913429" u="1"/>
        <n v="13.373591652479309" u="1"/>
        <n v="13.731879528045189" u="1"/>
        <n v="15.165031030308707" u="1"/>
        <n v="15.308346180535061" u="1"/>
        <n v="15.523318905874591" u="1"/>
        <n v="15.881606781440469" u="1"/>
        <n v="16.311552232119528" u="1"/>
        <n v="16.454867382345881" u="1"/>
        <n v="16.669840107685406" u="1"/>
        <n v="17.028127983251288" u="1"/>
        <n v="17.314758283703991" u="1"/>
        <n v="15.093373455195534" u="1"/>
        <n v="15.380003755648239" u="1"/>
        <n v="15.666634056100943" u="1"/>
        <n v="16.239894657006349" u="1"/>
        <n v="11.804044202305604" u="1"/>
        <n v="13.465800327858092" u="1"/>
        <n v="11.454822140983552" u="1"/>
        <n v="13.246990178633238" u="1"/>
        <n v="11.01829456433099" u="1"/>
        <n v="12.444686298142106" u="1"/>
        <n v="13.288237962924317" u="1"/>
        <n v="13.174053462224952" u="1"/>
        <n v="12.298812865325539" u="1"/>
        <n v="10.756378018339452" u="1"/>
        <n v="10.694205104343277" u="1"/>
        <n v="9.6214063190427925" u="1"/>
        <n v="10.380577223787652" u="1"/>
        <n v="13.757547193491227" u="1"/>
        <n v="12.764404870941243" u="1"/>
        <n v="13.735666178568744" u="1"/>
        <n v="12.415182809619191" u="1"/>
        <n v="11.629433171644578" u="1"/>
        <n v="12.663496447366958" u="1"/>
        <n v="11.192905594992016" u="1"/>
        <n v="12.546141082614962" u="1"/>
        <n v="11.788255850467547" u="1"/>
        <n v="11.367516625653041" u="1"/>
        <n v="12.589793840280217" u="1"/>
        <n v="11.204762119201266" u="1"/>
        <n v="8.5061036120947371" u="1"/>
        <n v="18.49843376002973" u="1"/>
        <n v="17.914940028763453" u="1"/>
        <n v="21.016305892821045" u="1"/>
        <n v="27.107199777441007" u="1"/>
        <n v="18.508290763859883" u="1"/>
        <n v="19.081551364765293" u="1"/>
        <n v="19.224866514991646" u="1"/>
        <n v="19.583154390557528" u="1"/>
        <n v="20.514702867028817" u="1"/>
        <n v="20.658018017255166" u="1"/>
        <n v="17.648399862501773" u="1"/>
        <n v="15.713645334446019" u="1"/>
        <n v="15.856960484672371" u="1"/>
        <n v="14.92541200820108" u="1"/>
        <n v="18.078345313180829" u="1"/>
        <n v="19.654811965670703" u="1"/>
        <n v="15.355357458880135" u="1"/>
        <n v="15.498672609106489" u="1"/>
        <n v="16.788508961143659" u="1"/>
        <n v="16.931824111370013" u="1"/>
        <n v="14.280493832182497" u="1"/>
        <n v="14.423808982408849" u="1"/>
        <n v="14.782096857974729" u="1"/>
        <n v="14.853754433087905" u="1"/>
        <n v="14.997069583314257" u="1"/>
        <n v="14.20883625706932" u="1"/>
        <n v="14.352151407295674" u="1"/>
        <n v="15.777350039000657" u="1"/>
        <n v="15.485971295026577" u="1"/>
        <n v="12.677099355610729" u="1"/>
        <n v="9.049490848920648" u="1"/>
        <n v="19.592484506154001" u="1"/>
        <n v="11.542127656314067" u="1"/>
        <n v="11.105600079661505" u="1"/>
        <n v="17.653513729449948" u="1"/>
        <n v="14.430532733520462" u="1"/>
        <n v="18.863117342071153" u="1"/>
        <n v="8.4864346197461273" u="1"/>
        <n v="9.2562481420041447" u="1"/>
        <n v="9.3594897730512532" u="1"/>
        <n v="15.594976480987764" u="1"/>
        <n v="15.953264356553648" u="1"/>
        <n v="14.018509828497892" u="1"/>
        <n v="14.233482553837421" u="1"/>
        <n v="14.591770429403301" u="1"/>
        <n v="13.230276502252959" u="1"/>
        <n v="13.445249227592486" u="1"/>
        <n v="13.803537103158364" u="1"/>
        <n v="13.660221952932012" u="1"/>
        <n v="14.090167403611069" u="1"/>
        <n v="14.448455279176947" u="1"/>
        <n v="16.024921931666825" u="1"/>
        <n v="16.598182532572231" u="1"/>
        <n v="17.171443133477641" u="1"/>
        <n v="17.386415858817166" u="1"/>
        <n v="17.744703734383048" u="1"/>
        <n v="15.809949206327294" u="1"/>
        <n v="16.096579506780003" u="1"/>
        <n v="16.383209807232703" u="1"/>
        <n v="16.956470408138109" u="1"/>
        <n v="17.003481686483184" u="1"/>
        <n v="18.797293159312588" u="1"/>
        <n v="19.15558103487847" u="1"/>
        <n v="19.513868910444348" u="1"/>
        <n v="20.087129511349755" u="1"/>
        <n v="20.947020412707868" u="1"/>
        <n v="21.30530828827375" u="1"/>
        <n v="21.663596163839628" u="1"/>
        <n v="22.236856764745035" u="1"/>
        <n v="16.719223481030483" u="1"/>
        <n v="17.077511356596364" u="1"/>
        <n v="17.435799232162243" u="1"/>
        <n v="18.009059833067653" u="1"/>
        <n v="12.7780568498058" u="1"/>
        <n v="17.794087107728124" u="1"/>
        <n v="18.152374983294006" u="1"/>
        <n v="18.725635584199413" u="1"/>
        <n v="18.367347708633531" u="1"/>
        <n v="18.224032558407181" u="1"/>
        <n v="18.582320433973059" u="1"/>
        <n v="18.940608309538938" u="1"/>
        <n v="17.865744682841299" u="1"/>
        <n v="19.442211335331173" u="1"/>
        <n v="17.149168931709539" u="1"/>
        <n v="17.507456807275421" u="1"/>
        <n v="18.439005283746706" u="1"/>
        <n v="14.712811377861554" u="1"/>
        <n v="16.074305305011897" u="1"/>
        <n v="15.930990154785546" u="1"/>
        <n v="21.806911314065982" u="1"/>
        <n v="9.9117538452787617" u="1"/>
        <n v="14.139550776956145" u="1"/>
        <n v="14.497838652522026" u="1"/>
        <n v="15.572702279219667" u="1"/>
        <n v="24.744871893706197" u="1"/>
        <n v="16.217620455238251" u="1"/>
        <n v="15.142756828540611" u="1"/>
        <n v="17.292484081935893" u="1"/>
        <n v="20.373759811802461" u="1"/>
        <n v="20.01547193623658" u="1"/>
        <n v="21.090335562934222" u="1"/>
        <n v="20.302102236689283" u="1"/>
        <n v="25.676420370177485" u="1"/>
        <n v="24.601556743479843" u="1"/>
        <n v="24.243268867913965" u="1"/>
        <n v="22.523487065197742" u="1"/>
        <n v="21.4486234385001" u="1"/>
        <n v="23.598350691895376" u="1"/>
        <n v="15.239060700421886" u="1"/>
        <n v="15.38237585064824" u="1"/>
        <n v="15.597348575987764" u="1"/>
        <n v="15.955636451553646" u="1"/>
        <n v="13.877566773271541" u="1"/>
        <n v="14.020881923497894" u="1"/>
        <n v="14.235854648837421" u="1"/>
        <n v="14.594142524403301" u="1"/>
        <n v="13.089333447026606" u="1"/>
        <n v="13.232648597252959" u="1"/>
        <n v="13.447621322592486" u="1"/>
        <n v="13.805909198158364" u="1"/>
        <n v="13.304306172366132" u="1"/>
        <n v="13.662594047932012" u="1"/>
        <n v="13.734251623045189" u="1"/>
        <n v="14.092539498611069" u="1"/>
        <n v="14.450827374176948" u="1"/>
        <n v="15.883978876440468" u="1"/>
        <n v="16.027294026666823" u="1"/>
        <n v="16.242266752006351" u="1"/>
        <n v="16.600554627572233" u="1"/>
        <n v="17.03050007825129" u="1"/>
        <n v="17.17381522847764" u="1"/>
        <n v="17.388787953817168" u="1"/>
        <n v="17.74707582938305" u="1"/>
        <n v="17.317130378703993" u="1"/>
        <n v="15.812321301327295" u="1"/>
        <n v="16.098951601780001" u="1"/>
        <n v="16.385581902232701" u="1"/>
        <n v="16.958842503138111" u="1"/>
        <n v="11.817366442305605" u="1"/>
        <n v="13.47912256785809" u="1"/>
        <n v="11.468144380983553" u="1"/>
        <n v="13.260312418633237" u="1"/>
        <n v="11.031616804330991" u="1"/>
        <n v="12.458008538142106" u="1"/>
        <n v="13.301560202924318" u="1"/>
        <n v="13.187375702224953" u="1"/>
        <n v="12.312135105325538" u="1"/>
        <n v="10.769700258339453" u="1"/>
        <n v="10.707527344343275" u="1"/>
        <n v="9.6347285590427933" u="1"/>
        <n v="10.393899463787653" u="1"/>
        <n v="13.770869433491228" u="1"/>
        <n v="12.777727110941242" u="1"/>
        <n v="13.748988418568743" u="1"/>
        <n v="12.428505049619192" u="1"/>
        <n v="11.642755411644579" u="1"/>
        <n v="12.676818687366959" u="1"/>
        <n v="11.206227834992017" u="1"/>
        <n v="12.559463322614961" u="1"/>
        <n v="11.801578090467546" u="1"/>
        <n v="11.380838865653041" u="1"/>
        <n v="12.603116080280216" u="1"/>
        <n v="11.218084359201267" u="1"/>
        <n v="8.5194258520947379" u="1"/>
        <n v="18.511756000029731" u="1"/>
        <n v="17.928262268763454" u="1"/>
        <n v="21.018677987821043" u="1"/>
        <n v="27.109571872441006" u="1"/>
        <n v="18.510662858859881" u="1"/>
        <n v="19.083923459765291" u="1"/>
        <n v="19.227238609991645" u="1"/>
        <n v="19.585526485557526" u="1"/>
        <n v="20.517074962028815" u="1"/>
        <n v="20.660390112255165" u="1"/>
        <n v="17.650771957501775" u="1"/>
        <n v="15.716017429446019" u="1"/>
        <n v="15.859332579672371" u="1"/>
        <n v="14.927784103201079" u="1"/>
        <n v="17.005853781483186" u="1"/>
        <n v="15.357729553880135" u="1"/>
        <n v="15.501044704106489" u="1"/>
        <n v="16.790881056143661" u="1"/>
        <n v="16.934196206370011" u="1"/>
        <n v="14.282865927182497" u="1"/>
        <n v="14.426181077408849" u="1"/>
        <n v="14.784468952974729" u="1"/>
        <n v="14.856126528087906" u="1"/>
        <n v="14.999441678314257" u="1"/>
        <n v="14.211208352069322" u="1"/>
        <n v="14.354523502295674" u="1"/>
        <n v="15.813235955667324" u="1"/>
        <n v="15.521857211693243" u="1"/>
        <n v="12.690421595610729" u="1"/>
        <n v="9.0518629439206482" u="1"/>
        <n v="19.605806746154002" u="1"/>
        <n v="11.555449896314066" u="1"/>
        <n v="11.118922319661504" u="1"/>
        <n v="17.666835969449945" u="1"/>
        <n v="14.466418650187128" u="1"/>
        <n v="18.876439582071153" u="1"/>
        <n v="8.4997568597461264" u="1"/>
        <n v="9.2586202370041448" u="1"/>
        <n v="9.372812013051254" u="1"/>
        <n v="18.796824889312589" u="1"/>
        <n v="19.155112764878471" u="1"/>
        <n v="19.513400640444349" u="1"/>
        <n v="20.086661241349756" u="1"/>
        <n v="20.946552142707869" u="1"/>
        <n v="21.304840018273751" u="1"/>
        <n v="21.663127893839629" u="1"/>
        <n v="22.236388494745036" u="1"/>
        <n v="16.718755211030484" u="1"/>
        <n v="17.077043086596365" u="1"/>
        <n v="17.435330962162244" u="1"/>
        <n v="18.008591563067654" u="1"/>
        <n v="12.777588579805801" u="1"/>
        <n v="17.793618837728125" u="1"/>
        <n v="18.151906713294007" u="1"/>
        <n v="18.725167314199414" u="1"/>
        <n v="18.366879438633532" u="1"/>
        <n v="18.223564288407182" u="1"/>
        <n v="18.58185216397306" u="1"/>
        <n v="18.940140039538939" u="1"/>
        <n v="17.8652764128413" u="1"/>
        <n v="19.441743065331174" u="1"/>
        <n v="17.14870066170954" u="1"/>
        <n v="17.506988537275422" u="1"/>
        <n v="18.438537013746707" u="1"/>
        <n v="14.712343107861555" u="1"/>
        <n v="16.073837035011898" u="1"/>
        <n v="15.930521884785547" u="1"/>
        <n v="21.806443044065983" u="1"/>
        <n v="9.9112855752787627" u="1"/>
        <n v="14.139082506956147" u="1"/>
        <n v="14.497370382522027" u="1"/>
        <n v="15.572234009219668" u="1"/>
        <n v="24.744403623706198" u="1"/>
        <n v="16.217152185238252" u="1"/>
        <n v="15.142288558540612" u="1"/>
        <n v="17.292015811935894" u="1"/>
        <n v="20.373291541802462" u="1"/>
        <n v="20.015003666236581" u="1"/>
        <n v="21.089867292934223" u="1"/>
        <n v="20.301633966689284" u="1"/>
        <n v="25.675952100177486" u="1"/>
        <n v="24.601088473479845" u="1"/>
        <n v="24.242800597913966" u="1"/>
        <n v="22.523018795197743" u="1"/>
        <n v="21.448155168500101" u="1"/>
        <n v="23.597882421895378" u="1"/>
        <n v="15.238592430421887" u="1"/>
        <n v="15.381907580648241" u="1"/>
        <n v="15.596880305987765" u="1"/>
        <n v="15.955168181553647" u="1"/>
        <n v="13.877098503271542" u="1"/>
        <n v="14.020413653497895" u="1"/>
        <n v="14.235386378837422" u="1"/>
        <n v="14.593674254403302" u="1"/>
        <n v="13.088865177026607" u="1"/>
        <n v="13.23218032725296" u="1"/>
        <n v="13.447153052592487" u="1"/>
        <n v="13.805440928158365" u="1"/>
        <n v="13.303837902366134" u="1"/>
        <n v="13.662125777932014" u="1"/>
        <n v="13.73378335304519" u="1"/>
        <n v="14.09207122861107" u="1"/>
        <n v="14.450359104176949" u="1"/>
        <n v="15.883510606440469" u="1"/>
        <n v="16.026825756666824" u="1"/>
        <n v="16.241798482006352" u="1"/>
        <n v="16.600086357572234" u="1"/>
        <n v="17.030031808251291" u="1"/>
        <n v="17.173346958477641" u="1"/>
        <n v="17.388319683817169" u="1"/>
        <n v="17.746607559383051" u="1"/>
        <n v="17.316662108703994" u="1"/>
        <n v="15.811853031327296" u="1"/>
        <n v="16.098483331780002" u="1"/>
        <n v="16.385113632232702" u="1"/>
        <n v="16.958374233138112" u="1"/>
        <n v="11.819209642305605" u="1"/>
        <n v="13.480965767858089" u="1"/>
        <n v="11.469987580983553" u="1"/>
        <n v="13.262155618633237" u="1"/>
        <n v="11.033460004330991" u="1"/>
        <n v="12.459851738142106" u="1"/>
        <n v="13.303403402924317" u="1"/>
        <n v="13.189218902224953" u="1"/>
        <n v="12.313978305325538" u="1"/>
        <n v="10.771543458339453" u="1"/>
        <n v="10.709370544343274" u="1"/>
        <n v="9.6365717590427931" u="1"/>
        <n v="10.395742663787653" u="1"/>
        <n v="13.772712633491228" u="1"/>
        <n v="12.779570310941242" u="1"/>
        <n v="13.750831618568743" u="1"/>
        <n v="12.430348249619191" u="1"/>
        <n v="11.644598611644579" u="1"/>
        <n v="12.678661887366959" u="1"/>
        <n v="11.208071034992017" u="1"/>
        <n v="12.561306522614961" u="1"/>
        <n v="11.803421290467545" u="1"/>
        <n v="11.382682065653041" u="1"/>
        <n v="12.604959280280216" u="1"/>
        <n v="11.219927559201267" u="1"/>
        <n v="8.5212690520947376" u="1"/>
        <n v="18.513599200029731" u="1"/>
        <n v="17.930105468763454" u="1"/>
        <n v="21.018209717821044" u="1"/>
        <n v="27.109103602441007" u="1"/>
        <n v="18.510194588859882" u="1"/>
        <n v="19.083455189765292" u="1"/>
        <n v="19.226770339991646" u="1"/>
        <n v="19.585058215557527" u="1"/>
        <n v="20.516606692028816" u="1"/>
        <n v="20.659921842255166" u="1"/>
        <n v="17.650303687501776" u="1"/>
        <n v="15.71554915944602" u="1"/>
        <n v="15.858864309672372" u="1"/>
        <n v="14.92731583320108" u="1"/>
        <n v="17.005385511483187" u="1"/>
        <n v="15.357261283880137" u="1"/>
        <n v="15.50057643410649" u="1"/>
        <n v="16.790412786143662" u="1"/>
        <n v="16.933727936370012" u="1"/>
        <n v="14.282397657182498" u="1"/>
        <n v="14.42571280740885" u="1"/>
        <n v="14.78400068297473" u="1"/>
        <n v="14.855658258087907" u="1"/>
        <n v="14.998973408314258" u="1"/>
        <n v="14.210740082069323" u="1"/>
        <n v="14.354055232295675" u="1"/>
        <n v="15.818200955667324" u="1"/>
        <n v="15.526822211693244" u="1"/>
        <n v="12.692264795610729" u="1"/>
        <n v="9.0513946739206474" u="1"/>
        <n v="19.607649946154002" u="1"/>
        <n v="11.557293096314066" u="1"/>
        <n v="11.120765519661504" u="1"/>
        <n v="17.668679169449945" u="1"/>
        <n v="14.471383650187128" u="1"/>
        <n v="18.878282782071153" u="1"/>
        <n v="8.5016000597461261" u="1"/>
        <n v="9.2581519670041459" u="1"/>
        <n v="9.3746552130512537" u="1"/>
        <n v="19.119771782305001" u="1"/>
        <n v="19.484294153874597" u="1"/>
        <n v="19.848816525444189" u="1"/>
        <n v="20.432052319955542" u="1"/>
        <n v="21.306906011722567" u="1"/>
        <n v="21.671428383292163" u="1"/>
        <n v="22.035950754861759" u="1"/>
        <n v="22.619186549373104" u="1"/>
        <n v="17.005542027201351" u="1"/>
        <n v="17.370064398770946" u="1"/>
        <n v="17.734586770340542" u="1"/>
        <n v="18.317822564851895" u="1"/>
        <n v="12.995795939935812" u="1"/>
        <n v="18.099109141910137" u="1"/>
        <n v="18.463631513479733" u="1"/>
        <n v="19.046867307991082" u="1"/>
        <n v="18.682344936421487" u="1"/>
        <n v="18.536535987793648" u="1"/>
        <n v="18.901058359363248" u="1"/>
        <n v="19.26558073093284" u="1"/>
        <n v="18.172013616224056" u="1"/>
        <n v="19.775912051130273" u="1"/>
        <n v="17.442968873084865" u="1"/>
        <n v="17.807491244654464" u="1"/>
        <n v="18.755249410735409" u="1"/>
        <n v="14.964216746411621" u="1"/>
        <n v="16.349401758376082" u="1"/>
        <n v="16.203592809748244" u="1"/>
        <n v="22.181759703489597" u="1"/>
        <n v="10.079616967379055" u="1"/>
        <n v="14.38098095190027" u="1"/>
        <n v="14.745503323469864" u="1"/>
        <n v="15.839070438178648" u="1"/>
        <n v="25.17084315036027" u="1"/>
        <n v="16.49521070700392" u="1"/>
        <n v="15.401643592295136" u="1"/>
        <n v="17.588777821712704" u="1"/>
        <n v="20.723670217211218" u="1"/>
        <n v="20.359147845641623" u="1"/>
        <n v="21.452714960350406" u="1"/>
        <n v="20.650765742897295" u="1"/>
        <n v="26.118601316441215" u="1"/>
        <n v="25.025034201732431" u="1"/>
        <n v="24.660511830162839" u="1"/>
        <n v="22.910804446628784" u="1"/>
        <n v="21.817237331919998" u="1"/>
        <n v="24.004371561337567" u="1"/>
        <n v="15.499623228681246" u="1"/>
        <n v="15.645432177309083" u="1"/>
        <n v="15.864145600250838" u="1"/>
        <n v="16.228667971820439" u="1"/>
        <n v="14.114438216716785" u="1"/>
        <n v="14.260247165344623" u="1"/>
        <n v="14.478960588286379" u="1"/>
        <n v="14.843482959855972" u="1"/>
        <n v="13.312488999263678" u="1"/>
        <n v="13.458297947891516" u="1"/>
        <n v="13.677011370833272" u="1"/>
        <n v="14.041533742402866" u="1"/>
        <n v="13.531202422205434" u="1"/>
        <n v="13.895724793775027" u="1"/>
        <n v="13.968629268088947" u="1"/>
        <n v="14.33315163965854" u="1"/>
        <n v="14.697674011228134" u="1"/>
        <n v="16.155763497506516" u="1"/>
        <n v="16.301572446134355" u="1"/>
        <n v="16.520285869076108" u="1"/>
        <n v="16.884808240645707" u="1"/>
        <n v="17.322235086529219" u="1"/>
        <n v="17.468044035157057" u="1"/>
        <n v="17.686757458098814" u="1"/>
        <n v="18.05127982966841" u="1"/>
        <n v="17.613852983784898" u="1"/>
        <n v="16.082859023192601" u="1"/>
        <n v="16.374476920448274" u="1"/>
        <n v="16.666094817703947" u="1"/>
        <n v="17.249330612215299" u="1"/>
        <n v="11.98497811911554" u="1"/>
        <n v="13.704337449806815" u="1"/>
        <n v="11.630575792893179" u="1"/>
        <n v="13.481719828730562" u="1"/>
        <n v="11.187572885115229" u="1"/>
        <n v="12.665455218117637" u="1"/>
        <n v="13.491188005560572" u="1"/>
        <n v="13.407513955038477" u="1"/>
        <n v="12.517043470733467" u="1"/>
        <n v="10.921771140448458" u="1"/>
        <n v="10.884514249507616" u="1"/>
        <n v="9.7699635802257863" u="1"/>
        <n v="10.565428992631654" u="1"/>
        <n v="14.001160944575151" u="1"/>
        <n v="12.95958451622703" u="1"/>
        <n v="13.978899182467526" u="1"/>
        <n v="12.605182190004671" u="1"/>
        <n v="11.807776956004359" u="1"/>
        <n v="12.888072839193889" u="1"/>
        <n v="11.364774048226407" u="1"/>
        <n v="12.738083062338056" u="1"/>
        <n v="11.997602354888878" u="1"/>
        <n v="12.782383353115849" u="1"/>
        <n v="11.54197521133759" u="1"/>
        <n v="11.403955365352205" u="1"/>
        <n v="8.6583380387450912" u="1"/>
        <n v="18.824542734560627" u="1"/>
        <n v="18.23089574502395" u="1"/>
        <n v="21.379810486036487" u="1"/>
        <n v="27.576690802719597" u="1"/>
        <n v="18.828153885049325" u="1"/>
        <n v="19.411389679560678" u="1"/>
        <n v="19.557198628188516" u="1"/>
        <n v="19.921720999758112" u="1"/>
        <n v="20.869479165839056" u="1"/>
        <n v="21.015288114466891" u="1"/>
        <n v="17.953300193282299" u="1"/>
        <n v="15.984879386806487" u="1"/>
        <n v="16.130688335434328" u="1"/>
        <n v="15.182930169353378" u="1"/>
        <n v="17.297159924457027" u="1"/>
        <n v="15.620357015236891" u="1"/>
        <n v="15.766165963864729" u="1"/>
        <n v="17.078446501515273" u="1"/>
        <n v="17.224255450143108" u="1"/>
        <n v="14.526789900528106" u="1"/>
        <n v="14.672598849155944" u="1"/>
        <n v="15.037121220725538" u="1"/>
        <n v="15.110025695039459" u="1"/>
        <n v="15.255834643667297" u="1"/>
        <n v="14.453885426214189" u="1"/>
        <n v="14.599694374842025" u="1"/>
        <n v="16.03135955838578" u="1"/>
        <n v="15.735616784783705" u="1"/>
        <n v="12.870983934671441" u="1"/>
        <n v="9.2047632756120255" u="1"/>
        <n v="19.937630839941885" u="1"/>
        <n v="11.71917637444877" u="1"/>
        <n v="11.276173466670818" u="1"/>
        <n v="17.921217083340082" u="1"/>
        <n v="14.664370738180635" u="1"/>
        <n v="19.195572103021046" u="1"/>
        <n v="8.6181560200031129" u="1"/>
        <n v="9.4151183111963874" u="1"/>
        <n v="9.5041618355590156" u="1"/>
        <n v="19.146143356551008" u="1"/>
        <n v="19.511174831870527" u="1"/>
        <n v="19.876206307190039" u="1"/>
        <n v="20.46025666770127" u="1"/>
        <n v="21.336332208468111" u="1"/>
        <n v="21.70136368378763" u="1"/>
        <n v="22.066395159107149" u="1"/>
        <n v="22.650445519618373" u="1"/>
        <n v="17.028960799697806" u="1"/>
        <n v="17.393992275017325" u="1"/>
        <n v="17.759023750336841" u="1"/>
        <n v="18.343074110848068" u="1"/>
        <n v="13.013614571183112" u="1"/>
        <n v="18.12405522565636" u="1"/>
        <n v="18.489086700975875" u="1"/>
        <n v="19.073137061487103" u="1"/>
        <n v="18.708105586167584" u="1"/>
        <n v="18.562092996039777" u="1"/>
        <n v="18.927124471359299" u="1"/>
        <n v="19.292155946678815" u="1"/>
        <n v="18.197061520720261" u="1"/>
        <n v="19.80320001212614" u="1"/>
        <n v="17.466998570081223" u="1"/>
        <n v="17.832030045400746" u="1"/>
        <n v="18.781111881231492" u="1"/>
        <n v="14.984784537908507" u="1"/>
        <n v="16.371904144122674" u="1"/>
        <n v="16.225891553994867" u="1"/>
        <n v="22.212407749234952" u="1"/>
        <n v="10.093362768626973" u="1"/>
        <n v="14.400734177397279" u="1"/>
        <n v="14.765765652716796" u="1"/>
        <n v="15.860860078675348" u="1"/>
        <n v="25.205665846854998" u="1"/>
        <n v="16.51791673425048" u="1"/>
        <n v="15.422822308291927" u="1"/>
        <n v="17.613011160209034" u="1"/>
        <n v="20.752281847956887" u="1"/>
        <n v="20.387250372637368" u="1"/>
        <n v="21.482344798595918" u="1"/>
        <n v="20.679275552892978" u="1"/>
        <n v="26.154747682685741" u="1"/>
        <n v="25.059653256727188" u="1"/>
        <n v="24.694621781407673" u="1"/>
        <n v="22.942470699873986" u="1"/>
        <n v="21.847376273915433" u="1"/>
        <n v="24.03756512583254" u="1"/>
      </sharedItems>
    </cacheField>
    <cacheField name="TCO (R$/M2)" numFmtId="43">
      <sharedItems containsBlank="1" containsMixedTypes="1" containsNumber="1" minValue="0.29261478750000003" maxValue="9.8719669523719489" count="8000">
        <n v="1.1266180976"/>
        <n v="1.0903496176000003"/>
        <n v="1.5654450559999997"/>
        <n v="2.0188010559999996"/>
        <n v="1.3787690559999999"/>
        <n v="1.3254330560000001"/>
        <n v="1.4214378559999996"/>
        <n v="0.50605039200000013"/>
        <n v="0.43132566"/>
        <n v="1.293431456"/>
        <n v="1.560111456"/>
        <n v="0.83307092400000005"/>
        <n v="0.85173852400000016"/>
        <n v="0.90307442400000015"/>
        <n v="0.97307792399999993"/>
        <n v="1.1130849240000003"/>
        <n v="0.8984075239999999"/>
        <n v="0.82901519999999995"/>
        <n v="0.86569470000000004"/>
        <n v="0.78006743999999995"/>
        <n v="0.83704464000000001"/>
        <n v="0.90564984000000004"/>
        <n v="0.75121019999999994"/>
        <n v="0.77825670000000013"/>
        <n v="0.83735145000000011"/>
        <n v="0.74765340000000013"/>
        <n v="0.78505559999999996"/>
        <n v="0.89720639999999996"/>
        <n v="0.93228660000000008"/>
        <n v="0.74565269999999995"/>
        <n v="0.71267819999999993"/>
        <n v="0.59329620000000005"/>
        <n v="0.77907059999999984"/>
        <n v="0.58156560000000013"/>
        <n v="0.76232520000000015"/>
        <n v="0.74796720000000017"/>
        <n v="0.91772639999999983"/>
        <n v="0.80301059999999991"/>
        <n v="0.71786519999999998"/>
        <n v="1.1624651999999998"/>
        <n v="1.2518855999999998"/>
        <n v="9.2658006000000022"/>
        <n v="0.53439480000000006"/>
        <n v="0.61632900000000002"/>
        <n v="0.44532900000000003"/>
        <n v="1.0239108976"/>
        <n v="0.99670953760000025"/>
        <n v="1.0012430976000002"/>
        <n v="1.0057766576"/>
        <n v="1.0148437775999999"/>
        <n v="1.0329780176000001"/>
        <n v="1.0465786976"/>
        <n v="1.0692464976000002"/>
        <n v="0.95590749760000004"/>
        <n v="0.96497461760000003"/>
        <n v="0.97857529760000006"/>
        <n v="0.91963901760000011"/>
        <n v="0.9287061376000002"/>
        <n v="0.94230681760000001"/>
        <n v="0.9257330304000001"/>
        <n v="0.93533351040000001"/>
        <n v="0.94973423040000016"/>
        <n v="0.9737354304000001"/>
        <n v="0.84401542400000018"/>
        <n v="0.85334922400000013"/>
        <n v="0.86734992400000011"/>
        <n v="0.89068442400000014"/>
        <n v="0.79723289760000005"/>
        <n v="0.80630001760000014"/>
        <n v="0.81990069760000017"/>
        <n v="0.84256849760000019"/>
        <n v="0.95273705800000019"/>
        <n v="0.9614041579999999"/>
        <n v="0.97440480800000029"/>
        <n v="0.99607255800000005"/>
        <n v="1.0220738580000002"/>
        <n v="1.0307409580000002"/>
        <n v="1.0437416079999999"/>
        <n v="1.0654093579999999"/>
        <n v="1.0964478575999999"/>
        <n v="1.204601056"/>
        <n v="1.1725994560000004"/>
        <n v="1.1779330560000003"/>
        <n v="1.1832666559999998"/>
        <n v="1.1939338559999999"/>
        <n v="1.2152682560000001"/>
        <n v="1.2312690559999999"/>
        <n v="1.2579370560000003"/>
        <n v="1.076914358"/>
        <n v="1.0855814579999998"/>
        <n v="1.098582108"/>
        <n v="1.163585358"/>
        <n v="1.1722524579999998"/>
        <n v="1.1852531080000004"/>
        <n v="0.99024335800000007"/>
        <n v="0.998910458"/>
        <n v="1.0119111080000001"/>
        <n v="1.024413824"/>
        <n v="1.2717595240000001"/>
        <n v="1.281093324"/>
        <n v="1.3044278239999998"/>
        <n v="0.90407865600000015"/>
        <n v="0.89874505599999988"/>
        <n v="0.90941225599999997"/>
        <n v="0.93608025600000011"/>
        <n v="1.3650975240000001"/>
        <n v="1.3744313240000001"/>
        <n v="1.3977658240000002"/>
        <n v="1.0054170560000002"/>
        <n v="0.86457040800000007"/>
        <n v="0.87323750800000011"/>
        <n v="0.88623815800000005"/>
        <n v="0.95124140800000012"/>
        <n v="0.95990850800000016"/>
        <n v="0.97290915799999989"/>
        <n v="0.87757105800000013"/>
        <n v="0.89923880800000022"/>
        <n v="0.96424205800000018"/>
        <n v="0.98590980800000017"/>
        <n v="1.0292453079999999"/>
        <n v="1.037912408"/>
        <n v="1.0509130579999999"/>
        <n v="0.82740313760000017"/>
        <n v="0.87727229760000014"/>
        <n v="0.88180585759999996"/>
        <n v="0.89087297760000006"/>
        <n v="0.90447365760000009"/>
        <n v="0.93167501760000015"/>
        <n v="0.94074213760000014"/>
        <n v="0.95434281759999995"/>
        <n v="0.89994009760000004"/>
        <n v="0.92260789760000006"/>
        <n v="0.99061129760000011"/>
        <n v="1.1810208175999999"/>
        <n v="1.5709069776"/>
        <n v="0.92090655799999999"/>
        <n v="1.3137616239999999"/>
        <n v="1.2904271239999998"/>
        <n v="1.673112924"/>
        <n v="1.6031094240000001"/>
        <n v="1.5797749239999999"/>
        <n v="1.407099624"/>
        <n v="1.4677693239999996"/>
        <n v="1.7841226559999999"/>
        <n v="1.6241146559999999"/>
        <n v="1.5974466560000002"/>
        <n v="2.1008"/>
        <n v="1.8477899999999998"/>
        <n v="1.3180439999999998"/>
        <n v="1.1913269999999998"/>
        <n v="1.226837"/>
        <n v="1.8247199999999999"/>
        <n v="1.5344800000000001"/>
        <n v="1.9999199999999999"/>
        <n v="1.76776"/>
        <n v="2.0051199999999998"/>
        <n v="1.9359799999999998"/>
        <n v="0.6767399999999999"/>
        <n v="1.1700000000000002"/>
        <n v="1.0237500000000002"/>
        <n v="1.379"/>
        <n v="0.38562599599999992"/>
        <n v="0.29304678749999996"/>
        <n v="0.36257839999999991"/>
        <n v="0.34188791874999996"/>
        <n v="0.78206310000000012"/>
        <n v="0.91345380000000009"/>
        <n v="0.89378640000000009"/>
        <n v="1.0278048"/>
        <n v="0.68729894999999985"/>
        <n v="0.78700050000000021"/>
        <n v="1.0887264000000001"/>
        <n v="1.1461824"/>
        <n v="0.86206896000000011"/>
        <n v="0.73454219999999992"/>
        <n v="0.70126560000000004"/>
        <n v="0.71429693999999999"/>
        <n v="0.89053344000000012"/>
        <n v="0.90427773600000005"/>
        <n v="0.77425344000000007"/>
        <n v="0.81417624000000011"/>
        <n v="0.80122769999999999"/>
        <n v="1.2127557376000002"/>
        <n v="1.2354235376000002"/>
        <n v="1.2580913376000005"/>
        <n v="1.2943598176"/>
        <n v="2.0826480359999997"/>
        <n v="2.1176497859999999"/>
        <n v="2.1526515359999996"/>
        <n v="2.2086543359999999"/>
        <n v="1.103751124"/>
        <n v="1.127085624"/>
        <n v="1.150420124"/>
        <n v="1.1877553239999998"/>
        <n v="1.1147854272"/>
        <n v="1.1384532772000002"/>
        <n v="1.1621211272000003"/>
        <n v="1.1999896872"/>
        <n v="1.1597539239999999"/>
        <n v="1.1224187240000001"/>
        <n v="1.1457532240000001"/>
        <n v="1.1830884239999999"/>
        <n v="1.1737546240000001"/>
        <n v="1.2110898240000001"/>
        <n v="1.1039502976"/>
        <n v="1.1130174176000001"/>
        <n v="1.1356852175999999"/>
        <n v="1.1583530175999999"/>
        <n v="1.1946214976"/>
        <n v="1.1764872576000001"/>
        <n v="1.1991550576000001"/>
        <n v="1.2218228576000001"/>
        <n v="1.1970891239999999"/>
        <n v="1.2204236240000002"/>
        <n v="1.2437581239999997"/>
        <n v="1.1332505080000002"/>
        <n v="1.1549182579999997"/>
        <n v="1.1765860079999999"/>
        <n v="1.2112544079999998"/>
        <n v="1.2670926239999998"/>
        <n v="1.1736887903999997"/>
        <n v="1.1352868704000001"/>
        <n v="1.1592880704000001"/>
        <n v="1.1976899904"/>
        <n v="1.256096256"/>
        <n v="1.0477483239999998"/>
        <n v="1.3361002559999999"/>
        <n v="1.1719536975999998"/>
        <n v="0.55405279200000013"/>
        <n v="1.3230954239999999"/>
        <n v="0.58385866666666675"/>
        <n v="0.57350866666666678"/>
        <n v="0.40201399999999998"/>
        <n v="0.57612799999999997"/>
        <n v="0.50343319999999991"/>
        <n v="0.69879440000000004"/>
        <n v="0.77759120000000004"/>
        <n v="0.76605300000000009"/>
        <n v="0.38528000000000001"/>
        <n v="0.64739999999999998"/>
        <n v="0.51928320000000017"/>
        <e v="#N/A"/>
        <n v="1.352101056"/>
        <n v="0.91240822399999999"/>
        <n v="0.87973992400000012"/>
        <n v="0.96841102400000023"/>
        <n v="0.99174552400000004"/>
        <n v="1.0524152240000002"/>
        <n v="1.2250905240000001"/>
        <n v="1.1053182872"/>
        <n v="1.2451480000000001"/>
        <n v="0.59353560000000016"/>
        <n v="1.1690877239999999"/>
        <n v="1.206422924"/>
        <n v="0.68093599999999999"/>
        <n v="0.85839715999999999"/>
        <n v="0.87627642959999985"/>
        <n v="0.69007769999999991"/>
        <n v="0.37837316000000004"/>
        <n v="0.45404779200000006"/>
        <n v="1.0181990650000001"/>
        <m/>
        <n v="1.1265361711999999" u="1"/>
        <n v="1.0902676912" u="1"/>
        <n v="1.5653486719999998" u="1"/>
        <n v="2.0187046719999997" u="1"/>
        <n v="1.3786726719999998" u="1"/>
        <n v="1.3253366719999997" u="1"/>
        <n v="1.4213414719999997" u="1"/>
        <n v="0.50597810400000021" u="1"/>
        <n v="0.43126542000000001" u="1"/>
        <n v="1.2933350719999996" u="1"/>
        <n v="1.5600150720000001" u="1"/>
        <n v="0.83298658800000014" u="1"/>
        <n v="0.85165418800000015" u="1"/>
        <n v="0.90299008800000014" u="1"/>
        <n v="0.97299358799999991" u="1"/>
        <n v="1.1130005880000002" u="1"/>
        <n v="0.89832318799999988" u="1"/>
        <n v="0.82858048000000006" u="1"/>
        <n v="0.86525998000000015" u="1"/>
        <n v="0.77961265600000007" u="1"/>
        <n v="0.83658985600000002" u="1"/>
        <n v="0.90519505600000016" u="1"/>
        <n v="0.75077547999999994" u="1"/>
        <n v="0.77782198000000013" u="1"/>
        <n v="0.83691673000000011" u="1"/>
        <n v="0.74721868000000013" u="1"/>
        <n v="0.78458743999999991" u="1"/>
        <n v="0.89667135999999992" u="1"/>
        <n v="0.93181844000000014" u="1"/>
        <n v="0.74521798000000006" u="1"/>
        <n v="0.71224348000000004" u="1"/>
        <n v="0.59282804000000011" u="1"/>
        <n v="0.77860244000000001" u="1"/>
        <n v="0.58109744000000008" u="1"/>
        <n v="0.76189048000000026" u="1"/>
        <n v="0.74769968000000009" u="1"/>
        <n v="0.91719136000000012" u="1"/>
        <n v="0.80254244000000008" u="1"/>
        <n v="0.71743047999999998" u="1"/>
        <n v="1.1620304799999999" u="1"/>
        <n v="1.25141744" u="1"/>
        <n v="9.2653324400000017" u="1"/>
        <n v="0.53399352000000011" u="1"/>
        <n v="0.61599460000000006" u="1"/>
        <n v="0.44499460000000007" u="1"/>
        <n v="1.0238289712000002" u="1"/>
        <n v="0.99662761120000021" u="1"/>
        <n v="1.0011611712000001" u="1"/>
        <n v="1.0056947312" u="1"/>
        <n v="1.0147618512000001" u="1"/>
        <n v="1.0328960912" u="1"/>
        <n v="1.0464967712" u="1"/>
        <n v="1.0691645712000002" u="1"/>
        <n v="0.9558255712" u="1"/>
        <n v="0.9648926912000001" u="1"/>
        <n v="0.97849337120000013" u="1"/>
        <n v="0.91955709120000018" u="1"/>
        <n v="0.92862421120000016" u="1"/>
        <n v="0.94222489119999997" u="1"/>
        <n v="0.92564628480000011" u="1"/>
        <n v="0.93524676480000002" u="1"/>
        <n v="0.94964748480000005" u="1"/>
        <n v="0.97364868480000011" u="1"/>
        <n v="0.84393108800000016" u="1"/>
        <n v="0.85326488800000011" u="1"/>
        <n v="0.8672655880000002" u="1"/>
        <n v="0.89060008800000012" u="1"/>
        <n v="0.79715097120000011" u="1"/>
        <n v="0.84248657120000014" u="1"/>
        <n v="0.85608725120000007" u="1"/>
        <n v="0.87875505120000008" u="1"/>
        <n v="0.86968793119999999" u="1"/>
        <n v="0.88328861120000002" u="1"/>
        <n v="0.90595641120000014" u="1"/>
        <n v="0.95265874600000022" u="1"/>
        <n v="0.96132584599999993" u="1"/>
        <n v="0.97432649600000021" u="1"/>
        <n v="0.99599424600000008" u="1"/>
        <n v="1.0219955460000001" u="1"/>
        <n v="1.0306626460000003" u="1"/>
        <n v="1.0436632960000001" u="1"/>
        <n v="1.0653310460000001" u="1"/>
        <n v="1.0963659312" u="1"/>
        <n v="1.2045046720000001" u="1"/>
        <n v="1.1725030720000003" u="1"/>
        <n v="1.1778366720000002" u="1"/>
        <n v="1.1831702719999999" u="1"/>
        <n v="1.193837472" u="1"/>
        <n v="1.2151718720000002" u="1"/>
        <n v="1.231172672" u="1"/>
        <n v="1.2578406720000002" u="1"/>
        <n v="1.0768360459999999" u="1"/>
        <n v="1.085503146" u="1"/>
        <n v="1.0985037959999999" u="1"/>
        <n v="1.1635070459999997" u="1"/>
        <n v="1.1721741459999999" u="1"/>
        <n v="1.1851747960000001" u="1"/>
        <n v="0.9901650460000001" u="1"/>
        <n v="0.99883214600000003" u="1"/>
        <n v="1.011832796" u="1"/>
        <n v="1.024329488" u="1"/>
        <n v="1.2716751880000001" u="1"/>
        <n v="1.2810089879999997" u="1"/>
        <n v="1.3043434879999998" u="1"/>
        <n v="0.90398227200000014" u="1"/>
        <n v="0.89864867199999987" u="1"/>
        <n v="0.90931587199999997" u="1"/>
        <n v="0.93598387200000011" u="1"/>
        <n v="1.365013188" u="1"/>
        <n v="1.3743469879999999" u="1"/>
        <n v="1.3976814880000001" u="1"/>
        <n v="1.0053206720000003" u="1"/>
        <n v="0.8644920960000001" u="1"/>
        <n v="0.87315919600000003" u="1"/>
        <n v="0.88615984600000008" u="1"/>
        <n v="0.95116309600000004" u="1"/>
        <n v="0.95983019600000019" u="1"/>
        <n v="0.97283084599999992" u="1"/>
        <n v="0.87749274600000016" u="1"/>
        <n v="0.89916049600000014" u="1"/>
        <n v="0.9641637460000001" u="1"/>
        <n v="0.9858314960000002" u="1"/>
        <n v="1.0291669959999998" u="1"/>
        <n v="1.0378340960000001" u="1"/>
        <n v="1.0508347459999998" u="1"/>
        <n v="0.86358969120000006" u="1"/>
        <n v="0.87265681119999994" u="1"/>
        <n v="0.88625749119999997" u="1"/>
        <n v="0.8998581712" u="1"/>
        <n v="0.9089252912000001" u="1"/>
        <n v="0.92252597120000013" u="1"/>
        <n v="0.88172393120000003" u="1"/>
        <n v="0.89079105120000002" u="1"/>
        <n v="0.90439173120000005" u="1"/>
        <n v="0.93159309120000011" u="1"/>
        <n v="0.94066021120000021" u="1"/>
        <n v="0.95426089120000002" u="1"/>
        <n v="0.99052937120000017" u="1"/>
        <n v="1.1809388912000001" u="1"/>
        <n v="1.5708250512000002" u="1"/>
        <n v="0.92082824600000002" u="1"/>
        <n v="1.3136772880000001" u="1"/>
        <n v="1.290342788" u="1"/>
        <n v="1.673028588" u="1"/>
        <n v="1.6030250880000001" u="1"/>
        <n v="1.5796905879999998" u="1"/>
        <n v="1.4070152879999998" u="1"/>
        <n v="1.467684988" u="1"/>
        <n v="1.784026272" u="1"/>
        <n v="1.6240182719999998" u="1"/>
        <n v="1.5973502720000001" u="1"/>
        <n v="0.78159494000000007" u="1"/>
        <n v="0.91298564000000015" u="1"/>
        <n v="0.89325136000000016" u="1"/>
        <n v="1.0272697600000003" u="1"/>
        <n v="0.68686422999999985" u="1"/>
        <n v="0.78656578000000021" u="1"/>
        <n v="1.0881913600000002" u="1"/>
        <n v="1.1456473600000001" u="1"/>
        <n v="0.8615874240000001" u="1"/>
        <n v="0.73407403999999998" u="1"/>
        <n v="0.7007974400000001" u="1"/>
        <n v="0.71382878000000005" u="1"/>
        <n v="0.89007865600000013" u="1"/>
        <n v="0.90382295200000007" u="1"/>
        <n v="0.77379865599999997" u="1"/>
        <n v="0.81372145600000012" u="1"/>
        <n v="0.8007929800000001" u="1"/>
        <n v="1.2126738112000002" u="1"/>
        <n v="1.2353416112000002" u="1"/>
        <n v="1.2580094112000002" u="1"/>
        <n v="1.2942778911999999" u="1"/>
        <n v="2.0825215319999999" u="1"/>
        <n v="2.1175232820000005" u="1"/>
        <n v="2.1525250319999993" u="1"/>
        <n v="2.2085278319999997" u="1"/>
        <n v="1.1036667880000002" u="1"/>
        <n v="1.127001288" u="1"/>
        <n v="1.1503357879999998" u="1"/>
        <n v="1.1876709879999998" u="1"/>
        <n v="1.1146998864000002" u="1"/>
        <n v="1.1383677364" u="1"/>
        <n v="1.1620355864" u="1"/>
        <n v="1.1999041463999998" u="1"/>
        <n v="1.1596695879999999" u="1"/>
        <n v="1.1223343880000001" u="1"/>
        <n v="1.1456688880000001" u="1"/>
        <n v="1.1830040879999999" u="1"/>
        <n v="1.1736702880000001" u="1"/>
        <n v="1.2110054880000001" u="1"/>
        <n v="1.1038683712000001" u="1"/>
        <n v="1.1129354912" u="1"/>
        <n v="1.1356032912" u="1"/>
        <n v="1.1582710912" u="1"/>
        <n v="1.1945395712" u="1"/>
        <n v="1.1764053312000002" u="1"/>
        <n v="1.1990731311999998" u="1"/>
        <n v="1.2217409312" u="1"/>
        <n v="1.1970047879999999" u="1"/>
        <n v="1.2203392880000001" u="1"/>
        <n v="1.2436737879999997" u="1"/>
        <n v="1.1331721960000001" u="1"/>
        <n v="1.1548399459999998" u="1"/>
        <n v="1.176507696" u="1"/>
        <n v="1.2111760959999998" u="1"/>
        <n v="1.267008288" u="1"/>
        <n v="1.1736020448" u="1"/>
        <n v="1.1352001248000003" u="1"/>
        <n v="1.1592013247999999" u="1"/>
        <n v="1.1976032448" u="1"/>
        <n v="1.2559998720000001" u="1"/>
        <n v="1.047663988" u="1"/>
        <n v="1.336003872" u="1"/>
        <n v="1.1718717711999997" u="1"/>
        <n v="0.55398050400000021" u="1"/>
        <n v="1.3230110879999999" u="1"/>
        <n v="0.58341280000000006" u="1"/>
        <n v="0.57306280000000009" u="1"/>
        <n v="0.40167959999999997" u="1"/>
        <n v="0.51901568000000009" u="1"/>
        <n v="1.3520046719999999" u="1"/>
        <n v="0.82888589120000011" u="1"/>
        <n v="0.91232388799999997" u="1"/>
        <n v="0.87965558800000021" u="1"/>
        <n v="0.96832668800000021" u="1"/>
        <n v="0.99166118800000003" u="1"/>
        <n v="1.0523308880000002" u="1"/>
        <n v="1.2250061879999998" u="1"/>
        <n v="1.1052327464" u="1"/>
        <n v="0.59306744" u="1"/>
        <n v="1.1690033880000001" u="1"/>
        <n v="1.2063385879999997" u="1"/>
        <n v="0.85833691999999995" u="1"/>
        <n v="0.87618245519999993" u="1"/>
        <n v="0.68964298000000002" u="1"/>
        <n v="0.37831292" u="1"/>
        <n v="0.45397550400000003" u="1"/>
        <n v="1.114034483405659" u="1"/>
        <n v="1.0781802488585355" u="1"/>
        <n v="1.5478994738037986" u="1"/>
        <n v="1.996077405642843" u="1"/>
        <n v="1.363355619517133" u="1"/>
        <n v="1.3106288040066576" u="1"/>
        <n v="1.4055370719255138" u="1"/>
        <n v="0.50052124108413942" u="1"/>
        <n v="0.42660118117559237" u="1"/>
        <n v="1.2789927147003721" u="1"/>
        <n v="1.5426267922527512" u="1"/>
        <n v="0.823848458504161" u="1"/>
        <n v="0.84230284393282762" u="1"/>
        <n v="0.89305240386166052" u="1"/>
        <n v="0.96225634921915992" u="1"/>
        <n v="1.1006642399341591" u="1"/>
        <n v="0.88843880750449378" u="1"/>
        <n v="0.81616024052338121" u="1"/>
        <n v="0.86015846578323463" u="1"/>
        <n v="0.76590638817900736" u="1"/>
        <n v="0.8300802546741789" u="1"/>
        <n v="0.89985808728092231" u="1"/>
        <n v="0.73771932313577127" u="1"/>
        <n v="0.77122593402954187" u="1"/>
        <n v="0.82456462452919654" u="1"/>
        <n v="0.74009954791574961" u="1"/>
        <n v="0.77033129648848897" u="1"/>
        <n v="0.8803786245582732" u="1"/>
        <n v="0.92632450161271418" u="1"/>
        <n v="0.73211640046522763" u="1"/>
        <n v="0.70452653521427233" u="1"/>
        <n v="0.58153991696762863" u="1"/>
        <n v="0.76429737976636514" u="1"/>
        <n v="0.56517812793627853" u="1"/>
        <n v="0.74892516847685842" u="1"/>
        <n v="0.7482391340295419" u="1"/>
        <n v="0.90106633903412625" u="1"/>
        <n v="0.78843304665486047" u="1"/>
        <n v="0.70410178711250981" u="1"/>
        <n v="1.1523356007559948" u="1"/>
        <n v="1.2409768008141482" u="1"/>
        <n v="9.402278874137739" u="1"/>
        <n v="0.52064189570669606" u="1"/>
        <n v="0.60626586705435637" u="1"/>
        <n v="0.4338682464222467" u="1"/>
        <n v="1.01252897343785" u="1"/>
        <n v="0.98563829752750742" u="1"/>
        <n v="0.99012007684589798" u="1"/>
        <n v="0.9946018561642882" u="1"/>
        <n v="1.0035654148010691" u="1"/>
        <n v="1.0214925320746309" u="1"/>
        <n v="1.0349378700298022" u="1"/>
        <n v="1.0573467666217544" u="1"/>
        <n v="0.94530228366199343" u="1"/>
        <n v="0.95426584229877442" u="1"/>
        <n v="0.96771118025394554" u="1"/>
        <n v="0.90944804911486987" u="1"/>
        <n v="0.91841160775165076" u="1"/>
        <n v="0.93185694570682187" u="1"/>
        <n v="0.91549085922102225" u="1"/>
        <n v="0.92498168601290776" u="1"/>
        <n v="0.93921792620073641" u="1"/>
        <n v="0.96294499318045046" u="1"/>
        <n v="0.83469740128999426" u="1"/>
        <n v="0.8439245940043274" u="1"/>
        <n v="0.8577653830758275" u="1"/>
        <n v="0.88083336486166053" u="1"/>
        <n v="0.78844000751832788" u="1"/>
        <n v="0.83325780070223243" u="1"/>
        <n v="0.84670313865740354" u="1"/>
        <n v="0.86911203524935587" u="1"/>
        <n v="0.86014847661257499" u="1"/>
        <n v="0.87359381456774621" u="1"/>
        <n v="0.89600271115969865" u="1"/>
        <n v="0.94215425498952909" u="1"/>
        <n v="0.95072236250998143" u="1"/>
        <n v="0.96357452379066" u="1"/>
        <n v="0.98499479259179079" u="1"/>
        <n v="1.0106991151531477" u="1"/>
        <n v="1.0192672226736001" u="1"/>
        <n v="1.0321193839542784" u="1"/>
        <n v="1.0535396527554093" u="1"/>
        <n v="1.0842374425320971" u="1"/>
        <n v="1.1912105569857059" u="1"/>
        <n v="1.1595744676794204" u="1"/>
        <n v="1.1648471492304682" u="1"/>
        <n v="1.1701198307815155" u="1"/>
        <n v="1.1806651938836108" u="1"/>
        <n v="1.2017559200878012" u="1"/>
        <n v="1.2175739647409438" u="1"/>
        <n v="1.2439373724961817" u="1"/>
        <n v="1.0648859032554094" u="1"/>
        <n v="1.0734540107758614" u="1"/>
        <n v="1.0863061720565401" u="1"/>
        <n v="1.1505669784599324" u="1"/>
        <n v="1.1591350859803848" u="1"/>
        <n v="1.1719872472610631" u="1"/>
        <n v="0.97920482805088604" u="1"/>
        <n v="0.98777293557133838" u="1"/>
        <n v="1.0006250968520167" u="1"/>
        <n v="1.013005909147993" u="1"/>
        <n v="1.2575265160778244" u="1"/>
        <n v="1.2667537087921577" u="1"/>
        <n v="1.2898216905779907" u="1"/>
        <n v="0.89408696147389866" u="1"/>
        <n v="0.888814279922851" u="1"/>
        <n v="0.89935964302494609" u="1"/>
        <n v="0.92572305078018413" u="1"/>
        <n v="1.3497984432211574" u="1"/>
        <n v="1.3590256359354904" u="1"/>
        <n v="1.3820936177213232" u="1"/>
        <n v="0.99426791094380285" u="1"/>
        <n v="0.8549672690043274" u="1"/>
        <n v="0.86353537652477974" u="1"/>
        <n v="0.87638753780545797" u="1"/>
        <n v="0.94064834420885068" u="1"/>
        <n v="0.94921645172930302" u="1"/>
        <n v="0.96206861300998137" u="1"/>
        <n v="0.86781943028500597" u="1"/>
        <n v="0.88923969908613676" u="1"/>
        <n v="0.95350050548952914" u="1"/>
        <n v="0.97492077429065993" u="1"/>
        <n v="1.0177613118929214" u="1"/>
        <n v="1.0263294194133739" u="1"/>
        <n v="1.0391815806940523" u="1"/>
        <n v="0.85409128293901315" u="1"/>
        <n v="0.86305484157579404" u="1"/>
        <n v="0.87650017953096537" u="1"/>
        <n v="0.88994551748613671" u="1"/>
        <n v="0.89890907612291771" u="1"/>
        <n v="0.91235441407808893" u="1"/>
        <n v="0.87201840021257493" u="1"/>
        <n v="0.88098195884935582" u="1"/>
        <n v="0.89442729680452704" u="1"/>
        <n v="0.92131797271486982" u="1"/>
        <n v="0.9302815313516507" u="1"/>
        <n v="0.94372686930682192" u="1"/>
        <n v="0.97958110385394548" u="1"/>
        <n v="1.1678158352263441" u="1"/>
        <n v="1.5532488566079223" u="1"/>
        <n v="0.91065996788726744" u="1"/>
        <n v="1.2990488832923239" u="1"/>
        <n v="1.2759809015064911" u="1"/>
        <n v="1.6542958027941548" u="1"/>
        <n v="1.5850918574366557" u="1"/>
        <n v="1.5620238756508225" u="1"/>
        <n v="1.3913208104356565" u="1"/>
        <n v="1.4512975630788227" u="1"/>
        <n v="1.7640794173967491" u="1"/>
        <n v="1.6058989708653217" u="1"/>
        <n v="1.5795355631100838" u="1"/>
        <n v="2.0996480000000002" u="1"/>
        <n v="1.8464939999999999" u="1"/>
        <n v="1.3170648" u="1"/>
        <n v="1.1903622" u="1"/>
        <n v="1.2258722000000002" u="1"/>
        <n v="1.8235680000000001" u="1"/>
        <n v="1.5333280000000002" u="1"/>
        <n v="1.9987679999999999" u="1"/>
        <n v="1.7666080000000002" u="1"/>
        <n v="2.003968" u="1"/>
        <n v="1.934828" u="1"/>
        <n v="0.67587600000000003" u="1"/>
        <n v="1.1688480000000001" u="1"/>
        <n v="1.022742" u="1"/>
        <n v="1.3779920000000001" u="1"/>
        <n v="0.38504999599999989" u="1"/>
        <n v="0.29261478750000003" u="1"/>
        <n v="0.36200239999999995" u="1"/>
        <n v="0.34138391875000001" u="1"/>
        <n v="0.76731433812742711" u="1"/>
        <n v="0.90716980246576495" u="1"/>
        <n v="0.87693067214563103" u="1"/>
        <n v="1.0203471749777751" u="1"/>
        <n v="0.67328571242452018" u="1"/>
        <n v="0.78011918720491125" u="1"/>
        <n v="1.0734639596662361" u="1"/>
        <n v="1.1407481410443128" u="1"/>
        <n v="0.85428103461733873" u="1"/>
        <n v="0.72520016056974757" u="1"/>
        <n v="0.68585646237875542" u="1"/>
        <n v="0.70460885898677705" u="1"/>
        <n v="0.87727525110735016" u="1"/>
        <n v="0.89846253062878745" u="1"/>
        <n v="0.76004486907751578" u="1"/>
        <n v="0.80682097713859768" u="1"/>
        <n v="0.78814562717066328" u="1"/>
        <n v="1.199188290455077" u="1"/>
        <n v="1.2215971870470292" u="1"/>
        <n v="1.2440060836389819" u="1"/>
        <n v="1.279860318186105" u="1"/>
        <n v="2.0592996375104855" u="1"/>
        <n v="2.0939016101892354" u="1"/>
        <n v="2.1285035828679848" u="1"/>
        <n v="2.1838667391539843" u="1"/>
        <n v="1.0914370472198258" u="1"/>
        <n v="1.1145050290056591" u="1"/>
        <n v="1.1375730107914919" u="1"/>
        <n v="1.1744817816488251" u="1"/>
        <n v="1.1023495001606969" u="1"/>
        <n v="1.1257470245434709" u="1"/>
        <n v="1.1491445489262442" u="1"/>
        <n v="1.1865805879386822" u="1"/>
        <n v="1.1468002035058256" u="1"/>
        <n v="1.1098914326484923" u="1"/>
        <n v="1.1329594144343254" u="1"/>
        <n v="1.1698681852916586" u="1"/>
        <n v="1.1606409925773251" u="1"/>
        <n v="1.1975497634346581" u="1"/>
        <n v="1.0916255868137066" u="1"/>
        <n v="1.1005891454504875" u="1"/>
        <n v="1.1229980420424397" u="1"/>
        <n v="1.1454069386343919" u="1"/>
        <n v="1.1812611731815157" u="1"/>
        <n v="1.1633340559079537" u="1"/>
        <n v="1.1857429524999059" u="1"/>
        <n v="1.2081518490918581" u="1"/>
        <n v="1.1837089743631581" u="1"/>
        <n v="1.2067769561489916" u="1"/>
        <n v="1.2298449379348246" u="1"/>
        <n v="1.1205786021383495" u="1"/>
        <n v="1.1419988709394802" u="1"/>
        <n v="1.1634191397406108" u="1"/>
        <n v="1.1976915698224198" u="1"/>
        <n v="1.2529129197206579" u="1"/>
        <n v="1.1605842700222204" u="1"/>
        <n v="1.1226209628546779" u="1"/>
        <n v="1.146348029834392" u="1"/>
        <n v="1.1843113370019345" u="1"/>
        <n v="1.2420839438430389" u="1"/>
        <n v="1.0360738909338261" u="1"/>
        <n v="1.3211741671087527" u="1"/>
        <n v="1.1588522765895632" u="1"/>
        <n v="0.54797537504356775" u="1"/>
        <n v="1.3082760760066572" u="1"/>
        <n v="0.57972015866603877" u="1"/>
        <n v="0.56905619545404074" u="1"/>
        <n v="0.3978217131979358" u="1"/>
        <n v="0.57555200000000006" u="1"/>
        <n v="0.5028572" u="1"/>
        <n v="0.69821840000000013" u="1"/>
        <n v="0.77701519999999991" u="1"/>
        <n v="0.76540500000000011" u="1"/>
        <n v="0.38470399999999993" u="1"/>
        <n v="0.64653600000000011" u="1"/>
        <n v="0.5156463586737301" u="1"/>
        <n v="1.3369922117618955" u="1"/>
        <n v="0.81981246274706099" u="1"/>
        <n v="0.90227959657599377" u="1"/>
        <n v="0.86998442207582749" u="1"/>
        <n v="0.95764275286199341" u="1"/>
        <n v="0.98071073464782654" u="1"/>
        <n v="1.040687487290993" u="1"/>
        <n v="1.2113905525061581" u="1"/>
        <n v="1.0929904904075876" u="1"/>
        <n v="1.2441688000000002" u="1"/>
        <n v="0.5772459613805262" u="1"/>
        <n v="1.1560273962201586" u="1"/>
        <n v="1.1929361670774914" u="1"/>
        <n v="0.68036000000000008" u="1"/>
        <n v="0.84880183622880345" u="1"/>
        <n v="0.86659392292477977" u="1"/>
        <n v="0.67608717375979199" u="1"/>
        <n v="0.37426049663452127" u="1"/>
        <n v="0.4491125959614255" u="1"/>
        <n v="1.0183578145000001" u="1"/>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n v="0.94893271980989424" u="1"/>
        <n v="0.96168322153551067" u="1"/>
        <n v="0.97561222681033144" u="1"/>
        <n v="0.99513081391515745" u="1"/>
        <n v="1.0062497475462993" u="1"/>
        <n v="1.0315997294824419" u="1"/>
        <n v="0.86955940778364915" u="1"/>
        <n v="0.8932778216253171" u="1"/>
        <n v="0.94213496585916956" u="1"/>
        <n v="0.86847169572066618" u="1"/>
        <n v="0.89055854146785962" u="1"/>
        <n v="0.95627522267794862" u="1"/>
        <n v="1.1288609534048766" u="1"/>
        <n v="1.4976600372141788" u="1"/>
        <n v="0.95489623372855637" u="1"/>
        <n v="0.89727744169640478" u="1"/>
        <n v="1.0140746129098381" u="1"/>
        <n v="1.2425583183297935" u="1"/>
        <n v="1.2242784648030405" u="1"/>
        <n v="1.3573433953176937" u="1"/>
        <n v="1.2534354389596238" u="1"/>
        <n v="1.2351555854328706" u="1"/>
        <n v="1.3491855548453207" u="1"/>
        <n v="1.620693746160673" u="1"/>
        <n v="1.5647664735174311" u="1"/>
        <n v="1.5448550518962036" u="1"/>
        <n v="1.3417828219483978" u="1"/>
        <n v="1.4489539144954164" u="1"/>
        <n v="1.261049423400505" u="1"/>
        <n v="1.242769569873752" u="1"/>
        <n v="1.2344004778574209" u="1"/>
        <n v="1.2144890562361932" u="1"/>
        <n v="1.6790584391008898" u="1"/>
        <n v="1.5067642276209103" u="1"/>
        <n v="1.5327487520293739" u="1"/>
        <n v="1.5013610967347415" u="1"/>
        <n v="0.8230287527339627" u="1"/>
        <n v="0.97098298536554162" u="1"/>
        <n v="0.87282120021344944" u="1"/>
        <n v="0.98485321479176502" u="1"/>
        <n v="0.89449605269294818" u="1"/>
        <n v="1.0137146060827362" u="1"/>
        <n v="0.89514556494704633" u="1"/>
        <n v="1.0483247046226802" u="1"/>
        <n v="0.86702083605196112" u="1"/>
        <n v="1.0591577279797151" u="1"/>
        <n v="0.90489009429550449" u="1"/>
        <n v="1.1293888594550943" u="1"/>
        <n v="0.66023223714193868" u="1"/>
        <n v="0.77561398345772825" u="1"/>
        <n v="1.0275843086178031" u="1"/>
        <n v="0.9971130746769663" u="1"/>
        <n v="0.85162256828233851" u="1"/>
        <n v="0.73805149469781406" u="1"/>
        <n v="0.74649151424738802" u="1"/>
        <n v="0.65357709658030105" u="1"/>
        <n v="0.76019391108949352" u="1"/>
        <n v="1.017865948827577" u="1"/>
        <n v="1.0211262286135563" u="1"/>
        <n v="0.66965302101360369" u="1"/>
        <n v="0.72790110472107239" u="1"/>
        <n v="0.84122056763293274" u="1"/>
        <n v="0.7582528492318078" u="1"/>
        <n v="1.0409532111521413" u="1"/>
        <n v="0.83451948808238785" u="1"/>
        <n v="0.8984103572477411" u="1"/>
        <n v="0.73229759334554578" u="1"/>
        <n v="0.75192176632142527" u="1"/>
        <n v="0.79069521261504772" u="1"/>
        <n v="0.80132903842793446" u="1"/>
        <n v="0.69997252081177308" u="1"/>
        <n v="1.1251802819057606" u="1"/>
        <n v="1.1713301170889943" u="1"/>
        <n v="1.1936529719047324" u="1"/>
        <n v="1.2872453043983187" u="1"/>
        <n v="1.1496691228390199" u="1"/>
        <n v="1.1706682565232305" u="1"/>
        <n v="1.1883580873786221" u="1"/>
        <n v="1.2749055465344599" u="1"/>
        <n v="1.1993086652713019" u="1"/>
        <n v="2.1517642500400225" u="1"/>
        <n v="1.171811573234528" u="1"/>
        <n v="1.2054101871292648" u="1"/>
        <n v="2.0167714032126658" u="1"/>
        <n v="2.0508760914987727" u="1"/>
        <n v="2.0858205574805662" u="1"/>
        <n v="2.1418996585905723" u="1"/>
        <n v="1.0807898545979171" u="1"/>
        <n v="1.1035263134553221" u="1"/>
        <n v="1.1268226241098511" u="1"/>
        <n v="1.1642086915165217" u="1"/>
        <n v="0.88623905722949603" u="1"/>
        <n v="1.0819095581921645" u="1"/>
        <n v="1.1052058688466933" u="1"/>
        <n v="1.129621883095469" u="1"/>
        <n v="1.1479729893999371" u="1"/>
        <n v="0.87672157667839468" u="1"/>
        <n v="1.0729519294381866" u="1"/>
        <n v="1.0973679436869626" u="1"/>
        <n v="1.1072278112105245" u="1"/>
        <n v="1.1429343232258244" u="1"/>
        <n v="0.87224276230140574" u="1"/>
        <n v="1.0848727160648086" u="1"/>
        <n v="1.1028233343578624" u="1"/>
        <n v="1.125884599770373" u="1"/>
        <n v="1.1626690544944027" u="1"/>
        <n v="1.0865762651046276" u="1"/>
        <n v="1.1062304324375003" u="1"/>
        <n v="1.1292916978500109" u="1"/>
        <n v="1.1660761525740408" u="1"/>
        <n v="1.1265116974611364" u="1"/>
        <n v="1.1593254886667668" u="1"/>
        <n v="1.1820619475241716" u="1"/>
        <n v="1.2183283113365955" u="1"/>
        <n v="1.1433072513748446" u="1"/>
        <n v="1.1682831174207446" u="1"/>
        <n v="1.1910195762781495" u="1"/>
        <n v="1.2272859400905729" u="1"/>
        <n v="1.1220014227604016" u="1"/>
        <n v="1.1458575852120538" u="1"/>
        <n v="1.1674743404752119" u="1"/>
        <n v="1.1880648539681742" u="1"/>
        <n v="1.1068854242380639" u="1"/>
        <n v="1.1290620312983457" u="1"/>
        <n v="1.1512386383586268" u="1"/>
        <n v="1.186945150373927" u="1"/>
        <n v="1.1113642386150528" u="1"/>
        <n v="1.1346605492695814" u="1"/>
        <n v="1.1590765635183577" u="1"/>
        <n v="1.1802269288084437" u="1"/>
        <n v="1.0929961238979522" u="1"/>
        <n v="1.1156268256766373" u="1"/>
        <n v="1.1393452395183055" u="1"/>
        <n v="1.1925226705467367" u="1"/>
        <n v="1.1726112489255092" u="1"/>
        <n v="1.1963296627671773" u="1"/>
        <n v="1.2243989248607774" u="1"/>
        <n v="1.2590852508184973" u="1"/>
        <n v="1.1994793547353093" u="1"/>
        <n v="1.2059801114761297" u="1"/>
        <n v="1.228716570333535" u="1"/>
        <n v="1.2661026377402056" u="1"/>
        <n v="1.1094414272812534" u="1"/>
        <n v="1.1305538533631296" u="1"/>
        <n v="1.1532258665941357" u="1"/>
        <n v="1.1817031520180954" u="1"/>
        <n v="1.3039865554436942" u="1"/>
        <n v="1.3067858144293125" u="1"/>
        <n v="1.1553064335552348" u="1"/>
        <n v="1.1758132677090729" u="1"/>
        <n v="1.1991993396766896" u="1"/>
        <n v="1.2376535804378366" u="1"/>
        <n v="1.1532890347644669" u="1"/>
        <n v="1.0923912790131558" u="1"/>
        <n v="1.2417643838782979" u="1"/>
        <n v="1.6123732859024285" u="1"/>
        <n v="1.0616637256154031" u="1"/>
        <n v="1.0837505713625963" u="1"/>
        <n v="1.1074689852042647" u="1"/>
        <n v="1.1269273422802222" u="1"/>
        <n v="0.60324645820554135" u="1"/>
        <n v="1.3018997486770745" u="1"/>
        <n v="0.623321021633507" u="1"/>
        <n v="0.59318896880044836" u="1"/>
        <n v="0.41460282291209194" u="1"/>
        <n v="0.41324183184365348" u="1"/>
        <n v="1.3750512824909678" u="1"/>
        <n v="0.90040710103535071" u="1"/>
        <n v="1.2087747795304145" u="1"/>
        <n v="1.1647432542358302" u="1"/>
        <n v="1.6392882397229636" u="1"/>
        <n v="2.0687464232094004" u="1"/>
        <n v="1.4722305150485693" u="1"/>
        <n v="1.4104002127582658" u="1"/>
        <n v="1.5039033840707896" u="1"/>
        <n v="0.62334543310828083" u="1"/>
        <n v="0.48524911180524399" u="1"/>
        <n v="1.3925655087609903" u="1"/>
        <n v="0.9727359896324187" u="1"/>
        <n v="0.91188478174473275" u="1"/>
        <n v="0.79591833213453189" u="1"/>
        <n v="0.87344571491878509" u="1"/>
        <n v="0.76188100504416423" u="1"/>
        <n v="0.84027117955978869" u="1"/>
        <n v="0.89143605619423683" u="1"/>
        <n v="0.740193889939883" u="1"/>
        <n v="0.82250099134827037" u="1"/>
        <n v="0.73500258231008964" u="1"/>
        <n v="0.79014657298019531" u="1"/>
        <n v="0.78030478722566787" u="1"/>
        <n v="0.84827609134565185" u="1"/>
        <n v="0.76698385565693628" u="1"/>
        <n v="0.8275043188029324" u="1"/>
        <n v="0.73645654091348778" u="1"/>
        <n v="0.84982685667757862" u="1"/>
        <n v="0.75903081900610381" u="1"/>
        <n v="0.7663228140183127" u="1"/>
        <n v="0.7497607146054206" u="1"/>
        <n v="0.85686938812048075" u="1"/>
        <n v="0.93079712039083118" u="1"/>
        <n v="0.7509823735721437" u="1"/>
        <n v="0.70473255681947844" u="1"/>
        <n v="0.67465125328702946" u="1"/>
        <n v="0.64354311210359083" u="1"/>
        <n v="0.78744975541964435" u="1"/>
        <n v="0.74116343415240937" u="1"/>
        <n v="0.75684284956871917" u="1"/>
        <n v="0.93985490821971951" u="1"/>
        <n v="0.82565612872620719" u="1"/>
        <n v="0.74697612233223254" u="1"/>
        <n v="1.0744435325034143" u="1"/>
        <n v="1.1807232207197258" u="1"/>
        <n v="8.703837633763202" u="1"/>
        <n v="0.56421027689211067" u="1"/>
        <n v="0.48475049524546837" u="1"/>
        <n v="0.96911560174234823" u="1"/>
        <n v="0.97874367769295445" u="1"/>
        <n v="0.99428963591729524" u="1"/>
        <n v="1.0178079036445942" u="1"/>
        <n v="0.97629058968215665" u="1"/>
        <n v="0.98757443208041074" u="1"/>
        <n v="0.98435503723140694" u="1"/>
        <n v="1.0084252271079219" u="1"/>
        <n v="0.97408290108529261" u="1"/>
        <n v="0.97156868975314614" u="1"/>
        <n v="0.98711464797748694" u="1"/>
        <n v="1.0167040593461623" u="1"/>
        <n v="0.97018245598946118" u="1"/>
        <n v="1.029465494620375" u="1"/>
        <n v="0.97346178938437344" u="1"/>
        <n v="0.98726010962316768" u="1"/>
        <n v="0.88474395664515859" u="1"/>
        <n v="0.91794957259798815" u="1"/>
        <n v="0.92827121335170371" u="1"/>
        <n v="0.96725322882941078" u="1"/>
        <n v="0.89598455777841834" u="1"/>
        <n v="0.90174917868451221" u="1"/>
        <n v="0.93109319063925378" u="1"/>
        <n v="0.98772678731951391" u="1"/>
        <n v="0.96239949177692574" u="1"/>
        <n v="0.9681641126830195" u="1"/>
        <n v="0.95390627484969526" u="1"/>
        <n v="0.98901490771053058" u="1"/>
        <n v="1.0031227542447156" u="1"/>
        <n v="1.0086330536402466" u="1"/>
        <n v="1.023493160766455" u="1"/>
        <n v="1.0412257040750292" u="1"/>
        <n v="1.0920488240327644" u="1"/>
        <n v="1.0817319441493065" u="1"/>
        <n v="1.0965920512755145" u="1"/>
        <n v="1.1132694492988231" u="1"/>
        <n v="1.247364909986342" u="1"/>
        <n v="1.1996823077115684" u="1"/>
        <n v="1.2860346024228169" u="1"/>
        <n v="1.244708923935457" u="1"/>
        <n v="1.2340387587851127" u="1"/>
        <n v="1.2390530126981565" u="1"/>
        <n v="1.254271675049182" u="1"/>
        <n v="1.2848229552398049" u="1"/>
        <n v="1.2998657169789354" u="1"/>
        <n v="1.3249369865441529" u="1"/>
        <n v="1.0239056587364428" u="1"/>
        <n v="1.0235097655309351" u="1"/>
        <n v="1.0452162378668775" u="1"/>
        <n v="1.0531950607934328" u="1"/>
        <n v="1.1634481432054637" u="1"/>
        <n v="1.1758168869552232" u="1"/>
        <n v="1.2025181651885581" u="1"/>
        <n v="1.2581190853582445" u="1"/>
        <n v="1.2689051111801051" u="1"/>
        <n v="1.2934960988429078" u="1"/>
        <n v="1.1418176648575125" u="1"/>
        <n v="1.1526036906793731" u="1"/>
        <n v="1.175611960414277" u="1"/>
        <n v="1.0698323463379493" u="1"/>
        <n v="1.0447434324607683" u="1"/>
        <n v="1.0888546079009911" u="1"/>
        <n v="1.0629739019837208" u="1"/>
        <n v="1.0737599278055812" u="1"/>
        <n v="1.0983509154683841" u="1"/>
        <n v="1.0636837014460447" u="1"/>
        <n v="1.0760882668365184" u="1"/>
        <n v="1.0877039869523681" u="1"/>
        <n v="1.1124821235899569" u="1"/>
        <n v="1.0863150596014035" u="1"/>
        <n v="1.0592962292721315" u="1"/>
        <n v="1.1068005720539098" u="1"/>
        <n v="0.99739182906357593" u="1"/>
        <n v="1.0959092542891435" u="1"/>
        <n v="1.1111323235196167" u="1"/>
        <n v="1.1245158299249651" u="1"/>
        <n v="1.1323076720315444" u="1"/>
        <n v="1.0051836711701552" u="1"/>
        <n v="1.1037010963957226" u="1"/>
        <n v="1.1189241656261957" u="1"/>
        <n v="1.1004544955179814" u="1"/>
        <n v="0.95379427908239411" u="1"/>
        <n v="0.96616302283215338" u="1"/>
        <n v="0.97334411328806858" u="1"/>
        <n v="0.94746340737079848" u="1"/>
        <n v="0.95824943319265887" u="1"/>
        <n v="0.98284042085546186" u="1"/>
        <n v="1.0263071702445903" u="1"/>
        <n v="1.0370931960664507" u="1"/>
        <n v="1.0601014658013548" u="1"/>
        <n v="0.96654409563807053" u="1"/>
        <n v="0.96519595067937292" u="1"/>
        <n v="0.98820422041427691" u="1"/>
        <n v="1.0438051405839635" u="1"/>
        <n v="1.0561738843337229" u="1"/>
        <n v="1.0696858465012336" u="1"/>
        <n v="1.0886200349317896" u="1"/>
        <n v="1.0994060607536502" u="1"/>
        <n v="1.1239970484164528" u="1"/>
        <n v="0.94295996991166708" u="1"/>
        <n v="0.95424381230992106" u="1"/>
        <n v="0.97831400218643605" u="1"/>
        <n v="0.98699149520625118" u="1"/>
        <n v="0.98282151742645663" u="1"/>
        <n v="1.0068917073029713" u="1"/>
        <n v="0.96276804396209503" u="1"/>
        <n v="0.97570765280799732" u="1"/>
        <n v="0.98984324399862367" u="1"/>
        <n v="1.0096513180490516" u="1"/>
        <n v="1.0209351604473056" u="1"/>
        <n v="1.0466611167714686" u="1"/>
        <n v="0.88221751877296117" u="1"/>
        <n v="0.90628770864947628" u="1"/>
        <n v="0.95586947016116375" u="1"/>
        <n v="0.88111367447452915" u="1"/>
        <n v="0.90352809790339605" u="1"/>
        <n v="0.97021944604078048" u="1"/>
        <n v="1.1453648556919207" u="1"/>
        <n v="1.5196337268244231" u="1"/>
        <n v="0.96883053247357309" u="1"/>
        <n v="0.91035717612152056" u="1"/>
        <n v="1.0288866067535245" u="1"/>
        <n v="1.2607485057315508" u="1"/>
        <n v="1.2421975373471958" u="1"/>
        <n v="1.3772360000696131" u="1"/>
        <n v="1.2717869487158713" u="1"/>
        <n v="1.2532359803315165" u="1"/>
        <n v="1.3689571678313726" u="1"/>
        <n v="1.6444921914470181" u="1"/>
        <n v="1.5877354419955219" u="1"/>
        <n v="1.5675287071635196" u="1"/>
        <n v="1.3614446424313387" u="1"/>
        <n v="1.4702052266803767" u="1"/>
        <n v="1.2795138588048955" u="1"/>
        <n v="1.260962890420541" u="1"/>
        <n v="1.2524696734933105" u="1"/>
        <n v="1.2322629386613075" u="1"/>
        <n v="1.7036804008373361" u="1"/>
        <n v="1.5288308340563626" u="1"/>
        <n v="1.5552007439726767" u="1"/>
        <n v="1.5233475674591137" u="1"/>
        <n v="0.82689967184151403" u="1"/>
        <n v="0.98226830271107923" u="1"/>
        <n v="0.87669211932100077" u="1"/>
        <n v="0.99613853213730275" u="1"/>
        <n v="0.89836697180049951" u="1"/>
        <n v="1.0249999234282738" u="1"/>
        <n v="0.89901648405459755" u="1"/>
        <n v="1.0596100219682179" u="1"/>
        <n v="0.87144474360344837" u="1"/>
        <n v="1.0718353896730788" u="1"/>
        <n v="0.90931400184699163" u="1"/>
        <n v="1.142066521148458" u="1"/>
        <n v="0.66361068800006218" u="1"/>
        <n v="0.78525963213049699" u="1"/>
        <n v="1.0330904596475512" u="1"/>
        <n v="1.0097174550888655" u="1"/>
        <n v="0.86217507281323091" u="1"/>
        <n v="0.7424851113391393" u="1"/>
        <n v="0.75702915799513171" u="1"/>
        <n v="0.6574934790074618" u="1"/>
        <n v="0.76573714582121866" u="1"/>
        <n v="1.0240341694807555" u="1"/>
        <n v="1.0356608136093428" u="1"/>
        <n v="0.67365468960000896" u="1"/>
        <n v="0.73816302764730546" u="1"/>
        <n v="0.85247588661615736" u="1"/>
        <n v="0.76376729540084698" u="1"/>
        <n v="1.0483566655512786" u="1"/>
        <n v="0.83956881101516401" u="1"/>
        <n v="0.91121641444902146" u="1"/>
        <n v="0.73670136753690318" u="1"/>
        <n v="0.75737548919684761" u="1"/>
        <n v="0.80119041221783571" u="1"/>
        <n v="1.0206835668195988" u="1"/>
        <n v="0.70530242495481399" u="1"/>
        <n v="1.1411617636042115" u="1"/>
        <n v="1.1877818752134734" u="1"/>
        <n v="1.2104245350006884" u="1"/>
        <n v="1.3060982600135569" u="1"/>
        <n v="1.1658052557546483" u="1"/>
        <n v="1.1871158348850834" u="1"/>
        <n v="1.2050962123735671" u="1"/>
        <n v="1.2924763652534779" u="1"/>
        <n v="1.2157582803839126" u="1"/>
        <n v="2.1834391864495046" u="1"/>
        <n v="1.1884452041638123" u="1"/>
        <n v="1.2225421307725082" u="1"/>
        <n v="2.0463143728465809" u="1"/>
        <n v="2.0809248796117426" u="1"/>
        <n v="2.1163876191073117" u="1"/>
        <n v="2.1732984488463036" u="1"/>
        <n v="1.0965737792890247" u="1"/>
        <n v="1.1196474504657992" u="1"/>
        <n v="1.1432892767961789" u="1"/>
        <n v="1.1812298299555068" u="1"/>
        <n v="0.89913753146293762" u="1"/>
        <n v="1.0977100895962342" u="1"/>
        <n v="1.1213519159266134" u="1"/>
        <n v="1.1461300525642024" u="1"/>
        <n v="1.1647533305009696" u="1"/>
        <n v="0.88947889385165724" u="1"/>
        <n v="1.0886196071385585" u="1"/>
        <n v="1.1133977437761473" u="1"/>
        <n v="1.1234038464200133" u="1"/>
        <n v="1.1596399341185271" u="1"/>
        <n v="0.88493365262281953" u="1"/>
        <n v="1.100713685877172" u="1"/>
        <n v="1.1189305360257089" u="1"/>
        <n v="1.1423338310764375" u="1"/>
        <n v="1.1796638488264435" u="1"/>
        <n v="1.1024425008445693" u="1"/>
        <n v="1.1223881659605031" u="1"/>
        <n v="1.1457914610112316" u="1"/>
        <n v="1.1831214787612379" u="1"/>
        <n v="1.142973738686329" u="1"/>
        <n v="1.1762742026279889" u="1"/>
        <n v="1.1993478738047636" u="1"/>
        <n v="1.2361521166568823" u="1"/>
        <n v="1.1600183932944712" u="1"/>
        <n v="1.1853646850856647" u="1"/>
        <n v="1.2084383562624392" u="1"/>
        <n v="1.2452425991145579" u="1"/>
        <n v="1.1383965705347556" u="1"/>
        <n v="1.1626065520187396" u="1"/>
        <n v="1.1845439128883049" u="1"/>
        <n v="1.2054398114394909" u="1"/>
        <n v="1.1230563813874277" u="1"/>
        <n v="1.1455618974105974" u="1"/>
        <n v="1.1680674134337676" u="1"/>
        <n v="1.2043035011322816" u="1"/>
        <n v="1.1276016226162657" u="1"/>
        <n v="1.151243448946645" u="1"/>
        <n v="1.176021585584234" u="1"/>
        <n v="1.1974856392890247" u="1"/>
        <n v="1.1089681024400684" u="1"/>
        <n v="1.1319344480181515" u="1"/>
        <n v="1.156004637894666" u="1"/>
        <n v="1.2099707618751387" u="1"/>
        <n v="1.189764027043136" u="1"/>
        <n v="1.2138342169196508" u="1"/>
        <n v="1.2423197839898938" u="1"/>
        <n v="1.2775205548970214" u="1"/>
        <n v="1.2170236046326048" u="1"/>
        <n v="1.2236207763548423" u="1"/>
        <n v="1.2466944475316168" u="1"/>
        <n v="1.2846350006909453" u="1"/>
        <n v="1.1256678394768371" u="1"/>
        <n v="1.1470933912838424" u="1"/>
        <n v="1.170101661018746" u="1"/>
        <n v="1.1990013029550979" u="1"/>
        <n v="1.3230807879377833" u="1"/>
        <n v="1.3259215637058068" u="1"/>
        <n v="1.1721885210831036" u="1"/>
        <n v="1.192999499217819" u="1"/>
        <n v="1.2167324181425017" u="1"/>
        <n v="1.2557569871063821" u="1"/>
        <n v="1.1701131278265622" u="1"/>
        <n v="1.108347268459799" u="1"/>
        <n v="1.2599006855771389" u="1"/>
        <n v="1.6360062169670981" u="1"/>
        <n v="1.0771710024745291" u="1"/>
        <n v="1.0995854259033961" u="1"/>
        <n v="1.1236556157799109" u="1"/>
        <n v="1.14340256650899" u="1"/>
        <n v="0.61198286305297345" u="1"/>
        <n v="1.3209700494459842" u="1"/>
        <n v="0.62895025698080265" u="1"/>
        <n v="0.59843347192247698" u="1"/>
        <n v="0.41782598327724141" u="1"/>
        <n v="0.41645360783690699" u="1"/>
        <n v="1.2244128758010477" u="1"/>
        <n v="1.2484830656775627" u="1"/>
        <n v="1.2725532555540773" u="1"/>
        <n v="1.3110655593565013" u="1"/>
        <n v="2.1136407585487409" u="1"/>
        <n v="2.150807963505124" u="1"/>
        <n v="2.1879751684615076" u="1"/>
        <n v="2.2474426963917207" u="1"/>
        <n v="1.1315787086914988" u="1"/>
        <n v="1.1563568453290873" u="1"/>
        <n v="1.1960018639492296" u="1"/>
        <n v="0.88379734231560991" u="1"/>
        <n v="1.1226120087975371" u="1"/>
        <n v="1.147744118815663" u="1"/>
        <n v="1.1728762288337886" u="1"/>
        <n v="1.2130876048627901" u="1"/>
        <n v="1.1662680999841231" u="1"/>
        <n v="1.1910462366217121" u="1"/>
        <n v="1.215824373259301" u="1"/>
        <n v="1.2554693918794431" u="1"/>
        <n v="1.1811349819666763" u="1"/>
        <n v="1.2207800005868188" u="1"/>
        <n v="1.1233180783196848" u="1"/>
        <n v="1.1473882681961998" u="1"/>
        <n v="1.1714584580727148" u="1"/>
        <n v="1.185900571998624" u="1"/>
        <n v="1.2340409517516533" u="1"/>
        <n v="1.2455581372244076" u="1"/>
        <n v="1.2852031558445498" u="1"/>
        <n v="1.1335814291163318" u="1"/>
        <n v="1.1565896988512354" u="1"/>
        <n v="1.1795979685861393" u="1"/>
        <n v="1.2164112001619858" u="1"/>
        <n v="1.3446706837747628" u="1"/>
        <n v="1.1792011789790249" u="1"/>
        <n v="1.2046872623776879" u="1"/>
        <n v="1.2301733457763504" u="1"/>
        <n v="1.2709510792142109" u="1"/>
        <n v="1.1629706058955311" u="1"/>
        <n v="1.1117561993814273" u="1"/>
        <n v="1.2592513654015907" u="1"/>
        <n v="1.7236644406661132" u="1"/>
        <n v="1.0992478884431702" u="1"/>
        <n v="0.58763335646991355" u="1"/>
        <n v="0.87780214157923298" u="1"/>
        <n v="0.90187233145574808" u="1"/>
        <n v="1.1762724960480178" u="1"/>
        <n v="1.5902797619240738" u="1"/>
        <n v="0.97252354097200389" u="1"/>
        <n v="0.90349873176729201" u="1"/>
        <n v="1.0415483501767155" u="1"/>
        <n v="1.2966234454305923" u="1"/>
        <n v="1.4169743948131668" u="1"/>
        <n v="1.364019977084834" u="1"/>
        <n v="1.7250728252325573" u="1"/>
        <n v="1.6528622556030128" u="1"/>
        <n v="1.628792065726498" u="1"/>
        <n v="1.3929042049366518" u="1"/>
        <n v="1.5132551543192263" u="1"/>
        <n v="1.7803001815520307" u="1"/>
        <n v="1.5820750884513199" u="1"/>
        <n v="1.6103929588942789" u="1"/>
        <n v="1.5707479402741367" u="1"/>
        <n v="0.97573866753294058" u="1"/>
        <n v="0.98536674348354669" u="1"/>
        <n v="0.99980885740945546" u="1"/>
        <n v="1.0238790472859707" u="1"/>
        <n v="0.93628794282584205" u="1"/>
        <n v="0.94648237618530717" u="1"/>
        <n v="0.9617740262245047" u="1"/>
        <n v="0.85576804381131755" u="1"/>
        <n v="0.86567929846635305" u="1"/>
        <n v="0.88054618044890653" u="1"/>
        <n v="0.9053243170864953" u="1"/>
        <n v="0.8457596421997603" u="1"/>
        <n v="0.85538771815036629" u="1"/>
        <n v="0.86982983207627518" u="1"/>
        <n v="0.89390002195279017" u="1"/>
        <n v="0.87464387005157818" u="1"/>
        <n v="0.88427194600218417" u="1"/>
        <n v="0.89871405992809306" u="1"/>
        <n v="0.92278424980460794" u="1"/>
        <n v="0.97410625889990254" u="1"/>
        <n v="0.98330956679386428" u="1"/>
        <n v="0.99711452863480687" u="1"/>
        <n v="1.0201227983697105" u="1"/>
        <n v="1.0477327220515955" u="1"/>
        <n v="1.0569360299455572" u="1"/>
        <n v="1.0707409917864994" u="1"/>
        <n v="1.0937492615214033" u="1"/>
        <n v="1.1634861485697572" u="1"/>
        <n v="1.2272178813966854" u="1"/>
        <n v="1.1932364368651347" u="1"/>
        <n v="1.1989000109537262" u="1"/>
        <n v="1.2045635850423184" u="1"/>
        <n v="1.2158907332195017" u="1"/>
        <n v="1.2385450295738687" u="1"/>
        <n v="1.2555357518396437" u="1"/>
        <n v="1.2838536222826025" u="1"/>
        <n v="0.74513243525218287" u="1"/>
        <n v="0.92375310060382743" u="1"/>
        <n v="0.85157992600249477" u="1"/>
        <n v="1.0384238098991048" u="1"/>
        <n v="0.65234299486295666" u="1"/>
        <n v="0.79219757952583625" u="1"/>
        <n v="1.0498431889301436" u="1"/>
        <n v="1.0326591367783005" u="1"/>
        <n v="0.86713475339578661" u="1"/>
        <n v="0.74208892025110051" u="1"/>
        <n v="0.73207771933709176" u="1"/>
        <n v="0.66295753022296" u="1"/>
        <n v="0.71038813672006629" u="1"/>
        <n v="0.87650592391759585" u="1"/>
        <n v="0.85688802143514808" u="1"/>
        <n v="0.9154900518372181" u="1"/>
        <n v="0.73862572425023487" u="1"/>
        <n v="0.81896060042935404" u="1"/>
        <n v="0.79647516955706987" u="1"/>
        <n v="0.74453883910948038" u="1"/>
        <n v="0.84346046119277129" u="1"/>
        <n v="0.91696004348302329" u="1"/>
        <n v="0.71734377952892936" u="1"/>
        <n v="0.78282998570452966" u="1"/>
        <n v="0.80495353277437076" u="1"/>
        <n v="0.75004340732995622" u="1"/>
        <n v="0.74817595025326533" u="1"/>
        <n v="0.85505822886087457" u="1"/>
        <n v="0.94392945652664162" u="1"/>
        <n v="0.7116915373840621" u="1"/>
        <n v="0.71257303204472977" u="1"/>
        <n v="0.58075504991598503" u="1"/>
        <n v="0.54121693017966688" u="1"/>
        <n v="1.19552864794923" u="1"/>
        <n v="1.157016344146806" u="1"/>
        <n v="1.6613651256916047" u="1"/>
        <n v="2.1427689232219023" u="1"/>
        <n v="1.4631400325908936" u="1"/>
        <n v="1.4065042917049764" u="1"/>
        <n v="1.5084486252996274" u="1"/>
        <n v="1.1657930067451971" u="1"/>
        <n v="1.188801276480101" u="1"/>
        <n v="1.2486227777908512" u="1"/>
        <n v="1.2578260856848129" u="1"/>
        <n v="1.2808343554197168" u="1"/>
        <n v="1.0645566199116197" u="1"/>
        <n v="1.096768197540485" u="1"/>
        <n v="1.0869780627438388" u="1"/>
        <n v="1.0721111807612853" u="1"/>
        <n v="1.0820224354163208" u="1"/>
        <n v="0.9590819387062286" u="1"/>
        <n v="1.0666898463894718" u="1"/>
        <n v="1.0780169945666551" u="1"/>
        <n v="1.1063348650096139" u="1"/>
        <n v="0.93110865544917676" u="1"/>
        <n v="0.94031196334313827" u="1"/>
        <n v="0.96332023307804227" u="1"/>
        <n v="1.0231417343887925" u="1"/>
        <n v="1.032345042282754" u="1"/>
        <n v="1.0553533120176581" u="1"/>
        <n v="0.94491361729011902" u="1"/>
        <n v="0.95411692518408076" u="1"/>
        <n v="0.97712519491898453" u="1"/>
        <n v="1.0369466962297349" u="1"/>
        <n v="1.0461500041236966" u="1"/>
        <n v="1.0691582738586007" u="1"/>
        <n v="1.0875648896465238" u="1"/>
        <n v="1.1197764672753892" u="1"/>
        <n v="0.91150040740635385" u="1"/>
        <n v="0.92112848335695985" u="1"/>
        <n v="0.94519867323347473" u="1"/>
        <n v="0.95001271120877773" u="1"/>
        <n v="0.95964078715938361" u="1"/>
        <n v="0.98371097703589849" u="1"/>
        <n v="0.93075655930756573" u="1"/>
        <n v="0.94038463525817173" u="1"/>
        <n v="0.96445482513468672" u="1"/>
        <n v="0.99333905298650438" u="1"/>
        <n v="1.0174092428630195" u="1"/>
        <n v="0.60190891036870431" u="1"/>
        <n v="0.59038512466961801" u="1"/>
        <n v="0.76821395883273391" u="1"/>
        <n v="0.53666118967258791" u="1"/>
        <n v="0.76997518570452961" u="1"/>
        <n v="0.87592804601115337" u="1"/>
        <n v="0.76643704025975923" u="1"/>
        <n v="0.68343032665972614" u="1"/>
        <n v="1.1356096982491011" u="1"/>
        <n v="0.41148255901969577" u="1"/>
        <n v="1.2229642904221087" u="1"/>
        <n v="9.8719669523719489" u="1"/>
        <n v="0.50042240588127374" u="1"/>
        <n v="0.45743103436688182" u="1"/>
        <n v="1.3725228471734257" u="1"/>
        <n v="0.90361985162568104" u="1"/>
        <n v="0.41701867156772815" u="1"/>
        <n v="0.72864826381866366" u="1"/>
        <n v="1.2067839108517371" u="1"/>
        <n v="1.2305023246934055" u="1"/>
        <n v="1.2542207385350734" u="1"/>
        <n v="1.2921702006817426" u="1"/>
        <n v="2.083160461171814" u="1"/>
        <n v="2.1197844825449774" u="1"/>
        <n v="2.1564085039181418" u="1"/>
        <n v="2.2150069381152035" u="1"/>
        <n v="1.0908982669461422" u="1"/>
        <n v="1.1153142811949182" u="1"/>
        <n v="1.1397302954436941" u="1"/>
        <n v="1.1787959182417356" u="1"/>
        <n v="0.87115413870715841" u="1"/>
        <n v="1.1064825279025157" u="1"/>
        <n v="1.1312473423548457" u="1"/>
        <n v="1.1560121568071755" u="1"/>
        <n v="1.1956358599309032" u="1"/>
        <n v="1.1494967011432042" u="1"/>
        <n v="1.1739127153919806" u="1"/>
        <n v="1.1983287296407563" u="1"/>
        <n v="1.237394352438798" u="1"/>
        <n v="1.1641463096924702" u="1"/>
        <n v="1.2032119324905119" u="1"/>
        <n v="1.1071665727167315" u="1"/>
        <n v="1.1308849865583996" u="1"/>
        <n v="1.1546034004000676" u="1"/>
        <n v="1.1925528625467365" u="1"/>
        <n v="1.1688344487050686" u="1"/>
        <n v="1.2162712763884047" u="1"/>
        <n v="1.2276279467392874" u="1"/>
        <n v="1.2666935695373291" u="1"/>
        <n v="1.117268223026904" u="1"/>
        <n v="1.1399402362579099" u="1"/>
        <n v="1.1626122494889162" u="1"/>
        <n v="1.1988874706585262" u="1"/>
        <n v="1.3252920037343916" u="1"/>
        <n v="1.1622485723083034" u="1"/>
        <n v="1.187362186964187" u="1"/>
        <n v="1.2124758016200707" u="1"/>
        <n v="1.2526575850694852" u="1"/>
        <n v="1.1462864178863414" u="1"/>
        <n v="1.0957814697958972" u="1"/>
        <n v="1.2411600732530135" u="1"/>
        <n v="1.6987859403157859" u="1"/>
        <n v="1.0834481588750635" u="1"/>
        <n v="0.57927944975738643" u="1"/>
        <n v="0.86523875153171714" u="1"/>
        <n v="0.88895716537338509" u="1"/>
        <n v="0.96011240689838928" u="1"/>
        <n v="1.1593470831684014" u="1"/>
        <n v="1.5673038012450922" u="1"/>
        <n v="0.95856413040985988" u="1"/>
        <n v="0.89054809071684105" u="1"/>
        <n v="1.0265801701028785" u="1"/>
        <n v="1.277939152376742" u="1"/>
        <n v="1.3965312215850822" u="1"/>
        <n v="1.3443507111334121" u="1"/>
        <n v="1.7001269187584338" u="1"/>
        <n v="1.6289716772334291" u="1"/>
        <n v="1.6052532633917613" u="1"/>
        <n v="1.3728128077434139" u="1"/>
        <n v="1.4914048769517547" u="1"/>
        <n v="1.7545939728844173" u="1"/>
        <n v="1.559265858894209" u="1"/>
        <n v="1.5871698751785248" u="1"/>
        <n v="1.5481042523804831" u="1"/>
        <n v="0.96174397499286401" u="1"/>
        <n v="0.97123134052953108" u="1"/>
        <n v="0.98546238883453185" u="1"/>
        <n v="1.0091808026762001" u="1"/>
        <n v="0.92288541430008542" u="1"/>
        <n v="0.93293086016243909" u="1"/>
        <n v="0.94799902895596933" u="1"/>
        <n v="0.97311264361185323" u="1"/>
        <n v="0.84353447699999817" u="1"/>
        <n v="0.85330088269950866" u="1"/>
        <n v="0.86795049124877421" u="1"/>
        <n v="0.89236650549755014" u="1"/>
        <n v="0.83366454024785619" u="1"/>
        <n v="0.84315190578452348" u="1"/>
        <n v="0.85738295408952436" u="1"/>
        <n v="0.88110136793119254" u="1"/>
        <n v="0.86212663685785806" u="1"/>
        <n v="0.87161400239452513" u="1"/>
        <n v="0.88584505069952613" u="1"/>
        <n v="0.90956346454119397" u="1"/>
        <n v="0.96012371755898995" u="1"/>
        <n v="0.96919252285139246" u="1"/>
        <n v="0.98279573078999638" u="1"/>
        <n v="1.0054677440210025" u="1"/>
        <n v="1.0326741598982099" u="1"/>
        <n v="1.0417429651906125" u="1"/>
        <n v="1.0553461731292162" u="1"/>
        <n v="1.0780181863602225" u="1"/>
        <n v="1.1467476029578749" u="1"/>
        <n v="1.2095947455876879" u="1"/>
        <n v="1.1761099260465093" u="1"/>
        <n v="1.1816907293033723" u="1"/>
        <n v="1.1872715325602354" u="1"/>
        <n v="1.1984331390739615" u="1"/>
        <n v="1.220756352101414" u="1"/>
        <n v="1.237498761872003" u="1"/>
        <n v="1.2654027781563184" u="1"/>
        <n v="0.74084348522412991" u="1"/>
        <n v="0.91094013424738829" u="1"/>
        <n v="0.84667826882757702" u="1"/>
        <n v="1.0240331648363519" u="1"/>
        <n v="0.6486086945043219" u="1"/>
        <n v="0.7812581500669642" u="1"/>
        <n v="1.0436973227467701" u="1"/>
        <n v="1.0183527400685115" u="1"/>
        <n v="0.85516887856898649" u="1"/>
        <n v="0.73781906992273871" u="1"/>
        <n v="0.72206601071670207" u="1"/>
        <n v="0.65918427208656982" u="1"/>
        <n v="0.70069341252770345" u="1"/>
        <n v="0.86433436229662697" u="1"/>
        <n v="0.85188668310710935" u="1"/>
        <n v="0.90277820916374885" u="1"/>
        <n v="0.73436654568162596" u="1"/>
        <n v="0.807659496426265" u="1"/>
        <n v="0.79183636199162966" u="1"/>
        <n v="0.74024255255290017" u="1"/>
        <n v="0.83180130168958577" u="1"/>
        <n v="0.90422671747954819" u="1"/>
        <n v="0.71320156415546077" u="1"/>
        <n v="0.77202745981922383" u="1"/>
        <n v="0.80026151890264785" u="1"/>
        <n v="0.73972004395213276" u="1"/>
        <n v="0.74386790052552099" u="1"/>
        <n v="0.85013474345773832" u="1"/>
        <n v="0.93082162093482901" u="1"/>
        <n v="0.70758479288144871" u="1"/>
        <n v="0.7027972829611715" u="1"/>
        <n v="0.57295486056089728" u="1"/>
        <n v="0.53820766003092535" u="1"/>
        <n v="1.1783218142417358" u="1"/>
        <n v="1.140372352095067" u="1"/>
        <n v="1.6373971044902922" u="1"/>
        <n v="2.1117653813236541" u="1"/>
        <n v="1.4420689905000845" u="1"/>
        <n v="1.3862609579314538" u="1"/>
        <n v="1.4867154165549894" u="1"/>
        <n v="1.1490090415503125" u="1"/>
        <n v="1.1716810547813186" u="1"/>
        <n v="1.2306282891819351" u="1"/>
        <n v="1.2396970944743375" u="1"/>
        <n v="1.2623691077053438" u="1"/>
        <n v="1.049252183333885" u="1"/>
        <n v="1.0583209886262874" u="1"/>
        <n v="1.0809930018572937" u="1"/>
        <n v="1.0713654555471215" u="1"/>
        <n v="1.0567158469978557" u="1"/>
        <n v="1.0664822526973661" u="1"/>
        <n v="0.94537750063927062" u="1"/>
        <n v="1.0514127625196692" u="1"/>
        <n v="1.0625743690333953" u="1"/>
        <n v="1.0904783853177105" u="1"/>
        <n v="0.91775450659404856" u="1"/>
        <n v="0.92682331188645106" u="1"/>
        <n v="0.94949532511745727" u="1"/>
        <n v="1.0084425595180735" u="1"/>
        <n v="1.0175113648104761" u="1"/>
        <n v="1.0401833780414824" u="1"/>
        <n v="0.93135771453265248" u="1"/>
        <n v="0.94042651982505487" u="1"/>
        <n v="0.96309853305606108" u="1"/>
        <n v="1.0220457674566774" u="1"/>
        <n v="1.03111457274908" u="1"/>
        <n v="1.0537865859800861" u="1"/>
        <n v="1.0719241965648911" u="1"/>
        <n v="1.1036650150882998" u="1"/>
        <n v="0.89844453091005239" u="1"/>
        <n v="0.90793189644671957" u="1"/>
        <n v="0.93165031028838763" u="1"/>
        <n v="0.93639399305672133" u="1"/>
        <n v="0.94588135859338851" u="1"/>
        <n v="0.96959977243505646" u="1"/>
        <n v="0.91741926198338664" u="1"/>
        <n v="0.92690662752005393" u="1"/>
        <n v="0.95062504136172199" u="1"/>
        <n v="0.97908713797172364" u="1"/>
        <n v="1.0028055518133918" u="1"/>
        <n v="0.59743166727864527" u="1"/>
        <n v="0.58600347572835454" u="1"/>
        <n v="0.76375250562156927" u="1"/>
        <n v="0.52905222044561873" u="1"/>
        <n v="0.75911505981922378" u="1"/>
        <n v="0.87087359123870611" u="1"/>
        <n v="0.76201439233386781" u="1"/>
        <n v="0.67950093651138832" u="1"/>
        <n v="1.1288426384323542" u="1"/>
        <n v="0.40845601975130941" u="1"/>
        <n v="1.2156766875425351" u="1"/>
        <n v="9.7283794801273125" u="1"/>
        <n v="0.49761383507177215" u="1"/>
        <n v="0.45094096233716469" u="1"/>
        <n v="1.3527761383902752" u="1"/>
        <n v="0.89068695010617938" u="1"/>
        <n v="0.41467819589314348" u="1"/>
        <n v="0.72443510670348499" u="1"/>
        <n v="1.2180701859027185" u="1"/>
        <n v="1.1794432974814051" u="1"/>
        <n v="1.2244380086010476" u="1"/>
        <n v="1.2485081984775626" u="1"/>
        <n v="1.2725783883540771" u="1"/>
        <n v="1.3110906921565011" u="1"/>
        <n v="2.1136795665487411" u="1"/>
        <n v="2.1508467715051238" u="1"/>
        <n v="2.188013976461507" u="1"/>
        <n v="2.2474815043917205" u="1"/>
        <n v="1.10682644405391" u="1"/>
        <n v="1.1316045806914987" u="1"/>
        <n v="1.1563827173290877" u="1"/>
        <n v="1.1960277359492297" u="1"/>
        <n v="0.88382321431560995" u="1"/>
        <n v="1.1226382503975372" u="1"/>
        <n v="1.147770360415663" u="1"/>
        <n v="1.1729024704337889" u="1"/>
        <n v="1.2131138464627902" u="1"/>
        <n v="1.166293971984123" u="1"/>
        <n v="1.1910721086217122" u="1"/>
        <n v="1.2158502452593007" u="1"/>
        <n v="1.255495263879443" u="1"/>
        <n v="1.1811608539666767" u="1"/>
        <n v="1.2208058725868187" u="1"/>
        <n v="1.1233432111196853" u="1"/>
        <n v="1.1474134009962" u="1"/>
        <n v="1.1714835908727148" u="1"/>
        <n v="1.2099958946751388" u="1"/>
        <n v="1.1859257047986238" u="1"/>
        <n v="1.2340660845516531" u="1"/>
        <n v="1.2455840092244075" u="1"/>
        <n v="1.2852290278445495" u="1"/>
        <n v="1.1336054531163315" u="1"/>
        <n v="1.1566137228512356" u="1"/>
        <n v="1.1796219925861391" u="1"/>
        <n v="1.2164352241619856" u="1"/>
        <n v="1.344696555774763" u="1"/>
        <n v="1.1792277901790249" u="1"/>
        <n v="1.2047138735776879" u="1"/>
        <n v="1.2301999569763507" u="1"/>
        <n v="1.2709776904142112" u="1"/>
        <n v="1.1630001738955311" u="1"/>
        <n v="1.1117820713814275" u="1"/>
        <n v="1.2592809334015909" u="1"/>
        <n v="1.7236940086661132" u="1"/>
        <n v="1.0992730212431703" u="1"/>
        <n v="0.58765553246991364" u="1"/>
        <n v="0.87782727437923314" u="1"/>
        <n v="0.90189746425574802" u="1"/>
        <n v="0.97410803388529266" u="1"/>
        <n v="1.176297628848018" u="1"/>
        <n v="1.5903048947240739" u="1"/>
        <n v="0.9725475649720039" u="1"/>
        <n v="0.90352275576729213" u="1"/>
        <n v="1.0415723741767158" u="1"/>
        <n v="1.2966485782305921" u="1"/>
        <n v="1.4169995276131666" u="1"/>
        <n v="1.3640451098848339" u="1"/>
        <n v="1.7250979580325574" u="1"/>
        <n v="1.6528873884030126" u="1"/>
        <n v="1.6288171985264979" u="1"/>
        <n v="1.3929293377366516" u="1"/>
        <n v="1.5132802871192264" u="1"/>
        <n v="1.7803297495520309" u="1"/>
        <n v="1.5821046564513199" u="1"/>
        <n v="1.6104225268942791" u="1"/>
        <n v="1.5707775082741366" u="1"/>
        <n v="0.97576380033294075" u="1"/>
        <n v="0.98539187628354674" u="1"/>
        <n v="0.99983399020945551" u="1"/>
        <n v="1.0239041800859705" u="1"/>
        <n v="0.93631455402584207" u="1"/>
        <n v="0.94650898738530731" u="1"/>
        <n v="0.96180063742450483" u="1"/>
        <n v="0.98728672082316771" u="1"/>
        <n v="0.8557939158113177" u="1"/>
        <n v="0.86570517046635309" u="1"/>
        <n v="0.88057205244890657" u="1"/>
        <n v="0.90535018908649523" u="1"/>
        <n v="0.84578477499976035" u="1"/>
        <n v="0.85541285095036634" u="1"/>
        <n v="0.86985496487627523" u="1"/>
        <n v="0.89392515475279022" u="1"/>
        <n v="0.87466900285157823" u="1"/>
        <n v="0.88429707880218411" u="1"/>
        <n v="0.89873919272809322" u="1"/>
        <n v="0.92280938260460799" u="1"/>
        <n v="0.97413028289990278" u="1"/>
        <n v="0.9833335907938644" u="1"/>
        <n v="0.99713855263480677" u="1"/>
        <n v="1.0201468223697105" u="1"/>
        <n v="1.0477567460515955" u="1"/>
        <n v="1.056960053945557" u="1"/>
        <n v="1.0707650157864992" u="1"/>
        <n v="1.0937732855214035" u="1"/>
        <n v="1.1635112813697572" u="1"/>
        <n v="1.2272474493966852" u="1"/>
        <n v="1.1932660048651347" u="1"/>
        <n v="1.1989295789537264" u="1"/>
        <n v="1.2045931530423184" u="1"/>
        <n v="1.2159203012195017" u="1"/>
        <n v="1.2385745975738689" u="1"/>
        <n v="1.2555653198396439" u="1"/>
        <n v="1.2838831902826024" u="1"/>
        <n v="0.74547403525218281" u="1"/>
        <n v="0.92409470060382737" u="1"/>
        <n v="0.85197032600249467" u="1"/>
        <n v="1.0388142098991047" u="1"/>
        <n v="0.65266019486295679" u="1"/>
        <n v="0.79251477952583615" u="1"/>
        <n v="1.0502335889301437" u="1"/>
        <n v="1.0330495367783006" u="1"/>
        <n v="0.86748611339578674" u="1"/>
        <n v="0.74243052025110046" u="1"/>
        <n v="0.7324193193370917" u="1"/>
        <n v="0.66329913022295994" u="1"/>
        <n v="0.71072973672006634" u="1"/>
        <n v="0.87682312391759576" u="1"/>
        <n v="0.85721986143514806" u="1"/>
        <n v="0.91582189183721807" u="1"/>
        <n v="0.73895756425023484" u="1"/>
        <n v="0.81929244042935412" u="1"/>
        <n v="0.79679236955706989" u="1"/>
        <n v="0.74487067910948035" u="1"/>
        <n v="0.84379230119277138" u="1"/>
        <n v="0.91729188348302326" u="1"/>
        <n v="0.71766097952892938" u="1"/>
        <n v="0.78314718570452968" u="1"/>
        <n v="0.80527073277437078" u="1"/>
        <n v="0.75036060732995635" u="1"/>
        <n v="0.74851755025326516" u="1"/>
        <n v="0.85544862886087447" u="1"/>
        <n v="0.94427105652664156" u="1"/>
        <n v="0.71200873738406212" u="1"/>
        <n v="0.71289023204472979" u="1"/>
        <n v="0.58109664991598498" u="1"/>
        <n v="0.54155853017966693" u="1"/>
        <n v="1.2357900734074487" u="1"/>
        <n v="1.1965902961859807" u="1"/>
        <n v="1.6613946936916046" u="1"/>
        <n v="2.1427984912219022" u="1"/>
        <n v="1.4631696005908934" u="1"/>
        <n v="1.4065338597049761" u="1"/>
        <n v="1.5084781932996274" u="1"/>
        <n v="1.1658170307451972" u="1"/>
        <n v="1.1888253004801008" u="1"/>
        <n v="1.2486468017908512" u="1"/>
        <n v="1.2578501096848129" u="1"/>
        <n v="1.2808583794197166" u="1"/>
        <n v="1.0645806439116197" u="1"/>
        <n v="1.0737839518055814" u="1"/>
        <n v="1.0967922215404855" u="1"/>
        <n v="1.0870039347438387" u="1"/>
        <n v="1.0721370527612852" u="1"/>
        <n v="1.0820483074163207" u="1"/>
        <n v="0.95911150670622858" u="1"/>
        <n v="1.0667194143894718" u="1"/>
        <n v="1.0780465625666551" u="1"/>
        <n v="1.1063644330096141" u="1"/>
        <n v="0.93113267944917677" u="1"/>
      </sharedItems>
    </cacheField>
    <cacheField name="Stock Carring (M)" numFmtId="0">
      <sharedItems containsString="0" containsBlank="1" containsNumber="1" containsInteger="1" minValue="45" maxValue="120"/>
    </cacheField>
    <cacheField name="Payment Terms3" numFmtId="0">
      <sharedItems containsString="0" containsBlank="1" containsNumber="1" containsInteger="1" minValue="0" maxValue="120"/>
    </cacheField>
    <cacheField name="Working days" numFmtId="0">
      <sharedItems containsString="0" containsBlank="1" containsNumber="1" containsInteger="1" minValue="-120" maxValue="45" count="9">
        <n v="-15"/>
        <n v="-30"/>
        <n v="-45"/>
        <n v="15"/>
        <n v="-75"/>
        <n v="-120"/>
        <n v="-60"/>
        <m/>
        <n v="45" u="1"/>
      </sharedItems>
    </cacheField>
    <cacheField name="Capital Cost" numFmtId="0">
      <sharedItems containsBlank="1" containsMixedTypes="1" containsNumber="1" minValue="-0.15600811032160777" maxValue="2.9894338833308325"/>
    </cacheField>
    <cacheField name="Present Value (R$/KG)" numFmtId="0">
      <sharedItems containsBlank="1" containsMixedTypes="1" containsNumber="1" minValue="7.0294656033802561" maxValue="144.21926944582938" count="8000">
        <n v="16.691710038811937"/>
        <n v="16.154364728100106"/>
        <n v="19.714277411566016"/>
        <n v="25.423571337879277"/>
        <n v="17.363391677201733"/>
        <n v="17.900736987913568"/>
        <n v="8.4971940504564358"/>
        <n v="8.6909712310892413"/>
        <n v="16.288701055778059"/>
        <n v="19.647109247727041"/>
        <n v="11.989938570083371"/>
        <n v="12.25861122543929"/>
        <n v="12.997461027668065"/>
        <n v="14.004983485252756"/>
        <n v="16.020028400422145"/>
        <n v="12.930292863829084"/>
        <n v="12.9453912"/>
        <n v="13.518155699999999"/>
        <n v="11.643653699999998"/>
        <n v="12.494122199999998"/>
        <n v="11.730436199999998"/>
        <n v="12.1527777"/>
        <n v="13.07556495"/>
        <n v="11.6748954"/>
        <n v="11.383306199999998"/>
        <n v="11.128744199999998"/>
        <n v="8.602794900000001"/>
        <n v="11.296523699999998"/>
        <n v="8.4327012000000021"/>
        <n v="11.904001200000002"/>
        <n v="19.121485370976274"/>
        <n v="11.209741199999998"/>
        <n v="18.152341199999995"/>
        <n v="135.35801388333087"/>
        <n v="9.0401786999999985"/>
        <n v="12.511478699999998"/>
        <n v="14.945836653367291"/>
        <n v="14.548783468112243"/>
        <n v="14.614958998988085"/>
        <n v="14.681134529863922"/>
        <n v="14.813485591615606"/>
        <n v="15.078187715118975"/>
        <n v="15.2767143077465"/>
        <n v="15.607591962125712"/>
        <n v="13.953203690229662"/>
        <n v="14.085554751981347"/>
        <n v="14.284081344608873"/>
        <n v="13.423799443222929"/>
        <n v="13.556150504974614"/>
        <n v="13.754677097602135"/>
        <n v="12.762044134464507"/>
        <n v="12.894395196216191"/>
        <n v="13.092921788843718"/>
        <n v="11.967937763954406"/>
        <n v="12.100288825706089"/>
        <n v="12.298815418333616"/>
        <n v="12.629693072712826"/>
        <n v="11.637060109575197"/>
        <n v="11.76941117132688"/>
        <n v="14.879661122491452"/>
        <n v="15.21053877687066"/>
        <n v="15.739943023877396"/>
        <n v="15.93846961650492"/>
        <n v="16.269347270884129"/>
        <n v="16.00464514738076"/>
        <n v="17.196216974735027"/>
        <n v="17.33461361791705"/>
        <n v="17.542208582690087"/>
        <n v="18.580183406555278"/>
        <n v="18.718580049737302"/>
        <n v="18.926175014510346"/>
        <n v="15.812250542914773"/>
        <n v="15.950647186096798"/>
        <n v="16.158242150869835"/>
        <n v="15.189465648595659"/>
        <n v="18.856976692919332"/>
        <n v="18.995373336101355"/>
        <n v="19.341364944056416"/>
        <n v="11.729549569045025"/>
        <n v="11.66035124745401"/>
        <n v="11.798747890636035"/>
        <n v="12.1447394985911"/>
        <n v="20.240943124739587"/>
        <n v="20.379339767921611"/>
        <n v="20.725331375876674"/>
        <n v="13.044317679274267"/>
        <n v="13.805499216775406"/>
        <n v="13.943895859957431"/>
        <n v="14.151490824730468"/>
        <n v="15.327862291777686"/>
        <n v="15.535457256550721"/>
        <n v="14.013094181548444"/>
        <n v="14.359085789503508"/>
        <n v="15.3970606133687"/>
        <n v="15.743052221323763"/>
        <n v="16.435035437233886"/>
        <n v="16.573432080415913"/>
        <n v="16.781027045188949"/>
        <n v="12.629127749728191"/>
        <n v="13.390309287229329"/>
        <n v="13.45950760882034"/>
        <n v="13.597904252002365"/>
        <n v="14.220689146321483"/>
        <n v="14.566680754276543"/>
        <n v="13.533301374565903"/>
        <n v="13.874179806048726"/>
        <n v="14.896815100497189"/>
        <n v="17.760193924952883"/>
        <n v="23.623302946457411"/>
        <n v="15.51039627716627"/>
        <n v="14.487760982717802"/>
        <n v="16.533031571614728"/>
        <n v="19.191883337180734"/>
        <n v="18.851004905697913"/>
        <n v="20.078167259036068"/>
        <n v="24.441411182016179"/>
        <n v="23.418775887567719"/>
        <n v="23.077897456084894"/>
        <n v="20.555397063112018"/>
        <n v="21.441680984967352"/>
        <n v="22.805194710898636"/>
        <n v="20.75992412200171"/>
        <n v="20.419045690518892"/>
        <n v="20.009991572739501"/>
        <n v="26.853060179207688"/>
        <n v="20.994675496546574"/>
        <n v="19.820748874850825"/>
        <n v="18.18256904213602"/>
        <n v="18.724538649713327"/>
        <n v="23.324122224963755"/>
        <n v="19.614186873472306"/>
        <n v="25.563581546839796"/>
        <n v="22.596042299312728"/>
        <n v="25.63004951758041"/>
        <n v="24.746281152771562"/>
        <n v="11.533726799744231"/>
        <n v="14.955293416637947"/>
        <n v="20.144908055231969"/>
        <n v="9.7126856456793416"/>
        <n v="9.8412152568804689"/>
        <n v="9.1321904063578287"/>
        <n v="11.339914949999999"/>
        <n v="13.245080099999999"/>
        <n v="13.040273399999998"/>
        <n v="10.732437449999995"/>
        <n v="12.289315500000003"/>
        <n v="13.813216199999999"/>
        <n v="14.542189200000001"/>
        <n v="10.650861899999997"/>
        <n v="10.1683512"/>
        <n v="10.357305629999999"/>
        <n v="13.292521199999999"/>
        <n v="13.497675029999998"/>
        <n v="11.5568712"/>
        <n v="17.702369607637984"/>
        <n v="18.033247262017191"/>
        <n v="18.364124916396403"/>
        <n v="18.893529163403134"/>
        <n v="19.687635533913237"/>
        <n v="20.018513188292449"/>
        <n v="20.349390842671653"/>
        <n v="20.878795089678391"/>
        <n v="15.650928150486882"/>
        <n v="15.98180580486609"/>
        <n v="16.312683459245299"/>
        <n v="16.842087706252034"/>
        <n v="11.81274735968805"/>
        <n v="15.584752619611038"/>
        <n v="15.915630273990249"/>
        <n v="16.246507928369457"/>
        <n v="16.775912175376192"/>
        <n v="16.445034520996984"/>
        <n v="16.643561113624507"/>
        <n v="17.172965360631245"/>
        <n v="16.114156866617773"/>
        <n v="16.577385582748668"/>
        <n v="16.908263237127876"/>
        <n v="17.437667484134614"/>
        <n v="17.503843015010453"/>
        <n v="17.834720669389668"/>
        <n v="16.974438768003715"/>
        <n v="17.30531642238293"/>
        <n v="17.636194076762134"/>
        <n v="18.165598323768872"/>
        <n v="17.967071731141345"/>
        <n v="18.49647597814808"/>
        <n v="16.180332397493615"/>
        <n v="16.511210051872826"/>
        <n v="14.856821779976777"/>
        <n v="20.15086425004413"/>
        <n v="17.1067898297554"/>
        <n v="9.1657261246543751"/>
        <n v="18.761178101651449"/>
        <n v="14.815413666666666"/>
        <n v="14.552782416666668"/>
        <n v="13.601473666666665"/>
        <n v="14.728484248787669"/>
        <n v="12.870070464405085"/>
        <n v="17.864402204963188"/>
        <n v="19.878811203753163"/>
        <n v="17.407859278550049"/>
        <n v="9.8495306795936202"/>
        <n v="11.033683142941772"/>
        <n v="13.778706523297796"/>
        <e v="#N/A"/>
        <n v="17.027550858006837"/>
        <n v="13.131797355346023"/>
        <n v="12.661620208473169"/>
        <n v="13.93781532141378"/>
        <n v="14.273656140608676"/>
        <n v="15.146842270515412"/>
        <n v="17.632064332557654"/>
        <n v="15.452401557859355"/>
        <n v="8.6062662000000003"/>
        <n v="15.281178598193373"/>
        <n v="15.783279212238567"/>
        <n v="17.819001869054141"/>
        <n v="10.775828699999998"/>
        <n v="7.6240079205497002"/>
        <n v="16.138063565224996"/>
        <m/>
        <n v="16.69049623644516" u="1"/>
        <n v="16.153150925733325" u="1"/>
        <n v="19.713063609199239" u="1"/>
        <n v="25.4223575355125" u="1"/>
        <n v="17.362177874834952" u="1"/>
        <n v="17.899523185546787" u="1"/>
        <n v="8.4959802480896567" u="1"/>
        <n v="8.6897574287224622" u="1"/>
        <n v="16.287487253411282" u="1"/>
        <n v="19.64589544536026" u="1"/>
        <n v="11.988724767716592" u="1"/>
        <n v="12.257397423072511" u="1"/>
        <n v="12.996247225301286" u="1"/>
        <n v="14.003769682885977" u="1"/>
        <n v="16.018814598055368" u="1"/>
        <n v="12.929079061462303" u="1"/>
        <n v="12.938602879999999" u="1"/>
        <n v="13.511367380000001" u="1"/>
        <n v="11.63686538" u="1"/>
        <n v="12.48733388" u="1"/>
        <n v="11.72364788" u="1"/>
        <n v="12.145989380000001" u="1"/>
        <n v="13.06877663" u="1"/>
        <n v="11.668107080000002" u="1"/>
        <n v="11.376517879999998" u="1"/>
        <n v="11.12195588" u="1"/>
        <n v="8.5960065799999992" u="1"/>
        <n v="11.28973538" u="1"/>
        <n v="8.4259128800000003" u="1"/>
        <n v="11.897212880000001" u="1"/>
        <n v="19.114646328079147" u="1"/>
        <n v="11.20295288" u="1"/>
        <n v="18.14555288" u="1"/>
        <n v="135.35117484043374" u="1"/>
        <n v="9.0333903800000002" u="1"/>
        <n v="12.50469038" u="1"/>
        <n v="14.944640788966524" u="1"/>
        <n v="14.547587603711474" u="1"/>
        <n v="14.613763134587316" u="1"/>
        <n v="14.679938665463155" u="1"/>
        <n v="14.812289727214839" u="1"/>
        <n v="15.076991850718207" u="1"/>
        <n v="15.275518443345732" u="1"/>
        <n v="15.606396097724945" u="1"/>
        <n v="13.952007825828895" u="1"/>
        <n v="14.084358887580578" u="1"/>
        <n v="14.282885480208105" u="1"/>
        <n v="13.42260357882216" u="1"/>
        <n v="13.554954640573845" u="1"/>
        <n v="13.753481233201368" u="1"/>
        <n v="12.76084827006374" u="1"/>
        <n v="12.893199331815424" u="1"/>
        <n v="13.091725924442949" u="1"/>
        <n v="11.966741899553639" u="1"/>
        <n v="12.09909296130532" u="1"/>
        <n v="12.297619553932847" u="1"/>
        <n v="12.628497208312057" u="1"/>
        <n v="11.635864245174428" u="1"/>
        <n v="12.496146146560372" u="1"/>
        <n v="12.827023800939582" u="1"/>
        <n v="12.694672739187897" u="1"/>
        <n v="13.224076986194634" u="1"/>
        <n v="14.878465258090685" u="1"/>
        <n v="15.209342912469891" u="1"/>
        <n v="15.738747159476629" u="1"/>
        <n v="15.937273752104153" u="1"/>
        <n v="16.268151406483362" u="1"/>
        <n v="16.003449282979993" u="1"/>
        <n v="17.19496648519171" u="1"/>
        <n v="17.333363128373737" u="1"/>
        <n v="17.540958093146774" u="1"/>
        <n v="18.578932917011961" u="1"/>
        <n v="18.717329560193988" u="1"/>
        <n v="18.924924524967032" u="1"/>
        <n v="15.811000053371457" u="1"/>
        <n v="15.949396696553483" u="1"/>
        <n v="16.156991661326519" u="1"/>
        <n v="15.188215159052344" u="1"/>
        <n v="18.855726203376015" u="1"/>
        <n v="18.994122846558039" u="1"/>
        <n v="19.340114454513103" u="1"/>
        <n v="11.728299079501708" u="1"/>
        <n v="11.659100757910695" u="1"/>
        <n v="11.79749740109272" u="1"/>
        <n v="12.143489009047785" u="1"/>
        <n v="20.239692635196267" u="1"/>
        <n v="20.378089278378294" u="1"/>
        <n v="20.724080886333361" u="1"/>
        <n v="13.043067189730952" u="1"/>
        <n v="13.804248727232089" u="1"/>
        <n v="13.942645370414116" u="1"/>
        <n v="14.150240335187153" u="1"/>
        <n v="15.326611802234369" u="1"/>
        <n v="15.534206767007406" u="1"/>
        <n v="14.011843692005128" u="1"/>
        <n v="14.357835299960193" u="1"/>
        <n v="15.395810123825383" u="1"/>
        <n v="15.741801731780448" u="1"/>
        <n v="16.433784947690569" u="1"/>
        <n v="16.572181590872596" u="1"/>
        <n v="16.779776555645633" u="1"/>
        <n v="13.181463832912977" u="1"/>
        <n v="13.319860476094998" u="1"/>
        <n v="13.527455440868037" u="1"/>
        <n v="13.735050405641077" u="1"/>
        <n v="13.873447048823103" u="1"/>
        <n v="14.081042013596141" u="1"/>
        <n v="13.458257119277025" u="1"/>
        <n v="13.59665376245905" u="1"/>
        <n v="14.219438656778166" u="1"/>
        <n v="14.565430264733228" u="1"/>
        <n v="13.532069365163622" u="1"/>
        <n v="13.872947796646445" u="1"/>
        <n v="14.895583091094908" u="1"/>
        <n v="17.758961915550604" u="1"/>
        <n v="23.622070937055128" u="1"/>
        <n v="15.509164267763989" u="1"/>
        <n v="14.486528973315522" u="1"/>
        <n v="16.531799562212445" u="1"/>
        <n v="19.190651327778451" u="1"/>
        <n v="18.849772896295629" u="1"/>
        <n v="20.076935249633788" u="1"/>
        <n v="24.440179172613899" u="1"/>
        <n v="23.417543878165436" u="1"/>
        <n v="23.076665446682615" u="1"/>
        <n v="20.554165053709738" u="1"/>
        <n v="21.440448975565072" u="1"/>
        <n v="22.803962701496356" u="1"/>
        <n v="20.75869211259943" u="1"/>
        <n v="20.417813681116613" u="1"/>
        <n v="20.008759563337222" u="1"/>
        <n v="11.333126630000001" u="1"/>
        <n v="13.238291780000001" u="1"/>
        <n v="13.033485080000002" u="1"/>
        <n v="10.725649129999997" u="1"/>
        <n v="12.282527180000001" u="1"/>
        <n v="13.806427880000001" u="1"/>
        <n v="14.535400879999999" u="1"/>
        <n v="10.644073579999999" u="1"/>
        <n v="10.16156288" u="1"/>
        <n v="10.350517309999999" u="1"/>
        <n v="13.285732880000001" u="1"/>
        <n v="13.49088671" u="1"/>
        <n v="11.55008288" u="1"/>
        <n v="17.701173743237213" u="1"/>
        <n v="18.032051397616424" u="1"/>
        <n v="18.362929051995636" u="1"/>
        <n v="18.892333299002367" u="1"/>
        <n v="19.686439669512467" u="1"/>
        <n v="20.017317323891682" u="1"/>
        <n v="20.348194978270886" u="1"/>
        <n v="20.877599225277624" u="1"/>
        <n v="15.649732286086115" u="1"/>
        <n v="15.980609940465321" u="1"/>
        <n v="16.311487594844529" u="1"/>
        <n v="16.840891841851263" u="1"/>
        <n v="11.811551495287283" u="1"/>
        <n v="15.583556755210271" u="1"/>
        <n v="15.914434409589481" u="1"/>
        <n v="16.24531206396869" u="1"/>
        <n v="16.774716310975425" u="1"/>
        <n v="16.443838656596213" u="1"/>
        <n v="16.642365249223744" u="1"/>
        <n v="17.171769496230478" u="1"/>
        <n v="16.112961002217006" u="1"/>
        <n v="16.576189718347898" u="1"/>
        <n v="16.907067372727109" u="1"/>
        <n v="17.436471619733844" u="1"/>
        <n v="17.502647150609686" u="1"/>
        <n v="17.833524804988897" u="1"/>
        <n v="16.973242903602948" u="1"/>
        <n v="17.304120557982159" u="1"/>
        <n v="17.634998212361367" u="1"/>
        <n v="18.164402459368105" u="1"/>
        <n v="17.965875866740578" u="1"/>
        <n v="18.495280113747313" u="1"/>
        <n v="16.179136533092848" u="1"/>
        <n v="16.510014187472056" u="1"/>
        <n v="14.85562591557601" u="1"/>
        <n v="20.149668385643363" u="1"/>
        <n v="17.105593965354633" u="1"/>
        <n v="9.1645302602536063" u="1"/>
        <n v="18.759982237250682" u="1"/>
        <n v="14.804099799999999" u="1"/>
        <n v="14.541468550000001" u="1"/>
        <n v="13.590159799999999" u="1"/>
        <n v="13.771608123871216" u="1"/>
        <n v="17.026337055640056" u="1"/>
        <n v="13.130583552979243" u="1"/>
        <n v="12.660406406106388" u="1"/>
        <n v="13.936601519047001" u="1"/>
        <n v="14.272442338241897" u="1"/>
        <n v="15.145628468148633" u="1"/>
        <n v="17.630850530190873" u="1"/>
        <n v="15.451205693458586" u="1"/>
        <n v="8.5994778800000002" u="1"/>
        <n v="15.279964795826594" u="1"/>
        <n v="15.7820833478378" u="1"/>
        <n v="17.817751379510824" u="1"/>
        <n v="10.76904038" u="1"/>
        <n v="7.6227941181829211" u="1"/>
        <n v="16.505274156218125" u="1"/>
        <n v="15.974066209178185" u="1"/>
        <n v="19.493318858317792" u="1"/>
        <n v="25.137403295617165" u="1"/>
        <n v="17.169284090018049" u="1"/>
        <n v="17.700492037057995" u="1"/>
        <n v="8.404352963859024" u="1"/>
        <n v="8.5957756205502882" u="1"/>
        <n v="16.106868195938173" u="1"/>
        <n v="19.426917864937803" u="1"/>
        <n v="11.85720461961864" u="1"/>
        <n v="12.122808593138611" u="1"/>
        <n v="12.853219520318529" u="1"/>
        <n v="13.849234421018418" u="1"/>
        <n v="15.8412642224182" u="1"/>
        <n v="12.786818526938536" u="1"/>
        <n v="12.744656063557413" u="1"/>
        <n v="13.431705273384354" u="1"/>
        <n v="11.432279176495475" u="1"/>
        <n v="12.390168507268992" u="1"/>
        <n v="11.519770968966272" u="1"/>
        <n v="12.042989585230538" u="1"/>
        <n v="12.875893752263606" u="1"/>
        <n v="11.556939094376704" u="1"/>
        <n v="11.169803799083089" u="1"/>
        <n v="11.001452819115176" u="1"/>
        <n v="8.4323287960306139" u="1"/>
        <n v="11.082312006612295" u="1"/>
        <n v="8.1950828550760377" u="1"/>
        <n v="11.694754553907863" u="1"/>
        <n v="19.128437256791258" u="1"/>
        <n v="10.994820214141498" u="1"/>
        <n v="17.994163611805149" u="1"/>
        <n v="137.35173562665315" u="1"/>
        <n v="8.8075254023716081" u="1"/>
        <n v="12.307197101203434" u="1"/>
        <n v="14.77969682642801" u="1"/>
        <n v="14.387178638960073" u="1"/>
        <n v="14.452598336871398" u="1"/>
        <n v="14.518018034782719" u="1"/>
        <n v="14.648857430605364" u="1"/>
        <n v="14.910536222250656" u="1"/>
        <n v="15.106795315984623" u="1"/>
        <n v="15.433893805541238" u="1"/>
        <n v="13.798401357758168" u="1"/>
        <n v="13.929240753580816" u="1"/>
        <n v="14.125499847314781" u="1"/>
        <n v="13.275043774467585" u="1"/>
        <n v="13.405883170290233" u="1"/>
        <n v="13.602142264024197" u="1"/>
        <n v="12.620846795354357" u="1"/>
        <n v="12.751686191177003" u="1"/>
        <n v="12.947945284910974" u="1"/>
        <n v="11.835810420418486" u="1"/>
        <n v="11.966649816241128" u="1"/>
        <n v="12.1629089099751" u="1"/>
        <n v="12.490007399531711" u="1"/>
        <n v="11.508711930861869" u="1"/>
        <n v="12.359168003709065" u="1"/>
        <n v="12.686266493265681" u="1"/>
        <n v="12.555427097443035" u="1"/>
        <n v="13.078784680733618" u="1"/>
        <n v="14.714277128516688" u="1"/>
        <n v="15.041375618073301" u="1"/>
        <n v="15.564733201363884" u="1"/>
        <n v="15.760992295097852" u="1"/>
        <n v="16.088090784654465" u="1"/>
        <n v="15.826411993009176" u="1"/>
        <n v="17.004146067589815" u="1"/>
        <n v="17.140961994399618" u="1"/>
        <n v="17.346185884614329" u="1"/>
        <n v="18.372305335687869" u="1"/>
        <n v="18.509121262497679" u="1"/>
        <n v="18.714345152712387" u="1"/>
        <n v="15.635986799491757" u="1"/>
        <n v="15.772802726301562" u="1"/>
        <n v="15.978026616516269" u="1"/>
        <n v="15.020315128847631" u="1"/>
        <n v="18.645937189307482" u="1"/>
        <n v="18.782753116117288" u="1"/>
        <n v="19.124792933141798" u="1"/>
        <n v="11.599916958602485" u="1"/>
        <n v="11.531508995197582" u="1"/>
        <n v="11.668324922007386" u="1"/>
        <n v="12.010364739031903" u="1"/>
        <n v="20.014096457405543" u="1"/>
        <n v="20.150912384215346" u="1"/>
        <n v="20.492952201239859" u="1"/>
        <n v="12.899668263295641" u="1"/>
        <n v="13.65215586074957" u="1"/>
        <n v="13.788971787559378" u="1"/>
        <n v="13.994195677774083" u="1"/>
        <n v="15.157131055657439" u="1"/>
        <n v="15.362354945872143" u="1"/>
        <n v="13.857379750964281" u="1"/>
        <n v="14.199419567988796" u="1"/>
        <n v="15.225539019062339" u="1"/>
        <n v="15.567578836086854" u="1"/>
        <n v="16.251658470135879" u="1"/>
        <n v="16.388474396945689" u="1"/>
        <n v="16.5936982871604" u="1"/>
        <n v="13.036484190105448" u="1"/>
        <n v="13.17330011691525" u="1"/>
        <n v="13.378524007129959" u="1"/>
        <n v="13.583747897344669" u="1"/>
        <n v="13.720563824154477" u="1"/>
        <n v="13.925787714369184" u="1"/>
        <n v="13.310116043725058" u="1"/>
        <n v="13.446931970534864" u="1"/>
        <n v="14.062603641178988" u="1"/>
        <n v="14.404643458203502" u="1"/>
        <n v="13.383002854526767" u="1"/>
        <n v="13.719987895930231" u="1"/>
        <n v="14.730943020140616" u="1"/>
        <n v="17.561617367929703" u="1"/>
        <n v="23.357760080069259" u="1"/>
        <n v="15.337516094666853" u="1"/>
        <n v="14.326560970456462" u="1"/>
        <n v="16.34847121887724" u="1"/>
        <n v="18.976954541824245" u="1"/>
        <n v="18.639969500420783" u="1"/>
        <n v="19.853115649473249" u="1"/>
        <n v="24.166524179437566" u="1"/>
        <n v="23.155569055227183" u="1"/>
        <n v="22.81858401382372" u="1"/>
        <n v="20.324894707438091" u="1"/>
        <n v="21.201055815087095" u="1"/>
        <n v="22.548995980700948" u="1"/>
        <n v="20.52708573228017" u="1"/>
        <n v="20.190100690876708" u="1"/>
        <n v="19.785718641192556" u="1"/>
        <n v="26.838334967228231" u="1"/>
        <n v="20.979950284567117" u="1"/>
        <n v="19.806023662871368" u="1"/>
        <n v="18.167843830156563" u="1"/>
        <n v="18.709813437733871" u="1"/>
        <n v="23.309397012984299" u="1"/>
        <n v="19.59946166149285" u="1"/>
        <n v="25.548856334860339" u="1"/>
        <n v="22.581317087333272" u="1"/>
        <n v="25.615324305600954" u="1"/>
        <n v="24.731555940792106" u="1"/>
        <n v="11.519001587764775" u="1"/>
        <n v="14.940568204658488" u="1"/>
        <n v="20.130182843252509" u="1"/>
        <n v="9.698178047670023" u="1"/>
        <n v="9.8267076588711486" u="1"/>
        <n v="9.1176828083485102" u="1"/>
        <n v="11.126057902847693" u="1"/>
        <n v="13.153962135753591" u="1"/>
        <n v="12.94565478253052" u="1"/>
        <n v="10.513615355552123" u="1"/>
        <n v="12.181861154045921" u="1"/>
        <n v="13.619573988265369" u="1"/>
        <n v="14.473242039499718" u="1"/>
        <n v="10.515402328261338" u="1"/>
        <n v="9.9449187044919523" u="1"/>
        <n v="10.216828455308267" u="1"/>
        <n v="13.094623233440593" u="1"/>
        <n v="13.410874538062046" u="1"/>
        <n v="11.344787384024681" u="1"/>
        <n v="17.504328108805893" u="1"/>
        <n v="17.831426598362508" u="1"/>
        <n v="18.158525087919124" u="1"/>
        <n v="18.681882671209703" u="1"/>
        <n v="19.466919046145577" u="1"/>
        <n v="19.794017535702192" u="1"/>
        <n v="20.121116025258807" u="1"/>
        <n v="20.644473608549387" u="1"/>
        <n v="15.476317473554891" u="1"/>
        <n v="15.803415963111503" u="1"/>
        <n v="16.130514452668116" u="1"/>
        <n v="16.653872035958699" u="1"/>
        <n v="11.681974994698166" u="1"/>
        <n v="15.410897775643566" u="1"/>
        <n v="15.737996265200181" u="1"/>
        <n v="16.065094754756792" u="1"/>
        <n v="16.588452338047379" u="1"/>
        <n v="16.261353848490764" u="1"/>
        <n v="16.457612942224731" u="1"/>
        <n v="16.98097052551531" u="1"/>
        <n v="15.934255358934147" u="1"/>
        <n v="16.392193244313408" u="1"/>
        <n v="16.719291733870023" u="1"/>
        <n v="17.242649317160605" u="1"/>
        <n v="17.308069015071926" u="1"/>
        <n v="17.635167504628541" u="1"/>
        <n v="16.784711431781343" u="1"/>
        <n v="17.111809921337958" u="1"/>
        <n v="17.438908410894573" u="1"/>
        <n v="17.962265994185156" u="1"/>
        <n v="17.766006900451188" u="1"/>
        <n v="18.289364483741764" u="1"/>
        <n v="15.99967505684547" u="1"/>
        <n v="16.326773546402084" u="1"/>
        <n v="14.691281098619015" u="1"/>
        <n v="19.924856931524836" u="1"/>
        <n v="16.915550827603987" u="1"/>
        <n v="9.0651870782452555" u="1"/>
        <n v="18.551043275387055" u="1"/>
        <n v="14.710399026150732" u="1"/>
        <n v="14.439800959646282" u="1"/>
        <n v="13.459634629863494" u="1"/>
        <n v="14.713759036808211" u="1"/>
        <n v="12.855345252425625" u="1"/>
        <n v="17.849676992983728" u="1"/>
        <n v="19.864085991773706" u="1"/>
        <n v="17.393134066570589" u="1"/>
        <n v="9.8348054676141619" u="1"/>
        <n v="11.018957930962316" u="1"/>
        <n v="13.682206252720055" u="1"/>
        <n v="16.83727912311809" u="1"/>
        <n v="12.986021507078515" u="1"/>
        <n v="12.521214553418568" u="1"/>
        <n v="13.782833427638428" u="1"/>
        <n v="14.11483839453839" u="1"/>
        <n v="14.978051308478296" u="1"/>
        <n v="17.434888063538018" u="1"/>
        <n v="15.28005837982092" u="1"/>
        <n v="8.370066440017629" u="1"/>
        <n v="15.110853295238282" u="1"/>
        <n v="15.607156869377535" u="1"/>
        <n v="17.619817738233937" u="1"/>
        <n v="10.557361251787521" u="1"/>
        <n v="7.5411400499191181" u="1"/>
        <n v="16.140579683742498" u="1"/>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n v="21.309131935395449" u="1"/>
        <n v="19.910993494544776" u="1"/>
        <n v="25.942316880722345" u="1"/>
        <n v="24.85641415916135" u="1"/>
        <n v="24.494446585307692" u="1"/>
        <n v="20.947164361541784" u="1"/>
        <n v="22.757002230810102" u="1"/>
        <n v="20.223229213834458" u="1"/>
        <n v="20.585196787688126" u="1"/>
        <n v="20.078442184292992" u="1"/>
        <n v="14.243323542285701" u="1"/>
        <n v="14.383862773561846" u="1"/>
        <n v="14.59467162047606" u="1"/>
        <n v="14.946019698666422" u="1"/>
        <n v="12.908200845162334" u="1"/>
        <n v="13.048740076438479" u="1"/>
        <n v="13.259548923352693" u="1"/>
        <n v="13.610897001543053" u="1"/>
        <n v="12.135235073143541" u="1"/>
        <n v="12.275774304419684" u="1"/>
        <n v="12.486583151333903" u="1"/>
        <n v="12.83793122952426" u="1"/>
        <n v="12.346043920057756" u="1"/>
        <n v="12.697391998248118" u="1"/>
        <n v="12.76766161388619" u="1"/>
        <n v="13.119009692076549" u="1"/>
        <n v="13.47035777026691" u="1"/>
        <n v="14.875750083028347" u="1"/>
        <n v="15.016289314304494" u="1"/>
        <n v="15.227098161218711" u="1"/>
        <n v="15.57844623940907" u="1"/>
        <n v="16.000063933237502" u="1"/>
        <n v="16.140603164513649" u="1"/>
        <n v="16.351412011427861" u="1"/>
        <n v="16.702760089618224" u="1"/>
        <n v="16.983838552170514" u="1"/>
        <n v="14.805480467390279" u="1"/>
        <n v="15.086558929942566" u="1"/>
        <n v="15.367637392494855" u="1"/>
        <n v="15.929794317599429" u="1"/>
        <n v="10.810542791156649" u="1"/>
        <n v="13.400542438755492" u="1"/>
        <n v="13.181124568094889" u="1"/>
        <n v="10.192709245936937" u="1"/>
        <n v="12.37659237567267" u="1"/>
        <n v="13.326007939551197" u="1"/>
        <n v="13.107985277874686" u="1"/>
        <n v="12.230313795232266" u="1"/>
        <n v="10.766411823640956" u="1"/>
        <n v="10.621249410387829" u="1"/>
        <n v="9.6190066682329203" u="1"/>
        <n v="10.306750462440961" u="1"/>
        <n v="13.693099599636302" u="1"/>
        <n v="12.796436329362869" u="1"/>
        <n v="13.671157812570238" u="1"/>
        <n v="11.03119762873512" u="1"/>
        <n v="12.443388589237319" u="1"/>
        <n v="11.119459563766506" u="1"/>
        <n v="12.596010246333275" u="1"/>
        <n v="11.207721498797895" u="1"/>
        <n v="12.575781491784403" u="1"/>
        <n v="11.718338763690854" u="1"/>
        <n v="12.619912459300096" u="1"/>
        <n v="11.133224441929244" u="1"/>
        <n v="8.4270707037817818" u="1"/>
        <n v="7.8537679676051679" u="1"/>
        <n v="18.447153463949412" u="1"/>
        <n v="17.8620391421878" u="1"/>
        <n v="20.922894995689383" u="1"/>
        <n v="26.985406084864046" u="1"/>
        <n v="18.426566900146874" u="1"/>
        <n v="17.713330301420442" u="1"/>
        <n v="18.997156179128016" u="1"/>
        <n v="18.469153962257749" u="1"/>
        <n v="18.616112797242337" u="1"/>
        <n v="18.983509884703807" u="1"/>
        <n v="19.938742312103624" u="1"/>
        <n v="20.085701147088212" u="1"/>
        <n v="20.453098234549678" u="1"/>
        <n v="16.999565612411875" u="1"/>
        <n v="17.146524447396462" u="1"/>
        <n v="17.513921534857932" u="1"/>
        <n v="16.117812602504351" u="1"/>
        <n v="15.897374350027468" u="1"/>
        <n v="16.044333185012054" u="1"/>
        <n v="16.411730272473527" u="1"/>
        <n v="12.443841727889662" u="1"/>
        <n v="13.839950660243245" u="1"/>
        <n v="13.986909495227831" u="1"/>
        <n v="14.354306582689299" u="1"/>
        <n v="14.868662505135356" u="1"/>
        <n v="15.015621340119942" u="1"/>
        <n v="15.383018427581412" u="1"/>
        <n v="16.338250854981229" u="1"/>
        <n v="16.485209689965817" u="1"/>
        <n v="16.852606777427287" u="1"/>
        <n v="15.089100757612236" u="1"/>
        <n v="15.236059592596826" u="1"/>
        <n v="15.603456680058292" u="1"/>
        <n v="16.558689107458111" u="1"/>
        <n v="16.705647942442702" u="1"/>
        <n v="17.073045029904172" u="1"/>
        <n v="17.366962699873344" u="1"/>
        <n v="17.881318622319402" u="1"/>
        <n v="13.913430077735537" u="1"/>
        <n v="14.060388912720123" u="1"/>
        <n v="14.427786000181593" u="1"/>
        <n v="14.501265417673887" u="1"/>
        <n v="14.648224252658473" u="1"/>
        <n v="14.207347747704711" u="1"/>
        <n v="14.72170367015077" u="1"/>
        <n v="15.162580175104528" u="1"/>
        <n v="15.529977262566" u="1"/>
        <n v="15.286193767272538" u="1"/>
        <n v="14.993777705158223" u="1"/>
        <n v="12.002078914080384" u="1"/>
        <n v="9.0118437969579794" u="1"/>
        <n v="19.690279040918117" u="1"/>
        <n v="10.678149888609569" u="1"/>
        <n v="17.739104691120577" u="1"/>
        <n v="13.934581746833038" u="1"/>
        <n v="144.21926944582938" u="1"/>
        <n v="8.4716015128248792" u="1"/>
        <n v="9.2176376271955327" u="1"/>
        <n v="11.38424536886067" u="1"/>
        <n v="13.855579549739522" u="1"/>
        <n v="18.061255581753905" u="1"/>
        <n v="18.204968774251924" u="1"/>
        <n v="18.564251755496961" u="1"/>
        <n v="19.498387506734062" u="1"/>
        <n v="19.642100699232078" u="1"/>
        <n v="20.001383680477112" u="1"/>
        <n v="16.624123656773751" u="1"/>
        <n v="16.767836849271767" u="1"/>
        <n v="17.127119830516808" u="1"/>
        <n v="15.761844501785662" u="1"/>
        <n v="15.546274713038637" u="1"/>
        <n v="15.68998790553665" u="1"/>
        <n v="16.049270886781692" u="1"/>
        <n v="12.169014689335274" u="1"/>
        <n v="13.534290018066423" u="1"/>
        <n v="13.678003210564437" u="1"/>
        <n v="14.037286191809475" u="1"/>
        <n v="14.540282365552528" u="1"/>
        <n v="14.683995558050542" u="1"/>
        <n v="15.043278539295583" u="1"/>
        <n v="15.977414290532682" u="1"/>
        <n v="16.121127483030698" u="1"/>
        <n v="16.480410464275735" u="1"/>
        <n v="14.75585215429955" u="1"/>
        <n v="14.899565346797567" u="1"/>
        <n v="15.258848328042605" u="1"/>
        <n v="16.192984079279707" u="1"/>
        <n v="16.336697271777723" u="1"/>
        <n v="16.695980253022764" u="1"/>
        <n v="16.983406638018792" u="1"/>
        <n v="17.486402811761845" u="1"/>
        <n v="13.606146614315429" u="1"/>
        <n v="13.749859806813443" u="1"/>
        <n v="14.109142788058483" u="1"/>
        <n v="14.180999384307491" u="1"/>
        <n v="14.324712576805505" u="1"/>
        <n v="13.893572999311459" u="1"/>
        <n v="14.396569173054514" u="1"/>
        <n v="14.827708750548556" u="1"/>
        <n v="15.186991731793599" u="1"/>
        <n v="17.872152677240027" u="1"/>
        <n v="18.223500755430393" u="1"/>
        <n v="18.574848833620752" u="1"/>
        <n v="19.13700575872533" u="1"/>
        <n v="19.980241146382195" u="1"/>
        <n v="20.33158922457255" u="1"/>
        <n v="20.682937302762912" u="1"/>
        <n v="21.24509422786749" u="1"/>
        <n v="15.693794592459797" u="1"/>
        <n v="16.045142670650158" u="1"/>
        <n v="16.396490748840517" u="1"/>
        <n v="16.958647673945091" u="1"/>
        <n v="12.531661888746555" u="1"/>
        <n v="16.53702998011666" u="1"/>
        <n v="16.888378058307023" u="1"/>
        <n v="17.239726136497382" u="1"/>
        <n v="17.801883061601959" u="1"/>
        <n v="16.747838827030879" u="1"/>
        <n v="17.309995752135453" u="1"/>
        <n v="17.099186905221238" u="1"/>
        <n v="17.661343830325816" u="1"/>
        <n v="18.012691908516171" u="1"/>
        <n v="19.066736143087255" u="1"/>
        <n v="16.255951517564373" u="1"/>
        <n v="16.607299595754736" u="1"/>
        <n v="17.520804599049669" u="1"/>
        <n v="14.428941510974498" u="1"/>
        <n v="15.764064208097867" u="1"/>
        <n v="15.623524976821724" u="1"/>
        <n v="21.38563345914363" u="1"/>
        <n v="9.7208772632236755" u="1"/>
        <n v="13.20000542841685" u="1"/>
        <n v="13.561973002270514" u="1"/>
        <n v="14.647875723831504" u="1"/>
        <n v="17.688403344202282" u="1"/>
        <n v="23.914245614485296" u="1"/>
        <n v="15.299417356768098" u="1"/>
        <n v="14.213514635207106" u="1"/>
        <n v="16.385320078329091" u="1"/>
        <n v="19.4982412134706" u="1"/>
        <n v="19.136273639616935" u="1"/>
        <n v="21.308079082738917" u="1"/>
        <n v="19.909971530744119" u="1"/>
        <n v="25.941264028065813" u="1"/>
        <n v="24.855361306504822" u="1"/>
        <n v="24.49339373265116" u="1"/>
        <n v="20.946111508885252" u="1"/>
        <n v="22.755949378153574" u="1"/>
        <n v="20.222176361177926" u="1"/>
        <n v="20.584143935031594" u="1"/>
        <n v="20.077389331636464" u="1"/>
        <n v="14.242301578485042" u="1"/>
        <n v="14.38284080976119" u="1"/>
        <n v="14.593649656675403" u="1"/>
        <n v="14.944997734865765" u="1"/>
        <n v="12.907178881361675" u="1"/>
        <n v="13.047718112637822" u="1"/>
        <n v="13.258526959552036" u="1"/>
        <n v="13.609875037742396" u="1"/>
        <n v="12.134213109342884" u="1"/>
        <n v="12.274752340619028" u="1"/>
        <n v="12.485561187533246" u="1"/>
        <n v="12.836909265723603" u="1"/>
        <n v="12.345021956257099" u="1"/>
        <n v="12.69637003444746" u="1"/>
        <n v="12.766639650085533" u="1"/>
        <n v="13.117987728275892" u="1"/>
        <n v="13.469335806466251" u="1"/>
        <n v="14.874728119227692" u="1"/>
        <n v="15.015267350503835" u="1"/>
        <n v="15.226076197418053" u="1"/>
        <n v="15.577424275608413" u="1"/>
        <n v="15.999041969436846" u="1"/>
        <n v="16.139581200712989" u="1"/>
        <n v="16.350390047627204" u="1"/>
        <n v="16.701738125817567" u="1"/>
        <n v="16.982816588369857" u="1"/>
        <n v="14.80445850358962" u="1"/>
        <n v="15.085536966141909" u="1"/>
        <n v="15.366615428694198" u="1"/>
        <n v="15.928772353798774" u="1"/>
        <n v="10.80455023115665" u="1"/>
        <n v="13.394549878755496" u="1"/>
        <n v="13.17513200809489" u="1"/>
        <n v="10.186716685936938" u="1"/>
        <n v="12.370599815672671" u="1"/>
        <n v="13.320015379551196" u="1"/>
        <n v="13.101992717874687" u="1"/>
        <n v="12.224321235232269" u="1"/>
        <n v="10.760419263640957" u="1"/>
        <n v="10.61525685038783" u="1"/>
        <n v="13.849586989739523" u="1"/>
        <n v="9.6130141082329192" u="1"/>
        <n v="10.300757902440962" u="1"/>
        <n v="13.687107039636302" u="1"/>
        <n v="12.79044376936287" u="1"/>
        <n v="13.665165252570239" u="1"/>
        <n v="11.025205068735122" u="1"/>
        <n v="12.43739602923732" u="1"/>
        <n v="11.113467003766507" u="1"/>
        <n v="12.590017686333276" u="1"/>
        <n v="11.201728938797896" u="1"/>
        <n v="12.569788931784403" u="1"/>
        <n v="11.712346203690855" u="1"/>
        <n v="12.613919899300097" u="1"/>
        <n v="11.378252808860671" u="1"/>
        <n v="11.127231881929243" u="1"/>
        <n v="8.4210781437817808" u="1"/>
        <n v="7.8477754076051678" u="1"/>
        <n v="18.441160903949417" u="1"/>
        <n v="17.856046582187798" u="1"/>
        <n v="20.921857702431716" u="1"/>
        <n v="26.984368791606379" u="1"/>
        <n v="18.425529606889206" u="1"/>
        <n v="17.712293008162774" u="1"/>
        <n v="18.996118885870349" u="1"/>
        <n v="18.060210537753907" u="1"/>
        <n v="18.203923730251923" u="1"/>
        <n v="18.563206711496964" u="1"/>
        <n v="19.497342462734064" u="1"/>
        <n v="19.64105565523208" u="1"/>
        <n v="20.000338636477114" u="1"/>
        <n v="16.623078612773753" u="1"/>
        <n v="16.766791805271769" u="1"/>
        <n v="17.126074786516806" u="1"/>
        <n v="15.760799457785659" u="1"/>
        <n v="15.545229669038635" u="1"/>
        <n v="15.688942861536649" u="1"/>
        <n v="16.04822584278169" u="1"/>
        <n v="13.533244974066422" u="1"/>
        <n v="13.676958166564436" u="1"/>
        <n v="14.036241147809474" u="1"/>
        <n v="14.539237321552529" u="1"/>
        <n v="14.682950514050543" u="1"/>
        <n v="15.042233495295582" u="1"/>
        <n v="15.976369246532681" u="1"/>
        <n v="16.120082439030696" u="1"/>
        <n v="16.479365420275737" u="1"/>
        <n v="14.75480711029955" u="1"/>
        <n v="14.898520302797568" u="1"/>
        <n v="15.257803284042604" u="1"/>
        <n v="16.191939035279706" u="1"/>
        <n v="16.335652227777725" u="1"/>
        <n v="16.694935209022759" u="1"/>
        <n v="16.982361594018791" u="1"/>
        <n v="17.485357767761844" u="1"/>
        <n v="13.605101570315428" u="1"/>
        <n v="13.748814762813442" u="1"/>
        <n v="14.108097744058481" u="1"/>
        <n v="14.179954340307491" u="1"/>
        <n v="14.323667532805505" u="1"/>
        <n v="13.89252795531146" u="1"/>
        <n v="14.395524129054515" u="1"/>
        <n v="14.826663706548556" u="1"/>
        <n v="15.185946687793598" u="1"/>
        <n v="15.273709267272537" u="1"/>
        <n v="14.981293205158224" u="1"/>
        <n v="11.996086354080383" u="1"/>
        <n v="9.0108065037003122" u="1"/>
        <n v="19.684241704006538" u="1"/>
        <n v="10.672157328609568" u="1"/>
        <n v="17.733112131120574" u="1"/>
        <n v="13.922097246833038" u="1"/>
        <n v="144.21323210891782" u="1"/>
        <n v="8.4656089528248799" u="1"/>
        <n v="9.2166003339378655" u="1"/>
        <n v="17.871630975439693" u="1"/>
        <n v="18.222979053630056" u="1"/>
        <n v="18.574327131820411" u="1"/>
        <n v="19.136484056924992" u="1"/>
        <n v="19.979719444581857" u="1"/>
        <n v="20.331067522772212" u="1"/>
        <n v="20.682415600962575" u="1"/>
        <n v="21.244572526067152" u="1"/>
        <n v="15.693272890659463" u="1"/>
        <n v="16.044620968849824" u="1"/>
        <n v="16.395969047040182" u="1"/>
        <n v="16.958125972144757" u="1"/>
        <n v="12.531140186946219" u="1"/>
        <n v="16.536508278316322" u="1"/>
        <n v="16.887856356506688" u="1"/>
        <n v="17.239204434697047" u="1"/>
        <n v="17.801361359801625" u="1"/>
        <n v="16.747317125230545" u="1"/>
        <n v="17.309474050335119" u="1"/>
        <n v="17.098665203420904" u="1"/>
        <n v="17.660822128525481" u="1"/>
        <n v="18.012170206715833" u="1"/>
        <n v="19.066214441286917" u="1"/>
        <n v="16.255429815764039" u="1"/>
        <n v="16.606777893954401" u="1"/>
        <n v="17.520282897249334" u="1"/>
        <n v="14.428419809174164" u="1"/>
        <n v="15.763542506297533" u="1"/>
        <n v="15.623003275021388" u="1"/>
        <n v="21.385111757343292" u="1"/>
        <n v="9.7203555614233395" u="1"/>
        <n v="13.1994679581796" u="1"/>
        <n v="13.561435532033265" u="1"/>
        <n v="14.647338253594253" u="1"/>
        <n v="17.687865873965034" u="1"/>
        <n v="23.913708144248044" u="1"/>
        <n v="15.298879886530848" u="1"/>
        <n v="14.212977164969857" u="1"/>
        <n v="16.38478260809184" u="1"/>
        <n v="19.497703743233348" u="1"/>
        <n v="19.135736169379683" u="1"/>
        <n v="21.307541612501662" u="1"/>
        <n v="19.909449828943782" u="1"/>
        <n v="25.940726557828558" u="1"/>
        <n v="24.854823836267567" u="1"/>
        <n v="24.492856262413909" u="1"/>
        <n v="20.945574038647997" u="1"/>
        <n v="22.755411907916319" u="1"/>
        <n v="20.221638890940671" u="1"/>
        <n v="20.58360646479434" u="1"/>
        <n v="20.076851861399209" u="1"/>
        <n v="14.241779876684708" u="1"/>
        <n v="14.382319107960855" u="1"/>
        <n v="14.593127954875069" u="1"/>
        <n v="14.944476033065431" u="1"/>
        <n v="12.906657179561341" u="1"/>
        <n v="13.047196410837486" u="1"/>
        <n v="13.2580052577517" u="1"/>
        <n v="13.609353335942062" u="1"/>
        <n v="12.13369140754255" u="1"/>
        <n v="12.274230638818691" u="1"/>
        <n v="12.48503948573291" u="1"/>
        <n v="12.836387563923269" u="1"/>
        <n v="12.344500254456765" u="1"/>
        <n v="12.695848332647126" u="1"/>
        <n v="12.766117948285197" u="1"/>
        <n v="13.117466026475558" u="1"/>
        <n v="13.468814104665917" u="1"/>
        <n v="14.874206417427358" u="1"/>
        <n v="15.014745648703501" u="1"/>
        <n v="15.225554495617718" u="1"/>
        <n v="15.576902573808077" u="1"/>
        <n v="15.998520267636511" u="1"/>
        <n v="16.139059498912655" u="1"/>
        <n v="16.34986834582687" u="1"/>
        <n v="16.701216424017232" u="1"/>
        <n v="16.982294886569523" u="1"/>
        <n v="14.803936801789284" u="1"/>
        <n v="15.085015264341573" u="1"/>
        <n v="15.366093726893862" u="1"/>
        <n v="15.928250651998439" u="1"/>
        <n v="11.816915364017607" u="1"/>
        <n v="13.391902758755494" u="1"/>
        <n v="11.463867623892057" u="1"/>
        <n v="13.172484888094889" u="1"/>
        <n v="11.02255794873512" u="1"/>
        <n v="12.367952695672672" u="1"/>
        <n v="13.317368259551197" u="1"/>
        <n v="13.099345597874686" u="1"/>
        <n v="12.221674115232268" u="1"/>
        <n v="10.757772143640956" u="1"/>
        <n v="10.612609730387829" u="1"/>
        <n v="9.6103669882329186" u="1"/>
        <n v="10.298110782440961" u="1"/>
        <n v="13.684459919636302" u="1"/>
        <n v="12.787796649362871" u="1"/>
        <n v="13.662518132570238" u="1"/>
        <n v="12.434748909237319" u="1"/>
        <n v="11.640391493954832" u="1"/>
        <n v="12.587370566333275" u="1"/>
        <n v="11.199081818797895" u="1"/>
        <n v="12.567141811784403" u="1"/>
        <n v="11.709699083690854" u="1"/>
        <n v="11.37560568886067" u="1"/>
        <n v="12.611272779300096" u="1"/>
        <n v="11.124584761929244" u="1"/>
        <n v="8.4184310237817819" u="1"/>
        <n v="18.438513783949414" u="1"/>
        <n v="17.853399462187799" u="1"/>
        <n v="20.921328175104374" u="1"/>
        <n v="26.983839264279037" u="1"/>
        <n v="18.425000079561862" u="1"/>
        <n v="17.711763480835433" u="1"/>
        <n v="18.995589358543008" u="1"/>
        <n v="18.059677053753909" u="1"/>
        <n v="18.203390246251924" u="1"/>
        <n v="18.562673227496958" u="1"/>
        <n v="19.496808978734059" u="1"/>
        <n v="19.640522171232075" u="1"/>
        <n v="19.999805152477112" u="1"/>
        <n v="16.622545128773751" u="1"/>
        <n v="16.766258321271767" u="1"/>
        <n v="17.125541302516808" u="1"/>
        <n v="15.760265973785659" u="1"/>
        <n v="15.544696185038635" u="1"/>
        <n v="15.688409377536649" u="1"/>
        <n v="16.047692358781692" u="1"/>
        <n v="13.532711490066422" u="1"/>
        <n v="13.676424682564436" u="1"/>
        <n v="14.035707663809475" u="1"/>
        <n v="14.538703837552529" u="1"/>
        <n v="14.682417030050543" u="1"/>
        <n v="15.041700011295582" u="1"/>
        <n v="15.975835762532682" u="1"/>
        <n v="16.119548955030698" u="1"/>
        <n v="16.478831936275736" u="1"/>
        <n v="14.75427362629955" u="1"/>
        <n v="14.897986818797568" u="1"/>
        <n v="15.257269800042604" u="1"/>
        <n v="16.191405551279704" u="1"/>
        <n v="16.335118743777723" u="1"/>
        <n v="16.694401725022761" u="1"/>
        <n v="16.981828110018792" u="1"/>
        <n v="17.484824283761846" u="1"/>
        <n v="13.604568086315428" u="1"/>
        <n v="13.748281278813444" u="1"/>
        <n v="14.107564260058483" u="1"/>
        <n v="14.179420856307491" u="1"/>
        <n v="14.323134048805505" u="1"/>
        <n v="13.891994471311461" u="1"/>
        <n v="14.394990645054515" u="1"/>
        <n v="14.826130222548557" u="1"/>
        <n v="15.185413203793598" u="1"/>
        <n v="15.268194433939206" u="1"/>
        <n v="14.975778371824891" u="1"/>
        <n v="12.699534714331483" u="1"/>
        <n v="9.0102769763729729" u="1"/>
        <n v="19.681574804503587" u="1"/>
        <n v="11.63844804114127" u="1"/>
        <n v="11.193840863030154" u="1"/>
        <n v="17.862948534696883" u="1"/>
        <n v="19.741600860461237" u="1"/>
        <n v="13.916582413499706" u="1"/>
        <n v="18.944716873113585" u="1"/>
        <n v="8.5261977943634637" u="1"/>
        <n v="9.2160708066105261" u="1"/>
        <n v="9.4154121505856949" u="1"/>
        <n v="17.8711712108394" u="1"/>
        <n v="18.222519289029762" u="1"/>
        <n v="18.573867367220117" u="1"/>
        <n v="19.136024292324695" u="1"/>
        <n v="19.979259679981563" u="1"/>
        <n v="20.330607758171919" u="1"/>
        <n v="20.681955836362278" u="1"/>
        <n v="21.244112761466855" u="1"/>
        <n v="15.692813126059166" u="1"/>
        <n v="16.044161204249527" u="1"/>
        <n v="16.395509282439885" u="1"/>
        <n v="16.957666207544463" u="1"/>
        <n v="12.530680422345924" u="1"/>
        <n v="16.536048513716029" u="1"/>
        <n v="16.887396591906391" u="1"/>
        <n v="17.238744670096754" u="1"/>
        <n v="17.800901595201328" u="1"/>
        <n v="16.746857360630248" u="1"/>
        <n v="17.309014285734825" u="1"/>
        <n v="17.098205438820603" u="1"/>
        <n v="17.660362363925184" u="1"/>
        <n v="18.01171044211554" u="1"/>
        <n v="19.065754676686623" u="1"/>
        <n v="16.254970051163742" u="1"/>
        <n v="16.606318129354104" u="1"/>
        <n v="17.519823132649037" u="1"/>
        <n v="14.427960044573867" u="1"/>
        <n v="15.763082741697238" u="1"/>
        <n v="15.622543510421092" u="1"/>
        <n v="21.384651992742999" u="1"/>
        <n v="9.7198957968230442" u="1"/>
        <n v="13.198994297194259" u="1"/>
        <n v="13.560961871047924" u="1"/>
        <n v="14.646864592608914" u="1"/>
        <n v="17.687392212979692" u="1"/>
        <n v="23.913234483262706" u="1"/>
        <n v="15.298406225545509" u="1"/>
        <n v="14.212503503984518" u="1"/>
        <n v="16.384308947106497" u="1"/>
        <n v="19.497230082248009" u="1"/>
        <n v="19.135262508394344" u="1"/>
        <n v="21.307067951516327" u="1"/>
        <n v="19.908990064343488" u="1"/>
        <n v="25.940252896843223" u="1"/>
        <n v="24.854350175282232" u="1"/>
        <n v="24.49238260142857" u="1"/>
        <n v="20.945100377662662" u="1"/>
        <n v="22.754938246930983" u="1"/>
        <n v="20.221165229955336" u="1"/>
        <n v="20.583132803809004" u="1"/>
        <n v="20.076378200413874" u="1"/>
        <n v="14.241320112084413" u="1"/>
        <n v="14.381859343360558" u="1"/>
        <n v="14.592668190274772" u="1"/>
        <n v="14.944016268465136" u="1"/>
        <n v="12.906197414961047" u="1"/>
        <n v="13.046736646237191" u="1"/>
        <n v="13.257545493151405" u="1"/>
        <n v="13.608893571341765" u="1"/>
        <n v="12.133231642942254" u="1"/>
        <n v="12.273770874218396" u="1"/>
        <n v="12.484579721132615" u="1"/>
        <n v="12.835927799322972" u="1"/>
        <n v="12.344040489856468" u="1"/>
        <n v="12.69538856804683" u="1"/>
        <n v="12.765658183684902" u="1"/>
        <n v="13.117006261875261" u="1"/>
        <n v="13.468354340065622" u="1"/>
        <n v="14.873746652827059" u="1"/>
        <n v="15.014285884103206" u="1"/>
        <n v="15.225094731017425" u="1"/>
        <n v="15.576442809207782" u="1"/>
        <n v="15.998060503036218" u="1"/>
        <n v="16.138599734312361" u="1"/>
        <n v="16.349408581226577" u="1"/>
        <n v="16.700756659416935" u="1"/>
        <n v="16.981835121969226" u="1"/>
        <n v="14.803477037188991" u="1"/>
        <n v="15.084555499741278" u="1"/>
        <n v="15.365633962293566" u="1"/>
        <n v="15.927790887398141" u="1"/>
        <n v="11.816598684017608" u="1"/>
        <n v="13.391586078755497" u="1"/>
        <n v="11.463550943892058" u="1"/>
        <n v="13.17216820809489" u="1"/>
        <n v="11.022241268735122" u="1"/>
        <n v="12.367636015672673" u="1"/>
        <n v="13.317051579551196" u="1"/>
        <n v="13.099028917874687" u="1"/>
        <n v="12.221357435232271" u="1"/>
        <n v="10.757455463640957" u="1"/>
        <n v="10.61229305038783" u="1"/>
        <n v="9.6100503082329194" u="1"/>
        <n v="10.297794102440962" u="1"/>
        <n v="13.684143239636303" u="1"/>
        <n v="12.787479969362872" u="1"/>
        <n v="13.662201452570239" u="1"/>
        <n v="12.43443222923732" u="1"/>
        <n v="11.640074813954834" u="1"/>
        <n v="12.587053886333276" u="1"/>
        <n v="11.198765138797896" u="1"/>
        <n v="12.566825131784404" u="1"/>
        <n v="11.709382403690855" u="1"/>
        <n v="11.375289008860671" u="1"/>
        <n v="12.610956099300097" u="1"/>
        <n v="11.124268081929243" u="1"/>
        <n v="8.4181143437817809" u="1"/>
        <n v="18.438197103949417" u="1"/>
        <n v="17.853082782187798" u="1"/>
        <n v="20.920861514035074" u="1"/>
        <n v="26.983372603209737" u="1"/>
        <n v="18.424533418492565" u="1"/>
        <n v="17.711296819766137" u="1"/>
        <n v="18.995122697473708" u="1"/>
        <n v="18.059206905753907" u="1"/>
        <n v="18.202920098251923" u="1"/>
        <n v="18.56220307949696" u="1"/>
        <n v="19.496338830734061" u="1"/>
        <n v="19.640052023232077" u="1"/>
        <n v="19.999335004477114" u="1"/>
        <n v="16.62207498077375" u="1"/>
        <n v="16.765788173271766" u="1"/>
        <n v="17.125071154516807" u="1"/>
        <n v="15.759795825785661" u="1"/>
        <n v="15.544226037038635" u="1"/>
        <n v="15.687939229536649" u="1"/>
        <n v="16.04722221078169" u="1"/>
        <n v="13.532241342066422" u="1"/>
        <n v="13.675954534564436" u="1"/>
        <n v="14.035237515809474" u="1"/>
        <n v="14.538233689552529" u="1"/>
        <n v="14.681946882050543" u="1"/>
        <n v="15.041229863295582" u="1"/>
        <n v="15.975365614532681" u="1"/>
        <n v="16.119078807030697" u="1"/>
        <n v="16.478361788275734" u="1"/>
        <n v="14.753803478299551" u="1"/>
        <n v="14.897516670797568" u="1"/>
        <n v="15.256799652042604" u="1"/>
        <n v="16.190935403279706" u="1"/>
        <n v="16.334648595777722" u="1"/>
        <n v="16.693931577022763" u="1"/>
        <n v="16.981357962018794" u="1"/>
        <n v="17.484354135761841" u="1"/>
        <n v="13.604097938315428" u="1"/>
        <n v="13.747811130813442" u="1"/>
        <n v="14.107094112058482" u="1"/>
        <n v="14.178950708307489" u="1"/>
        <n v="14.322663900805503" u="1"/>
        <n v="13.891524323311458" u="1"/>
        <n v="14.394520497054513" u="1"/>
        <n v="14.825660074548557" u="1"/>
        <n v="15.184943055793598" u="1"/>
        <n v="15.267534683939205" u="1"/>
        <n v="14.97511862182489" u="1"/>
        <n v="12.699218034331484" u="1"/>
        <n v="9.0098103153036728" u="1"/>
        <n v="19.681255758244038" u="1"/>
        <n v="11.638128994881717" u="1"/>
        <n v="11.1935218167706" u="1"/>
        <n v="17.862629488437328" u="1"/>
        <n v="13.915922663499705" u="1"/>
        <n v="18.944397826854029" u="1"/>
        <n v="8.52587874810391" u="1"/>
        <n v="9.2156041455412261" u="1"/>
        <n v="9.4150931043261394" u="1"/>
        <n v="17.869779301304337" u="1"/>
        <n v="18.2211273794947" u="1"/>
        <n v="18.572475457685059" u="1"/>
        <n v="19.134632382789636" u="1"/>
        <n v="19.977867770446505" u="1"/>
        <n v="20.329215848636856" u="1"/>
        <n v="20.680563926827219" u="1"/>
        <n v="21.242720851931796" u="1"/>
        <n v="15.691421216524105" u="1"/>
        <n v="16.042769294714468" u="1"/>
        <n v="16.394117372904827" u="1"/>
        <n v="16.956274298009404" u="1"/>
        <n v="12.529288512810863" u="1"/>
        <n v="16.53465660418097" u="1"/>
        <n v="16.886004682371333" u="1"/>
        <n v="17.237352760561691" u="1"/>
        <n v="17.799509685666266" u="1"/>
        <n v="16.745465451095185" u="1"/>
        <n v="17.307622376199763" u="1"/>
        <n v="17.096813529285548" u="1"/>
        <n v="17.658970454390122" u="1"/>
        <n v="18.010318532580481" u="1"/>
        <n v="19.064362767151565" u="1"/>
        <n v="16.25357814162868" u="1"/>
        <n v="16.604926219819042" u="1"/>
        <n v="17.518431223113978" u="1"/>
        <n v="14.426568135038808" u="1"/>
        <n v="15.761690832162177" u="1"/>
        <n v="15.621151600886032" u="1"/>
        <n v="21.383260083207936" u="1"/>
        <n v="9.7185038872879836" u="1"/>
        <n v="13.197560317193503" u="1"/>
        <n v="13.559527891047168" u="1"/>
        <n v="14.645430612608155" u="1"/>
        <n v="17.685958232978933" u="1"/>
        <n v="23.911800503261947" u="1"/>
        <n v="15.296972245544751" u="1"/>
        <n v="14.21106952398376" u="1"/>
        <n v="16.382874967105739" u="1"/>
        <n v="19.495796102247251" u="1"/>
        <n v="19.133828528393586" u="1"/>
        <n v="21.305633971515569" u="1"/>
        <n v="19.907598154808426" u="1"/>
        <n v="25.938818916842465" u="1"/>
        <n v="24.85291619528147" u="1"/>
        <n v="24.490948621427812" u="1"/>
        <n v="20.943666397661904" u="1"/>
        <n v="22.753504266930225" u="1"/>
        <n v="20.219731249954577" u="1"/>
        <n v="20.581698823808246" u="1"/>
        <n v="20.074944220413116" u="1"/>
        <n v="14.239928202549352" u="1"/>
        <n v="14.380467433825498" u="1"/>
        <n v="14.591276280739711" u="1"/>
        <n v="14.942624358930075" u="1"/>
        <n v="12.904805505425987" u="1"/>
        <n v="13.04534473670213" u="1"/>
        <n v="13.256153583616344" u="1"/>
        <n v="13.607501661806705" u="1"/>
        <n v="12.131839733407194" u="1"/>
        <n v="12.272378964683336" u="1"/>
        <n v="12.483187811597555" u="1"/>
        <n v="12.834535889787912" u="1"/>
        <n v="12.342648580321409" u="1"/>
        <n v="12.69399665851177" u="1"/>
        <n v="12.764266274149842" u="1"/>
        <n v="13.115614352340202" u="1"/>
        <n v="13.466962430530561" u="1"/>
        <n v="14.872354743291998" u="1"/>
        <n v="15.012893974568145" u="1"/>
        <n v="15.223702821482364" u="1"/>
        <n v="15.575050899672721" u="1"/>
        <n v="15.996668593501154" u="1"/>
        <n v="16.137207824777303" u="1"/>
        <n v="16.348016671691514" u="1"/>
        <n v="16.699364749881877" u="1"/>
        <n v="16.980443212434164" u="1"/>
        <n v="14.80208512765393" u="1"/>
        <n v="15.083163590206217" u="1"/>
        <n v="15.364242052758506" u="1"/>
        <n v="15.926398977863082" u="1"/>
        <n v="11.941044829617606" u="1"/>
        <n v="13.516032224355495" u="1"/>
        <n v="11.587997089492056" u="1"/>
        <n v="13.296614353694888" u="1"/>
        <n v="11.146687414335121" u="1"/>
        <n v="12.492082161272672" u="1"/>
        <n v="13.441497725151194" u="1"/>
        <n v="13.223475063474686" u="1"/>
        <n v="12.345803580832268" u="1"/>
        <n v="10.881901609240956" u="1"/>
        <n v="10.736739195987829" u="1"/>
        <n v="9.7344964538329197" u="1"/>
        <n v="10.422240248040961" u="1"/>
        <n v="13.808589385236301" u="1"/>
        <n v="12.911926114962869" u="1"/>
        <n v="13.786647598170237" u="1"/>
        <n v="12.558878374837319" u="1"/>
        <n v="11.764520959554833" u="1"/>
        <n v="12.711500031933275" u="1"/>
        <n v="11.323211284397894" u="1"/>
        <n v="12.691271277384402" u="1"/>
        <n v="11.833828549290853" u="1"/>
        <n v="11.499735154460669" u="1"/>
        <n v="12.735402244900095" u="1"/>
        <n v="11.248714227529241" u="1"/>
        <n v="8.5425604893817813" u="1"/>
        <n v="18.562643249549414" u="1"/>
        <n v="17.977528927787798" u="1"/>
        <n v="20.919448725856988" u="1"/>
        <n v="26.981959815031651" u="1"/>
        <n v="18.423120630314479" u="1"/>
        <n v="17.70988403158805" u="1"/>
        <n v="18.993709909295621" u="1"/>
        <n v="18.057783561103907" u="1"/>
        <n v="18.201496753601923" u="1"/>
        <n v="18.56077973484696" u="1"/>
        <n v="19.494915486084061" u="1"/>
        <n v="19.638628678582077" u="1"/>
        <n v="19.997911659827114" u="1"/>
        <n v="16.62065163612375" u="1"/>
        <n v="16.764364828621765" u="1"/>
        <n v="17.123647809866807" u="1"/>
        <n v="15.758372481135661" u="1"/>
        <n v="15.542802692388635" u="1"/>
        <n v="15.686515884886649" u="1"/>
        <n v="16.04579886613169" u="1"/>
        <n v="13.530817997416422" u="1"/>
        <n v="13.674531189914436" u="1"/>
        <n v="14.033814171159475" u="1"/>
        <n v="14.536810344902529" u="1"/>
        <n v="14.680523537400543" u="1"/>
        <n v="15.039806518645582" u="1"/>
        <n v="15.973942269882681" u="1"/>
        <n v="16.117655462380696" u="1"/>
        <n v="16.476938443625734" u="1"/>
        <n v="14.752380133649551" u="1"/>
        <n v="14.896093326147568" u="1"/>
        <n v="15.255376307392604" u="1"/>
        <n v="16.189512058629706" u="1"/>
        <n v="16.333225251127722" u="1"/>
        <n v="16.692508232372763" u="1"/>
        <n v="16.979934617368791" u="1"/>
        <n v="17.482930791111848" u="1"/>
        <n v="13.602674593665428" u="1"/>
        <n v="13.746387786163442" u="1"/>
        <n v="14.105670767408483" u="1"/>
        <n v="14.177527363657491" u="1"/>
        <n v="14.321240556155505" u="1"/>
        <n v="13.890100978661458" u="1"/>
        <n v="14.393097152404515" u="1"/>
        <n v="14.824236729898557" u="1"/>
        <n v="15.183519711143598" u="1"/>
        <n v="15.865052581022537" u="1"/>
        <n v="15.572636518908222" u="1"/>
        <n v="12.823664179931482" u="1"/>
        <n v="9.0083975271255863" u="1"/>
        <n v="19.80663177589501" u="1"/>
        <n v="11.763505012532686" u="1"/>
        <n v="11.31889783442157" u="1"/>
        <n v="17.988005506088296" u="1"/>
        <n v="14.513440560583037" u="1"/>
        <n v="19.069773844505001" u="1"/>
        <n v="8.6512547657548815" u="1"/>
        <n v="9.2141913573631395" u="1"/>
        <n v="9.5404691219771109" u="1"/>
        <n v="17.871535201073797" u="1"/>
        <n v="18.222883279264163" u="1"/>
        <n v="18.574231357454522" u="1"/>
        <n v="19.1363882825591" u="1"/>
        <n v="19.979623670215965" u="1"/>
        <n v="20.33097174840632" u="1"/>
        <n v="20.682319826596682" u="1"/>
        <n v="21.24447675170126" u="1"/>
        <n v="15.693177116293567" u="1"/>
        <n v="16.044525194483928" u="1"/>
        <n v="16.395873272674287" u="1"/>
        <n v="16.958030197778861" u="1"/>
        <n v="12.531044412580325" u="1"/>
        <n v="16.53641250395043" u="1"/>
        <n v="16.887760582140793" u="1"/>
        <n v="17.239108660331151" u="1"/>
        <n v="17.801265585435729" u="1"/>
        <n v="16.747221350864649" u="1"/>
        <n v="17.309378275969223" u="1"/>
        <n v="17.098569429055008" u="1"/>
        <n v="17.660726354159586" u="1"/>
        <n v="18.012074432349941" u="1"/>
        <n v="19.066118666921025" u="1"/>
        <n v="16.255334041398143" u="1"/>
        <n v="16.606682119588505" u="1"/>
        <n v="17.520187122883438" u="1"/>
        <n v="14.428324034808268" u="1"/>
        <n v="15.763446731931637" u="1"/>
        <n v="15.622907500655494" u="1"/>
        <n v="21.3850159829774" u="1"/>
        <n v="9.7202597870574454" u="1"/>
        <n v="13.199369289033495" u="1"/>
        <n v="13.56133686288716" u="1"/>
        <n v="14.647239584448149" u="1"/>
        <n v="17.687767204818929" u="1"/>
        <n v="23.913609475101943" u="1"/>
        <n v="15.298781217384743" u="1"/>
        <n v="14.212878495823754" u="1"/>
        <n v="16.384683938945734" u="1"/>
        <n v="19.497605074087247" u="1"/>
        <n v="19.135637500233582" u="1"/>
        <n v="21.307442943355564" u="1"/>
        <n v="19.909354054577889" u="1"/>
        <n v="25.94062788868246" u="1"/>
        <n v="24.854725167121469" u="1"/>
        <n v="24.492757593267807" u="1"/>
        <n v="20.945475369501899" u="1"/>
        <n v="22.755313238770217" u="1"/>
        <n v="20.221540221794573" u="1"/>
        <n v="20.583507795648242" u="1"/>
        <n v="20.076753192253108" u="1"/>
        <n v="14.241684102318812" u="1"/>
        <n v="14.382223333594959" u="1"/>
        <n v="14.593032180509173" u="1"/>
        <n v="14.944380258699535" u="1"/>
        <n v="12.906561405195445" u="1"/>
        <n v="13.047100636471592" u="1"/>
        <n v="13.257909483385804" u="1"/>
        <n v="13.609257561576166" u="1"/>
        <n v="12.133595633176654" u="1"/>
        <n v="12.274134864452797" u="1"/>
        <n v="12.484943711367015" u="1"/>
        <n v="12.836291789557373" u="1"/>
        <n v="12.344404480090869" u="1"/>
        <n v="12.69575255828123" u="1"/>
        <n v="12.766022173919303" u="1"/>
        <n v="13.117370252109662" u="1"/>
        <n v="13.468718330300021" u="1"/>
        <n v="14.874110643061462" u="1"/>
        <n v="15.014649874337605" u="1"/>
        <n v="15.225458721251822" u="1"/>
        <n v="15.576806799442181" u="1"/>
        <n v="15.998424493270615" u="1"/>
        <n v="16.138963724546759" u="1"/>
        <n v="16.349772571460974" u="1"/>
        <n v="16.701120649651337" u="1"/>
        <n v="16.982199112203627" u="1"/>
        <n v="14.803841027423388" u="1"/>
        <n v="15.084919489975679" u="1"/>
        <n v="15.365997952527968" u="1"/>
        <n v="15.928154877632544" u="1"/>
        <n v="11.935899997617607" u="1"/>
        <n v="13.510887392355494" u="1"/>
        <n v="11.582852257492057" u="1"/>
        <n v="13.291469521694887" u="1"/>
        <n v="11.14154258233512" u="1"/>
        <n v="12.486937329272671" u="1"/>
        <n v="13.436352893151199" u="1"/>
        <n v="13.218330231474688" u="1"/>
        <n v="12.340658748832269" u="1"/>
        <n v="10.876756777240955" u="1"/>
        <n v="10.731594363987828" u="1"/>
        <n v="9.7293516218329188" u="1"/>
        <n v="10.417095416040961" u="1"/>
        <n v="13.803444553236302" u="1"/>
        <n v="12.90678128296287" u="1"/>
        <n v="13.781502766170238" u="1"/>
        <n v="12.553733542837319" u="1"/>
        <n v="11.759376127554832" u="1"/>
        <n v="12.706355199933276" u="1"/>
        <n v="11.318066452397895" u="1"/>
        <n v="12.686126445384405" u="1"/>
        <n v="11.828683717290856" u="1"/>
        <n v="11.49459032246067" u="1"/>
        <n v="12.730257412900096" u="1"/>
        <n v="11.24356939552924" u="1"/>
        <n v="8.5374156573817803" u="1"/>
        <n v="18.557498417549414" u="1"/>
        <n v="17.972384095787795" u="1"/>
        <n v="20.921230964122994" u="1"/>
        <n v="26.983742053297654" u="1"/>
        <n v="18.424902868580482" u="1"/>
        <n v="17.711666269854049" u="1"/>
        <n v="18.995492147561627" u="1"/>
        <n v="18.059579116403906" u="1"/>
        <n v="18.203292308901922" u="1"/>
        <n v="18.562575290146963" u="1"/>
        <n v="19.496711041384064" u="1"/>
        <n v="19.640424233882079" u="1"/>
      </sharedItems>
    </cacheField>
    <cacheField name="Present Value (R$/M2)" numFmtId="0">
      <sharedItems containsBlank="1" containsMixedTypes="1" containsNumber="1" minValue="0.29480122976613449" maxValue="10.094917085270126" count="8000">
        <n v="1.1350362826392117"/>
        <n v="1.0984968015108072"/>
        <n v="1.5771421929252813"/>
        <n v="2.0338857070303424"/>
        <n v="1.3890713341761387"/>
        <n v="1.3353368031049551"/>
        <n v="1.4320589590330854"/>
        <n v="0.50983164302738615"/>
        <n v="0.43454856155446209"/>
        <n v="1.3030960844622448"/>
        <n v="1.5717687398181632"/>
        <n v="0.83929569990583597"/>
        <n v="0.85810278578075039"/>
        <n v="0.90982227193676446"/>
        <n v="0.98034884396769295"/>
        <n v="1.1214019880295503"/>
        <n v="0.90512050046803594"/>
        <n v="0.84145042800000003"/>
        <n v="0.87868012049999999"/>
        <n v="0.79176845159999987"/>
        <n v="0.84960030959999977"/>
        <n v="0.91923458759999999"/>
        <n v="0.76247835299999989"/>
        <n v="0.78993055049999994"/>
        <n v="0.84991172174999996"/>
        <n v="0.75886820100000008"/>
        <n v="0.79683143399999989"/>
        <n v="0.91066449599999988"/>
        <n v="0.94627089899999994"/>
        <n v="0.75683749049999982"/>
        <n v="0.7233683729999999"/>
        <n v="0.60219564300000006"/>
        <n v="0.79075665899999992"/>
        <n v="0.59028908400000013"/>
        <n v="0.77376007800000013"/>
        <n v="0.76485941483905096"/>
        <n v="0.93149229599999983"/>
        <n v="0.81505575899999982"/>
        <n v="0.72863317799999983"/>
        <n v="1.1799021779999996"/>
        <n v="1.2706638839999995"/>
        <n v="9.4750609718331624"/>
        <n v="0.54241072199999985"/>
        <n v="0.62557393499999991"/>
        <n v="0.45200893499999995"/>
        <n v="1.0163168924289758"/>
        <n v="0.98931727583163254"/>
        <n v="0.99381721193118966"/>
        <n v="0.99831714803074667"/>
        <n v="1.0073170202298614"/>
        <n v="1.0253167646280903"/>
        <n v="1.038816572926762"/>
        <n v="1.0613162534245484"/>
        <n v="0.9488178509356171"/>
        <n v="0.95781772313473157"/>
        <n v="0.97131753143340338"/>
        <n v="0.91281836213915912"/>
        <n v="0.9218182343382737"/>
        <n v="0.93531804263694518"/>
        <n v="0.91886717768144455"/>
        <n v="0.92839645412756566"/>
        <n v="0.94269036879674772"/>
        <n v="0.9665135599120509"/>
        <n v="0.83775564347680842"/>
        <n v="0.84702021779942627"/>
        <n v="0.86091707928335304"/>
        <n v="0.88407851508989788"/>
        <n v="0.79132008745111337"/>
        <n v="0.80031995965022784"/>
        <n v="0.81381976794889965"/>
        <n v="0.83631944844668582"/>
        <n v="0.94567092542729581"/>
        <n v="0.95427374444115498"/>
        <n v="0.96717797296194441"/>
        <n v="0.9886850204965929"/>
        <n v="1.0144934775381713"/>
        <n v="1.0230962965520307"/>
        <n v="1.0360005250728199"/>
        <n v="1.0575075726074683"/>
        <n v="1.0883158700218918"/>
        <n v="1.1956669322693834"/>
        <n v="1.1639026774489794"/>
        <n v="1.1691967199190467"/>
        <n v="1.1744907623891137"/>
        <n v="1.1850788473292486"/>
        <n v="1.2062550172095181"/>
        <n v="1.22213714461972"/>
        <n v="1.2486073569700569"/>
        <n v="1.1177541033577767"/>
        <n v="1.1267498851646083"/>
        <n v="1.1402435578748558"/>
        <n v="1.2077119214260932"/>
        <n v="1.2167077032329248"/>
        <n v="1.2302013759431725"/>
        <n v="1.0277962852894602"/>
        <n v="1.036792067096292"/>
        <n v="1.0502857398065393"/>
        <n v="1.0632625954016961"/>
        <n v="1.3199883685043532"/>
        <n v="1.3296761335270948"/>
        <n v="1.3538955460839492"/>
        <n v="0.93836396552360202"/>
        <n v="0.93282809979632075"/>
        <n v="0.94389983125088284"/>
        <n v="0.97157915988728805"/>
        <n v="1.4168660187317712"/>
        <n v="1.4265537837545128"/>
        <n v="1.450773196311367"/>
        <n v="1.0435454143419414"/>
        <n v="0.89735744909040138"/>
        <n v="0.90635323089723308"/>
        <n v="0.91984690360748034"/>
        <n v="0.98731526715871787"/>
        <n v="0.99631104896554967"/>
        <n v="1.0098047216757968"/>
        <n v="0.91085112180064887"/>
        <n v="0.93334057631772804"/>
        <n v="1.0008089398689655"/>
        <n v="1.0232983943860445"/>
        <n v="1.0682773034202024"/>
        <n v="1.0772730852270342"/>
        <n v="1.0907667579372817"/>
        <n v="0.85878068698151699"/>
        <n v="0.91054103153159438"/>
        <n v="0.91524651739978313"/>
        <n v="0.92465748913616086"/>
        <n v="0.93877394674072756"/>
        <n v="0.96700686194986085"/>
        <n v="0.97641783368623858"/>
        <n v="0.99053429129080484"/>
        <n v="0.92026449347048145"/>
        <n v="0.94344422681131335"/>
        <n v="1.0129834268338089"/>
        <n v="1.2076931868967959"/>
        <n v="1.606384600359104"/>
        <n v="1.0081757580158075"/>
        <n v="0.94170446387665707"/>
        <n v="1.0746470521549574"/>
        <n v="1.3434318336026514"/>
        <n v="1.3195703433988539"/>
        <n v="1.4054717081325248"/>
        <n v="1.7108987827411326"/>
        <n v="1.6393143121297404"/>
        <n v="1.6154528219259428"/>
        <n v="1.4388777944178412"/>
        <n v="1.5009176689477146"/>
        <n v="1.8244155768718908"/>
        <n v="1.6607939297601368"/>
        <n v="1.6335236552415113"/>
        <n v="1.6007993258191602"/>
        <n v="2.1482448143366151"/>
        <n v="1.8895207946891914"/>
        <n v="1.3478109234898561"/>
        <n v="1.2182321258231132"/>
        <n v="1.2545440895307929"/>
        <n v="1.8659297779971005"/>
        <n v="1.5691349498777845"/>
        <n v="2.0450865237471834"/>
        <n v="1.8076833839450182"/>
        <n v="2.0504039614064329"/>
        <n v="1.9797024922217248"/>
        <n v="0.6920236079846539"/>
        <n v="1.1964234733310357"/>
        <n v="1.0468705391646562"/>
        <n v="1.4101435638662378"/>
        <n v="0.38850742582717368"/>
        <n v="0.29523645770641405"/>
        <n v="0.36528761625431316"/>
        <n v="0.34444253399081642"/>
        <n v="0.79379404649999985"/>
        <n v="0.92715560699999988"/>
        <n v="0.90719319599999992"/>
        <n v="1.0432218719999999"/>
        <n v="0.69760843424999963"/>
        <n v="0.79880550750000012"/>
        <n v="1.105057296"/>
        <n v="1.1633751360000002"/>
        <n v="0.87499999439999998"/>
        <n v="0.7455603329999998"/>
        <n v="0.711784584"/>
        <n v="0.72501139409999993"/>
        <n v="0.9038914415999999"/>
        <n v="0.91784190203999982"/>
        <n v="0.78586724159999988"/>
        <n v="0.82638888359999996"/>
        <n v="0.81324611549999992"/>
        <n v="1.2037611333193829"/>
        <n v="1.2262608138171691"/>
        <n v="1.2487604943149553"/>
        <n v="1.2847599831114132"/>
        <n v="2.0672017310608899"/>
        <n v="2.1019438847707073"/>
        <n v="2.1366860384805237"/>
        <n v="2.1922734844162313"/>
        <n v="1.0955649705340818"/>
        <n v="1.1187264063406261"/>
        <n v="1.141887842147171"/>
        <n v="1.1789461394376424"/>
        <n v="0.82689231517816353"/>
        <n v="1.1065174359923837"/>
        <n v="1.1300097494533079"/>
        <n v="1.1535020629142316"/>
        <n v="1.1910897644517098"/>
        <n v="1.1511524164697888"/>
        <n v="1.1140941191793174"/>
        <n v="1.1372555549858621"/>
        <n v="1.1743138522763334"/>
        <n v="1.1650492779537154"/>
        <n v="1.2021075752441872"/>
        <n v="1.0957626669300085"/>
        <n v="1.1047625391291231"/>
        <n v="1.1272622196269095"/>
        <n v="1.1497619001246955"/>
        <n v="1.1857613889211538"/>
        <n v="1.1677616445229246"/>
        <n v="1.1902613250207108"/>
        <n v="1.2127610055184974"/>
        <n v="1.18821071376026"/>
        <n v="1.2113721495668051"/>
        <n v="1.2345335853733495"/>
        <n v="1.2715918826638211"/>
        <n v="1.1248455674548903"/>
        <n v="1.1463526149895389"/>
        <n v="1.1678596625241875"/>
        <n v="1.2022709385796253"/>
        <n v="1.2576950211798943"/>
        <n v="1.1649839326195404"/>
        <n v="1.1268668268350555"/>
        <n v="1.1506900179503583"/>
        <n v="1.1888071237348437"/>
        <n v="1.2467802095688831"/>
        <n v="1.0399775245983744"/>
        <n v="1.3261908466198935"/>
        <n v="1.6120691400035303"/>
        <n v="1.082262858631337"/>
        <n v="1.1632617084233672"/>
        <n v="0.54994356747926243"/>
        <n v="1.3132824671156014"/>
        <n v="0.59261654666666663"/>
        <n v="0.58211129666666672"/>
        <n v="0.40804420999999996"/>
        <n v="0.58913936995150673"/>
        <n v="0.51480281857620336"/>
        <n v="0.71457608819852747"/>
        <n v="0.79515244815012653"/>
        <n v="0.78335366753475222"/>
        <n v="0.39398122718374479"/>
        <n v="0.66202098857650626"/>
        <n v="0.55114826093191183"/>
        <e v="#N/A"/>
        <n v="1.362204068640547"/>
        <n v="0.91922581487422172"/>
        <n v="0.88631341459312185"/>
        <n v="0.97564707249896465"/>
        <n v="0.99915592984260726"/>
        <n v="1.0602789589360788"/>
        <n v="1.2342445032790359"/>
        <n v="1.0971205106080142"/>
        <n v="1.2732686281805063"/>
        <n v="0.60243863400000008"/>
        <n v="0.99327660888256919"/>
        <n v="1.1048295448566998"/>
        <n v="1.1604169907924069"/>
        <n v="1.1974752880828781"/>
        <n v="0.6963143711420019"/>
        <n v="0.89095009345270715"/>
        <n v="0.90950739730141272"/>
        <n v="0.70042886549999994"/>
        <n v="0.38120039602748501"/>
        <n v="0.45744047523298204"/>
        <n v="1.0489741317396248"/>
        <m/>
        <n v="1.1349537440782709" u="1"/>
        <n v="1.0984142629498661" u="1"/>
        <n v="1.5770450887359391" u="1"/>
        <n v="2.0337886028409997" u="1"/>
        <n v="1.388974229986796" u="1"/>
        <n v="1.335239698915613" u="1"/>
        <n v="1.4319618548437429" u="1"/>
        <n v="0.50975881488537944" u="1"/>
        <n v="0.43448787143612305" u="1"/>
        <n v="1.3029989802729025" u="1"/>
        <n v="1.5716716356288207" u="1"/>
        <n v="0.83921073374016153" u="1"/>
        <n v="0.85801781961507573" u="1"/>
        <n v="0.90973730577109002" u="1"/>
        <n v="0.9802638778020184" u="1"/>
        <n v="1.1213170218638757" u="1"/>
        <n v="0.90503553430236128" u="1"/>
        <n v="0.84100918719999995" u="1"/>
        <n v="0.87823887970000014" u="1"/>
        <n v="0.79130684583999999" u="1"/>
        <n v="0.84913870384000001" u="1"/>
        <n v="0.91877298184000011" u="1"/>
        <n v="0.76203711220000003" u="1"/>
        <n v="0.78948930970000009" u="1"/>
        <n v="0.84947048095" u="1"/>
        <n v="0.75842696020000011" u="1"/>
        <n v="0.79635625159999979" u="1"/>
        <n v="0.91012143039999982" u="1"/>
        <n v="0.94579571660000017" u="1"/>
        <n v="0.75639624969999997" u="1"/>
        <n v="0.72292713219999993" u="1"/>
        <n v="0.60172046059999995" u="1"/>
        <n v="0.79028147660000003" u="1"/>
        <n v="0.58981390160000002" u="1"/>
        <n v="0.77331883720000005" u="1"/>
        <n v="0.76458585312316585" u="1"/>
        <n v="0.93094923039999999" u="1"/>
        <n v="0.81458057660000005" u="1"/>
        <n v="0.72819193719999997" u="1"/>
        <n v="1.1794609372" u="1"/>
        <n v="1.2701887016" u="1"/>
        <n v="9.4745822388303615" u="1"/>
        <n v="0.54200342280000002" u="1"/>
        <n v="0.62523451899999993" u="1"/>
        <n v="0.45166951900000002" u="1"/>
        <n v="1.0162355736497237" u="1"/>
        <n v="0.98923595705238021" u="1"/>
        <n v="0.99373589315193744" u="1"/>
        <n v="0.99823582925149457" u="1"/>
        <n v="1.007235701450609" u="1"/>
        <n v="1.0252354458488382" u="1"/>
        <n v="1.0387352541475097" u="1"/>
        <n v="1.0612349346452963" u="1"/>
        <n v="0.94873653215636489" u="1"/>
        <n v="0.95773640435547935" u="1"/>
        <n v="0.97123621265415117" u="1"/>
        <n v="0.91273704335990691" u="1"/>
        <n v="0.92173691555902149" u="1"/>
        <n v="0.93523672385769296" u="1"/>
        <n v="0.9187810754445892" u="1"/>
        <n v="0.92831035189071054" u="1"/>
        <n v="0.94260426655989238" u="1"/>
        <n v="0.96642745767519556" u="1"/>
        <n v="0.83767193296875475" u="1"/>
        <n v="0.84693650729137249" u="1"/>
        <n v="0.86083336877529926" u="1"/>
        <n v="0.88399480458184398" u="1"/>
        <n v="0.79123876867186116" u="1"/>
        <n v="0.83623812966743361" u="1"/>
        <n v="0.84973793796610531" u="1"/>
        <n v="0.87223761846389158" u="1"/>
        <n v="0.86323774626477701" u="1"/>
        <n v="0.87673755456344882" u="1"/>
        <n v="0.8992372350612351" u="1"/>
        <n v="0.94559319424124577" u="1"/>
        <n v="0.95419601325510506" u="1"/>
        <n v="0.96710024177589449" u="1"/>
        <n v="0.98860728931054287" u="1"/>
        <n v="1.0144157463521213" u="1"/>
        <n v="1.0230185653659809" u="1"/>
        <n v="1.0359227938867699" u="1"/>
        <n v="1.0574298414214185" u="1"/>
        <n v="1.0882345512426395" u="1"/>
        <n v="1.1955712631173219" u="1"/>
        <n v="1.1638070082969179" u="1"/>
        <n v="1.1691010507669852" u="1"/>
        <n v="1.1743950932370524" u="1"/>
        <n v="1.1849831781771871" u="1"/>
        <n v="1.2061593480574566" u="1"/>
        <n v="1.2220414754676585" u="1"/>
        <n v="1.2485116878179956" u="1"/>
        <n v="1.1176728215374612" u="1"/>
        <n v="1.1266686033442928" u="1"/>
        <n v="1.1401622760545402" u="1"/>
        <n v="1.2076306396057777" u="1"/>
        <n v="1.2166264214126092" u="1"/>
        <n v="1.2301200941228569" u="1"/>
        <n v="1.0277150034691447" u="1"/>
        <n v="1.0367107852759763" u="1"/>
        <n v="1.0502044579862235" u="1"/>
        <n v="1.0631750611336641" u="1"/>
        <n v="1.319900834236321" u="1"/>
        <n v="1.3295885992590626" u="1"/>
        <n v="1.3538080118159173" u="1"/>
        <n v="0.93826392636013667" u="1"/>
        <n v="0.93272806063285563" u="1"/>
        <n v="0.9437997920874176" u="1"/>
        <n v="0.97147912072382281" u="1"/>
        <n v="1.4167784844637388" u="1"/>
        <n v="1.4264662494864806" u="1"/>
        <n v="1.4506856620433353" u="1"/>
        <n v="1.043445375178476" u="1"/>
        <n v="0.89727616727008574" u="1"/>
        <n v="0.90627194907691755" u="1"/>
        <n v="0.91976562178716492" u="1"/>
        <n v="0.98723398533840234" u="1"/>
        <n v="0.99622976714523404" u="1"/>
        <n v="1.0097234398554813" u="1"/>
        <n v="0.91076983998033334" u="1"/>
        <n v="0.93325929449741252" u="1"/>
        <n v="1.0007276580486499" u="1"/>
        <n v="1.0232171125657292" u="1"/>
        <n v="1.0681960215998869" u="1"/>
        <n v="1.0771918034067187" u="1"/>
        <n v="1.0906854761169662" u="1"/>
        <n v="0.89633954063808241" u="1"/>
        <n v="0.9057505123744598" u="1"/>
        <n v="0.91986696997902651" u="1"/>
        <n v="0.93398342758359321" u="1"/>
        <n v="0.94339439931997093" u="1"/>
        <n v="0.95751085692453763" u="1"/>
        <n v="0.91516148411083775" u="1"/>
        <n v="0.92457245584721548" u="1"/>
        <n v="0.93868891345178207" u="1"/>
        <n v="0.96692182866091525" u="1"/>
        <n v="0.97633280039729309" u="1"/>
        <n v="0.99044925800185957" u="1"/>
        <n v="0.92018071683112634" u="1"/>
        <n v="0.94336045017195824" u="1"/>
        <n v="1.0128996501944538" u="1"/>
        <n v="1.2076094102574411" u="1"/>
        <n v="1.6063008237197487" u="1"/>
        <n v="1.0080956774046592" u="1"/>
        <n v="0.9416243832655089" u="1"/>
        <n v="1.0745669715438091" u="1"/>
        <n v="1.3433455929444915" u="1"/>
        <n v="1.3194841027406941" u="1"/>
        <n v="1.4053854674743651" u="1"/>
        <n v="1.710812542082973" u="1"/>
        <n v="1.6392280714715806" u="1"/>
        <n v="1.6153665812677831" u="1"/>
        <n v="1.4387915537596816" u="1"/>
        <n v="1.500831428289555" u="1"/>
        <n v="1.8243170161197086" u="1"/>
        <n v="1.6606953690079542" u="1"/>
        <n v="1.6334250944893289" u="1"/>
        <n v="1.6007007650669778" u="1"/>
        <n v="0.79331886410000008" u="1"/>
        <n v="0.92668042460000011" u="1"/>
        <n v="0.90665013040000009" u="1"/>
        <n v="1.0426788064000001" u="1"/>
        <n v="0.69716719344999978" u="1"/>
        <n v="0.79836426670000005" u="1"/>
        <n v="1.1045142304000002" u="1"/>
        <n v="1.1628320703999999" u="1"/>
        <n v="0.87451123536000008" u="1"/>
        <n v="0.74508515059999991" u="1"/>
        <n v="0.7113094016" u="1"/>
        <n v="0.72453621169999993" u="1"/>
        <n v="0.90342983584000014" u="1"/>
        <n v="0.91738029628000006" u="1"/>
        <n v="0.78540563584" u="1"/>
        <n v="0.82592727784000008" u="1"/>
        <n v="0.81280487469999996" u="1"/>
        <n v="1.2036798145401304" u="1"/>
        <n v="1.2261794950379168" u="1"/>
        <n v="1.2486791755357034" u="1"/>
        <n v="1.2846786643321608" u="1"/>
        <n v="2.067076165298809" u="1"/>
        <n v="2.1018183190086264" u="1"/>
        <n v="2.1365604727184428" u="1"/>
        <n v="2.1921479186541504" u="1"/>
        <n v="1.0954812600260282" u="1"/>
        <n v="1.1186426958325724" u="1"/>
        <n v="1.141804131639117" u="1"/>
        <n v="1.1788624289295884" u="1"/>
        <n v="0.82680860467010986" u="1"/>
        <n v="1.1064325296199293" u="1"/>
        <n v="1.1299248430808533" u="1"/>
        <n v="1.153417156541777" u="1"/>
        <n v="1.1910048580792552" u="1"/>
        <n v="1.1510687059617351" u="1"/>
        <n v="1.1140104086712637" u="1"/>
        <n v="1.1371718444778083" u="1"/>
        <n v="1.1742301417682797" u="1"/>
        <n v="1.164965567445662" u="1"/>
        <n v="1.2020238647361334" u="1"/>
        <n v="1.0956813481507564" u="1"/>
        <n v="1.1046812203498708" u="1"/>
        <n v="1.127180900847657" u="1"/>
        <n v="1.1496805813454436" u="1"/>
        <n v="1.1856800701419012" u="1"/>
        <n v="1.1676803257436723" u="1"/>
        <n v="1.1901800062414587" u="1"/>
        <n v="1.2126796867392451" u="1"/>
        <n v="1.1881270032522064" u="1"/>
        <n v="1.2112884390587513" u="1"/>
        <n v="1.2344498748652957" u="1"/>
        <n v="1.2715081721557675" u="1"/>
        <n v="1.1247678362688405" u="1"/>
        <n v="1.1462748838034889" u="1"/>
        <n v="1.1677819313381375" u="1"/>
        <n v="1.2021932073935753" u="1"/>
        <n v="1.2576113106718405" u="1"/>
        <n v="1.1648978303826851" u="1"/>
        <n v="1.1267807245982004" u="1"/>
        <n v="1.1506039157135031" u="1"/>
        <n v="1.188721021497988" u="1"/>
        <n v="1.2466845404168216" u="1"/>
        <n v="1.0398938140903207" u="1"/>
        <n v="1.3260951774678318" u="1"/>
        <n v="1.611973470851469" u="1"/>
        <n v="1.0821815398520849" u="1"/>
        <n v="1.1631803896441149" u="1"/>
        <n v="0.54987181561521636" u="1"/>
        <n v="1.3131987566075478" u="1"/>
        <n v="0.59216399200000003" u="1"/>
        <n v="0.58165874200000001" u="1"/>
        <n v="0.40770479399999993" u="1"/>
        <n v="0.55086432495484861" u="1"/>
        <n v="1.3621069644512045" u="1"/>
        <n v="0.82273832136876179" u="1"/>
        <n v="0.91914084870854695" u="1"/>
        <n v="0.88622844842744708" u="1"/>
        <n v="0.97556210633328999" u="1"/>
        <n v="0.99907096367693271" u="1"/>
        <n v="1.0601939927704043" u="1"/>
        <n v="1.2341595371133611" u="1"/>
        <n v="1.0970356042355596" u="1"/>
        <n v="0.60196345159999998" u="1"/>
        <n v="0.99319771172872862" u="1"/>
        <n v="1.104745834348646" u="1"/>
        <n v="1.1603332802843527" u="1"/>
        <n v="1.1973915775748243" u="1"/>
        <n v="0.89088756897554122" u="1"/>
        <n v="0.9094098591170342" u="1"/>
        <n v="0.69998762469999998" u="1"/>
        <n v="0.38113970590914609" u="1"/>
        <n v="0.45736764709097527" u="1"/>
        <n v="1.1223586426228325" u="1"/>
        <n v="1.0862365022241165" u="1"/>
        <n v="1.5594655086654232" u="1"/>
        <n v="2.0109922636493733" u="1"/>
        <n v="1.373542727201444" u="1"/>
        <n v="1.32042193249745" u="1"/>
        <n v="1.4160393629646395" u="1"/>
        <n v="0.50426117783154145" u="1"/>
        <n v="0.42978878102751439" u="1"/>
        <n v="1.2885494556750539" u="1"/>
        <n v="1.5541534291950243" u="1"/>
        <n v="0.83000432337330488" u="1"/>
        <n v="0.84859660151970284" u="1"/>
        <n v="0.89972536642229706" u="1"/>
        <n v="0.96944640947128924" u="1"/>
        <n v="1.1088884955692739" u="1"/>
        <n v="0.89507729688569759" u="1"/>
        <n v="0.82840264413123188" u="1"/>
        <n v="0.87306084276998297" u="1"/>
        <n v="0.77739498400169238" u="1"/>
        <n v="0.84253145849429145" u="1"/>
        <n v="0.91335595859013607" u="1"/>
        <n v="0.7487851129828077" u="1"/>
        <n v="0.78279432303998497" u="1"/>
        <n v="0.83693309389713433" u="1"/>
        <n v="0.75120104113448571" u="1"/>
        <n v="0.78188626593581623" u="1"/>
        <n v="0.89358430392664712" u="1"/>
        <n v="0.94021936913690474" u="1"/>
        <n v="0.74309814647220596" u="1"/>
        <n v="0.71509443324248645" u="1"/>
        <n v="0.59026301572214301" u="1"/>
        <n v="0.77576184046286056" u="1"/>
        <n v="0.57365579985532256" u="1"/>
        <n v="0.76015904600401119" u="1"/>
        <n v="0.76513749027165034" u="1"/>
        <n v="0.91458233411963807" u="1"/>
        <n v="0.80025954235468333" u="1"/>
        <n v="0.71466331391919735" u="1"/>
        <n v="1.1696206347673346" u="1"/>
        <n v="1.2595914528263603" u="1"/>
        <n v="9.6146214938657195" u="1"/>
        <n v="0.52845152414229646" u="1"/>
        <n v="0.61535985506017166" u="1"/>
        <n v="0.44037627011858044" u="1"/>
        <n v="1.0050193841971047" u="1"/>
        <n v="0.97832814744928498" u="1"/>
        <n v="0.98277668690725506" u="1"/>
        <n v="0.98722522636522492" u="1"/>
        <n v="0.99612230528116485" u="1"/>
        <n v="1.0139164631130446" u="1"/>
        <n v="1.0272620814869544" u="1"/>
        <n v="1.0495047787768041" u="1"/>
        <n v="0.93829129232755548" u="1"/>
        <n v="0.94718837124349542" u="1"/>
        <n v="0.96053398961740522" u="1"/>
        <n v="0.90270297666379584" u="1"/>
        <n v="0.91160005557973578" u="1"/>
        <n v="0.92494567395364546" u="1"/>
        <n v="0.90870096926551369" u="1"/>
        <n v="0.91812140576474421" u="1"/>
        <n v="0.93225206051359011" u="1"/>
        <n v="0.95580315176166619" u="1"/>
        <n v="0.82850672942929404" u="1"/>
        <n v="0.83766548713687894" u="1"/>
        <n v="0.85140362369825695" u="1"/>
        <n v="0.87430051796721975" u="1"/>
        <n v="0.78259241129860713" u="1"/>
        <n v="0.8270778058783067" u="1"/>
        <n v="0.8404234242522165" u="1"/>
        <n v="0.86266612154206623" u="1"/>
        <n v="0.85376904262612641" u="1"/>
        <n v="0.8671146610000362" u="1"/>
        <n v="0.88935735828988605" u="1"/>
        <n v="0.93516661153240477" u="1"/>
        <n v="0.94367117226087671" u="1"/>
        <n v="0.95642801335358474" u="1"/>
        <n v="0.9776894151747646" u="1"/>
        <n v="1.0032030973601804" u="1"/>
        <n v="1.0117076580886526" u="1"/>
        <n v="1.0244644991813603" u="1"/>
        <n v="1.0457259010025404" u="1"/>
        <n v="1.076196015524624" u="1"/>
        <n v="1.1823757461142408" u="1"/>
        <n v="1.1509742911168059" u="1"/>
        <n v="1.1562078669497118" u="1"/>
        <n v="1.1614414427826176" u="1"/>
        <n v="1.1719085944484293" u="1"/>
        <n v="1.1928428977800525" u="1"/>
        <n v="1.2085436252787698" u="1"/>
        <n v="1.234711504443299" u="1"/>
        <n v="1.1052694943933379" u="1"/>
        <n v="1.1141625296359752" u="1"/>
        <n v="1.1275020824999313" u="1"/>
        <n v="1.1941998468197115" u="1"/>
        <n v="1.2030928820623492" u="1"/>
        <n v="1.2164324349263052" u="1"/>
        <n v="1.0163391419669643" u="1"/>
        <n v="1.0252321772096016" u="1"/>
        <n v="1.0385717300735575" u="1"/>
        <n v="1.0514220590193342" u="1"/>
        <n v="1.3052156032515236" u="1"/>
        <n v="1.3147927181282102" u="1"/>
        <n v="1.3387355053199259" u="1"/>
        <n v="0.92799335668819882" u="1"/>
        <n v="0.92252071961580651" u="1"/>
        <n v="0.93346599376059092" u="1"/>
        <n v="0.96082917912255217" u="1"/>
        <n v="1.4009867520183881" u="1"/>
        <n v="1.4105638668950742" u="1"/>
        <n v="1.4345066540867901" u="1"/>
        <n v="1.0319734610636513" u="1"/>
        <n v="0.88739013094872199" u="1"/>
        <n v="0.8962831661913595" u="1"/>
        <n v="0.90962271905531544" u="1"/>
        <n v="0.97632048337509603" u="1"/>
        <n v="0.98521351861773354" u="1"/>
        <n v="0.99855307148168926" u="1"/>
        <n v="0.90072968381267826" u="1"/>
        <n v="0.92296227191927172" u="1"/>
        <n v="0.98966003623905197" u="1"/>
        <n v="1.0118926243456456" u="1"/>
        <n v="1.0563578005588323" u="1"/>
        <n v="1.0652508358014698" u="1"/>
        <n v="1.078590388665426" u="1"/>
        <n v="0.88648092492717045" u="1"/>
        <n v="0.89578440795023706" u="1"/>
        <n v="0.90973963248483725" u="1"/>
        <n v="0.92369485701943754" u="1"/>
        <n v="0.93299834004250448" u="1"/>
        <n v="0.94695356457710456" u="1"/>
        <n v="0.905087890973304" u="1"/>
        <n v="0.91439137399637083" u="1"/>
        <n v="0.92834659853097079" u="1"/>
        <n v="0.95625704760017116" u="1"/>
        <n v="0.9655605306232381" u="1"/>
        <n v="0.97951575515783806" u="1"/>
        <n v="0.91004419410782011" u="1"/>
        <n v="0.9329591769232557" u="1"/>
        <n v="1.001704125369562" u="1"/>
        <n v="1.1941899810192198" u="1"/>
        <n v="1.5883276854447095" u="1"/>
        <n v="0.99693854615334543" u="1"/>
        <n v="0.93122646307967005" u="1"/>
        <n v="1.0626506292270206" u="1"/>
        <n v="1.3283868179276972" u="1"/>
        <n v="1.3047978650294549" u="1"/>
        <n v="1.3897180954631276" u="1"/>
        <n v="1.6916566925606298" u="1"/>
        <n v="1.6208898338659028" u="1"/>
        <n v="1.5973008809676603" u="1"/>
        <n v="1.4227426295206662" u="1"/>
        <n v="1.4840739070560967" u="1"/>
        <n v="1.8039196784560758" u="1"/>
        <n v="1.6421668585824136" u="1"/>
        <n v="1.6152080552701367" u="1"/>
        <n v="1.5828574912954043" u="1"/>
        <n v="2.1470667973782582" u="1"/>
        <n v="1.8881955256110405" u="1"/>
        <n v="1.346809609075253" u="1"/>
        <n v="1.2172455366204897" u="1"/>
        <n v="1.2535575003281694" u="1"/>
        <n v="1.8647517610387441" u="1"/>
        <n v="1.5679569329194278" u="1"/>
        <n v="2.043908506788827" u="1"/>
        <n v="1.8065053669866618" u="1"/>
        <n v="2.049225944448076" u="1"/>
        <n v="1.9785244752633684" u="1"/>
        <n v="0.69114009526588649" u="1"/>
        <n v="1.1952454563726791" u="1"/>
        <n v="1.0458397743260941" u="1"/>
        <n v="1.4091127990276757" u="1"/>
        <n v="0.3879271219068009" u="1"/>
        <n v="0.29480122976613449" u="1"/>
        <n v="0.36470731233394038" u="1"/>
        <n v="0.34393476806049023" u="1"/>
        <n v="0.77882405319933845" u="1"/>
        <n v="0.92077734950275136" u="1"/>
        <n v="0.89008463222781542" u="1"/>
        <n v="1.0356523826024415" u="1"/>
        <n v="0.68338499811088804" u="1"/>
        <n v="0.79182097501298487" u="1"/>
        <n v="1.0895659190612295" u="1"/>
        <n v="1.1578593631599774" u="1"/>
        <n v="0.86709525013659872" u="1"/>
        <n v="0.73607816297829365" u="1"/>
        <n v="0.6961443093144366" u="1"/>
        <n v="0.71517799187157871" u="1"/>
        <n v="0.89043437987396035" u="1"/>
        <n v="0.91193946858821917" u="1"/>
        <n v="0.77144554211367822" u="1"/>
        <n v="0.81892329179567658" u="1"/>
        <n v="0.79996781157822316" u="1"/>
        <n v="1.1902943113988007" u="1"/>
        <n v="1.2125370086886507" u="1"/>
        <n v="1.2347797059785006" u="1"/>
        <n v="1.2703680216422597" u="1"/>
        <n v="2.0440264998452853" u="1"/>
        <n v="2.07837184124873" u="1"/>
        <n v="2.1127171826521747" u="1"/>
        <n v="2.1676697288976858" u="1"/>
        <n v="1.0833422231488423" u="1"/>
        <n v="1.106239117417805" u="1"/>
        <n v="1.1291360116867681" u="1"/>
        <n v="1.1657710425171088" u="1"/>
        <n v="0.81773824962887154" u="1"/>
        <n v="1.0941737420706932" u="1"/>
        <n v="1.117397734829213" u="1"/>
        <n v="1.1406217275877324" u="1"/>
        <n v="1.1777801160013639" u="1"/>
        <n v="1.1382947693943535" u="1"/>
        <n v="1.1016597385640128" u="1"/>
        <n v="1.1245566328329755" u="1"/>
        <n v="1.1611916636633164" u="1"/>
        <n v="1.1520329059557313" u="1"/>
        <n v="1.1886679367860717" u="1"/>
        <n v="1.0835293644075221" u="1"/>
        <n v="1.0924264433234621" u="1"/>
        <n v="1.1146691406133118" u="1"/>
        <n v="1.1369118379031615" u="1"/>
        <n v="1.1725001535669213" u="1"/>
        <n v="1.154705995735041" u="1"/>
        <n v="1.1769486930248909" u="1"/>
        <n v="1.1991913903147409" u="1"/>
        <n v="1.1749298002246942" u="1"/>
        <n v="1.1978266944936571" u="1"/>
        <n v="1.2207235887626202" u="1"/>
        <n v="1.2573586195929609" u="1"/>
        <n v="1.1122676448869673" u="1"/>
        <n v="1.1335290467081474" u="1"/>
        <n v="1.1547904485293272" u="1"/>
        <n v="1.1888086914432148" u="1"/>
        <n v="1.2436204830315831" u="1"/>
        <n v="1.1519766040928738" u="1"/>
        <n v="1.1142948580959522" u="1"/>
        <n v="1.1378459493440281" u="1"/>
        <n v="1.1755276953409499" u="1"/>
        <n v="1.2328718220514854" u="1"/>
        <n v="1.0283896769033309" u="1"/>
        <n v="1.3113754595450726" u="1"/>
        <n v="1.593988554521987" u="1"/>
        <n v="1.0701837460336123" u="1"/>
        <n v="1.1502574562770711" u="1"/>
        <n v="0.54391122469471542" u="1"/>
        <n v="1.2985730292770941" u="1"/>
        <n v="0.58841596104602922" u="1"/>
        <n v="0.57759203838585127" u="1"/>
        <n v="0.40378903889590484" u="1"/>
        <n v="0.58855036147232842" u="1"/>
        <n v="0.51421381009702494" u="1"/>
        <n v="0.71398707971934916" u="1"/>
        <n v="0.79456343967094822" u="1"/>
        <n v="0.78269103299567655" u="1"/>
        <n v="0.39339221870456642" u="1"/>
        <n v="0.66113747585773897" u="1"/>
        <n v="0.54728825010880222" u="1"/>
        <n v="1.346982329849447" u="1"/>
        <n v="0.81373218750439669" u="1"/>
        <n v="0.9090215054954961" u="1"/>
        <n v="0.87648501873929985" u="1"/>
        <n v="0.96479833993468989" u="1"/>
        <n v="0.98803868761768732" u="1"/>
        <n v="1.0484635915934808" u="1"/>
        <n v="1.2204421644476613" u="1"/>
        <n v="1.0848841449672852" u="1"/>
        <n v="1.2722673137659033" u="1"/>
        <n v="0.58590465080123399" u="1"/>
        <n v="0.98220546419048838" u="1"/>
        <n v="1.0925009808564274" u="1"/>
        <n v="1.1474535271019386" u="1"/>
        <n v="1.1840885579322791" u="1"/>
        <n v="0.69572536266282359" u="1"/>
        <n v="0.88099088691169691" u="1"/>
        <n v="0.89945770162541139" u="1"/>
        <n v="0.68622848136618886" u="1"/>
        <n v="0.37705700249595592" u="1"/>
        <n v="0.45246840299514712" u="1"/>
        <n v="1.0491376794432625" u="1"/>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n v="2.2182692122474177" u="1"/>
        <n v="1.1224254092148469" u="1"/>
        <n v="1.1457695050286929" u="1"/>
        <n v="1.16968841480436" u="1"/>
        <n v="1.2080736332377917" u="1"/>
        <n v="0.90935851746889007" u="1"/>
        <n v="1.1235750371384889" u="1"/>
        <n v="1.1474939469141558" u="1"/>
        <n v="1.1725624846134657" u="1"/>
        <n v="1.1914040283449798" u="1"/>
        <n v="0.8995866801179313" u="1"/>
        <n v="1.1143780137493515" u="1"/>
        <n v="1.1394465514486609" u="1"/>
        <n v="1.1495699261406216" u="1"/>
        <n v="1.1862307026885899" u="1"/>
        <n v="0.89498816842336248" u="1"/>
        <n v="1.1222972397775324" u="1"/>
        <n v="1.1407275923658096" u="1"/>
        <n v="1.1644051752627103" u="1"/>
        <n v="1.2021727027797824" u="1"/>
        <n v="1.1240463165470738" u="1"/>
        <n v="1.1442257459048923" u="1"/>
        <n v="1.1679033288017928" u="1"/>
        <n v="1.2056708563188652" u="1"/>
        <n v="1.1693691785713041" u="1"/>
        <n v="1.1897432449638079" u="1"/>
        <n v="1.2130873407776535" u="1"/>
        <n v="1.2503229312874433" u="1"/>
        <n v="1.1866135974259369" u="1"/>
        <n v="1.1989402683529451" u="1"/>
        <n v="1.2222843641667913" u="1"/>
        <n v="1.2595199546765807" u="1"/>
        <n v="1.1647383657687891" u="1"/>
        <n v="1.1892320895062776" u="1"/>
        <n v="1.2114265573964815" u="1"/>
        <n v="1.23256735697528" u="1"/>
        <n v="1.1492183887996195" u="1"/>
        <n v="1.1719876706516443" u="1"/>
        <n v="1.1947569525036694" u="1"/>
        <n v="1.2314177290516377" u="1"/>
        <n v="1.1538169004941881" u="1"/>
        <n v="1.1777358102698554" u="1"/>
        <n v="1.2028043479691646" u="1"/>
        <n v="1.2245199615097846" u="1"/>
        <n v="1.1302815056454028" u="1"/>
        <n v="1.153517017998908" u="1"/>
        <n v="1.1778693117639516" u="1"/>
        <n v="1.2324679215495551" u="1"/>
        <n v="1.2163364307721347" u="1"/>
        <n v="1.240688724537178" u="1"/>
        <n v="1.2695081439483742" u="1"/>
        <n v="1.3051214697378288" u="1"/>
        <n v="1.253164699988603" u="1"/>
        <n v="1.2598391909096367" u="1"/>
        <n v="1.2831832867234827" u="1"/>
        <n v="1.3215685051569146" u="1"/>
        <n v="1.1591755608394136" u="1"/>
        <n v="1.1808522212379848" u="1"/>
        <n v="1.2041301491016294" u="1"/>
        <n v="1.2333684963580951" u="1"/>
        <n v="1.338270411157672" u="1"/>
        <n v="1.3411444809667779" u="1"/>
        <n v="1.1992977805419449" u="1"/>
        <n v="1.206655507106009" u="1"/>
        <n v="1.2306665770859651" u="1"/>
        <n v="1.2701485160460664" u="1"/>
        <n v="1.1834646830354545" u="1"/>
        <n v="1.1210202035624397" u="1"/>
        <n v="1.2743045556748156" u="1"/>
        <n v="1.6548180636302479" u="1"/>
        <n v="1.0981117419995929" u="1"/>
        <n v="1.1207888636473289" u="1"/>
        <n v="1.1451411574123722" u="1"/>
        <n v="1.1651195434402932" u="1"/>
        <n v="0.61888366028254338" u="1"/>
        <n v="1.3361439905013657" u="1"/>
        <n v="0.64669196765364889" u="1"/>
        <n v="0.61518651251359535" u="1"/>
        <n v="0.42904097424761556" u="1"/>
        <n v="0.42763053798799899" u="1"/>
        <n v="1.2002459906630096" u="1"/>
        <n v="1.1565337692538451" u="1"/>
        <n v="1.6276792969787544" u="1"/>
        <n v="2.0540231739383334" u="1"/>
        <n v="1.4618330266026383" u="1"/>
        <n v="1.4004510997802722" u="1"/>
        <n v="1.4932762131400139" u="1"/>
        <n v="0.61903413838605226" u="1"/>
        <n v="0.48306091234849868" u="1"/>
        <n v="1.3353992550826976" u="1"/>
        <n v="1.4353304850163908" u="1"/>
        <n v="1.6342203808525977" u="1"/>
        <n v="0.88971239653182421" u="1"/>
        <n v="0.96844091173425761" u="1"/>
        <n v="0.9890911626070531" u="1"/>
        <n v="1.0203820613750443" u="1"/>
        <n v="1.2123576194416019" u="1"/>
        <n v="0.88248519156070016" u="1"/>
        <n v="0.98473550711227931" u="1"/>
        <n v="1.1510517262182642" u="1"/>
        <n v="0.80216422163112633" u="1"/>
        <n v="0.87498968092641083" u="1"/>
        <n v="0.76775039164358194" u="1"/>
        <n v="0.84092948748213259" u="1"/>
        <n v="0.8928586313690835" u="1"/>
        <n v="0.74605967240456306" u="1"/>
        <n v="0.82386976149374691" u="1"/>
        <n v="0.74155878524220031" u="1"/>
        <n v="0.79077366851998732" u="1"/>
        <n v="0.78725196300211842" u="1"/>
        <n v="0.84891284730433414" u="1"/>
        <n v="0.77285409028805696" u="1"/>
        <n v="0.82891626930066253" u="1"/>
        <n v="0.74303511768848385" u="1"/>
        <n v="0.85143145797767017" u="1"/>
        <n v="0.76051840400846671" u="1"/>
        <n v="0.76694595033914714" u="1"/>
        <n v="0.75646066122020972" u="1"/>
        <n v="0.86452646996595395" u="1"/>
        <n v="0.93148572747851122" u="1"/>
        <n v="0.72546789338484008" u="1"/>
        <n v="0.70602739879162335" u="1"/>
        <n v="0.6752972920472432" u="1"/>
        <n v="0.64790359587930202" u="1"/>
        <n v="0.79311164727032346" u="1"/>
        <n v="0.74842898888494735" u="1"/>
        <n v="0.76293213761369705" u="1"/>
        <n v="0.94676730213650129" u="1"/>
        <n v="0.83170501901202365" u="1"/>
        <n v="0.7523816064124792" u="1"/>
        <n v="1.0832325249496231" u="1"/>
        <n v="1.1909123389822689" u="1"/>
        <n v="8.7715941322829032" u="1"/>
        <n v="0.57007177468393622" u="1"/>
        <n v="0.48985370570618703" u="1"/>
        <n v="1.0307567056795779" u="1"/>
        <n v="1.0084437496969381" u="1"/>
        <n v="0.98346201634283881" u="1"/>
        <n v="0.98871033923327001" u="1"/>
        <n v="0.99974680744707023" u="1"/>
        <n v="1.0169613419782282" u="1"/>
        <n v="1.0305470209177692" u="1"/>
        <n v="1.0540895232052341" u="1"/>
        <n v="0.94810320385359603" u="1"/>
        <n v="0.95752020476858202" u="1"/>
        <n v="0.97272535100693724" u="1"/>
        <n v="0.99572803086146444" u="1"/>
        <n v="0.95512089548179058" u="1"/>
        <n v="0.96615736369559069" u="1"/>
        <n v="0.96300854721405249" u="1"/>
        <n v="0.98655104950151762" u="1"/>
        <n v="0.95296160575003852" u="1"/>
        <n v="0.95050251314038747" u="1"/>
        <n v="0.96570765937874248" u="1"/>
        <n v="0.99464838599558836" u="1"/>
        <n v="0.94916039872964963" u="1"/>
        <n v="1.0071437831456538" u="1"/>
        <n v="0.95236783973228212" u="1"/>
        <n v="0.96586366122149847" u="1"/>
        <n v="0.86558809173931062" u="1"/>
        <n v="0.89806574536550487" u="1"/>
        <n v="0.90816110615415524" u="1"/>
        <n v="0.94628852406245145" u="1"/>
        <n v="0.87657540209390239" u="1"/>
        <n v="0.88221364597832219" u="1"/>
        <n v="0.91091435304012858" u="1"/>
        <n v="0.96630637887093818" u="1"/>
        <n v="0.94153433027864775" u="1"/>
        <n v="0.94717257416306744" u="1"/>
        <n v="0.93322730902276829" u="1"/>
        <n v="0.96756625996899426" u="1"/>
        <n v="0.9813545251994461" u="1"/>
        <n v="0.98674402303014142" u="1"/>
        <n v="1.0012783539932752" u="1"/>
        <n v="1.018622149100268" u="1"/>
        <n v="1.0683310805212249" u="1"/>
        <n v="1.0582403762309027" u="1"/>
        <n v="1.0727747071940366" u="1"/>
        <n v="1.089086488826295" u="1"/>
        <n v="1.2233987684068981" u="1"/>
        <n v="1.1760698120685931" u="1"/>
        <n v="1.2610033664173159" u="1"/>
        <n v="1.220420613357764" u="1"/>
        <n v="1.209756847480141" u="1"/>
        <n v="1.2146611745678528" u="1"/>
        <n v="1.2296214896254642" u="1"/>
        <n v="1.2596552300594579" u="1"/>
        <n v="1.2743682113225931" u="1"/>
        <n v="1.2988898467611518" u="1"/>
        <n v="1.0040080971576593" u="1"/>
        <n v="1.0034914859360946" u="1"/>
        <n v="1.0248514872804342" u="1"/>
        <n v="1.0324619983826751" u="1"/>
        <n v="1.1901546551116318" u="1"/>
        <n v="1.2028048385713492" u="1"/>
        <n v="1.2301136805276895" u="1"/>
        <n v="1.2869797499447497" u="1"/>
        <n v="1.29801120214461" u="1"/>
        <n v="1.3231617357544727" u="1"/>
        <n v="1.1680319945602431" u="1"/>
        <n v="1.1790634467601029" u="1"/>
        <n v="1.2025952491101084" u="1"/>
        <n v="1.0944087144517518" u="1"/>
        <n v="1.0687489247615036" u="1"/>
        <n v="1.113863810576279" u="1"/>
        <n v="1.0873942123257017" u="1"/>
        <n v="1.0984256645255617" u="1"/>
        <n v="1.1235761981354251" u="1"/>
        <n v="1.0881381079629393" u="1"/>
        <n v="1.1008249281527915" u="1"/>
        <n v="1.1127049535987945" u="1"/>
        <n v="1.138046894591108" u="1"/>
        <n v="1.1112844224472564" u="1"/>
        <n v="1.0836508027808356" u="1"/>
        <n v="1.1322360644275165" u="1"/>
        <n v="1.0203737139151094" u="1"/>
        <n v="1.1211328151056961" u="1"/>
        <n v="1.1367022716715023" u="1"/>
        <n v="1.1503903078041338" u="1"/>
        <n v="1.1583594463142024" u="1"/>
        <n v="0.98099121321748395" u="1"/>
        <n v="0.99461448771256455" u="1"/>
        <n v="1.0135645155249271" u="1"/>
        <n v="1.0283428524251781" u="1"/>
        <n v="1.1291019536157645" u="1"/>
        <n v="1.1446714101815711" u="1"/>
        <n v="1.1257814792365695" u="1"/>
        <n v="0.97573030468015487" u="1"/>
        <n v="0.98838048813987234" u="1"/>
        <n v="0.99572497789130099" u="1"/>
        <n v="0.96925537964072395" u="1"/>
        <n v="0.98028683184058374" u="1"/>
        <n v="1.0054373654504472" u="1"/>
        <n v="1.0498931618752649" u="1"/>
        <n v="1.0609246140751249" u="1"/>
        <n v="1.0844564164251302" u="1"/>
        <n v="0.98877023191691971" u="1"/>
        <n v="0.98739141112453721" u="1"/>
        <n v="1.0109232134745427" u="1"/>
        <n v="1.0677892828916034" u="1"/>
        <n v="1.0804394663513208" u="1"/>
        <n v="1.0942588811421801" u="1"/>
        <n v="1.1136239001088035" u="1"/>
        <n v="1.1246553523086633" u="1"/>
        <n v="1.1498058859185265" u="1"/>
        <n v="0.96466023768047815" u="1"/>
        <n v="0.97620083382802381" u="1"/>
        <n v="1.0008187193634142" u="1"/>
        <n v="1.0096936609817344" u="1"/>
        <n v="1.0054287990843107" u="1"/>
        <n v="1.0300466846197009" u="1"/>
        <n v="0.98491902675325338" u="1"/>
        <n v="0.99815306483418875" u="1"/>
        <n v="1.0126102987692416" u="1"/>
        <n v="1.032869087842017" u="1"/>
        <n v="1.0444096839895627" u="1"/>
        <n v="1.0707210114583428" u="1"/>
        <n v="0.88919768113520692" u="1"/>
        <n v="0.91345175555431057" u="1"/>
        <n v="0.96341229760670455" u="1"/>
        <n v="0.88808540400325964" u="1"/>
        <n v="0.91067106272444265" u="1"/>
        <n v="0.97787190032201787" u="1"/>
        <n v="1.1543553357097838" u="1"/>
        <n v="1.5314834389682701" u="1"/>
        <n v="0.97646176805832807" u="1"/>
        <n v="0.91754170370598165" u="1"/>
        <n v="1.0369766415336872" u="1"/>
        <n v="1.2706204607115403" u="1"/>
        <n v="1.2519277719521724" u="1"/>
        <n v="1.3879978628452445" u="1"/>
        <n v="1.2817432320310125" u="1"/>
        <n v="1.2630505432716443" u="1"/>
        <n v="1.3796557843556403" u="1"/>
        <n v="1.6572957615277268" u="1"/>
        <n v="1.6001054181176761" u="1"/>
        <n v="1.5797443136603875" u="1"/>
        <n v="1.3720858669157441" u="1"/>
        <n v="1.4816773291258181" u="1"/>
        <n v="1.2895291719546429" u="1"/>
        <n v="1.2708364831952748" u="1"/>
        <n v="1.2622783822219366" u="1"/>
        <n v="1.2419172777646479" u="1"/>
        <n v="1.7169785723374988" u="1"/>
        <n v="1.5407932399155255" u="1"/>
        <n v="1.5673646031169177" u="1"/>
        <n v="1.535268083828609" u="1"/>
        <n v="0.83537418402497221" u="1"/>
        <n v="0.98554773014602459" u="1"/>
        <n v="0.88591351821665121" u="1"/>
        <n v="0.99962601301364151" u="1"/>
        <n v="0.90791349348334227" u="1"/>
        <n v="1.0289203251739771" u="1"/>
        <n v="0.9085727484212518" u="1"/>
        <n v="1.0640495751920203" u="1"/>
        <n v="0.88002614859274053" u="1"/>
        <n v="1.0750450938994107" u="1"/>
        <n v="0.91846344570993699" u="1"/>
        <n v="1.1463296923469208" u="1"/>
        <n v="0.67013572069906768" u="1"/>
        <n v="0.78724819320959405" u="1"/>
        <n v="1.0429980732470701" u="1"/>
        <n v="1.0120697707971207" u="1"/>
        <n v="0.86439690680657355" u="1"/>
        <n v="0.74912226711828112" u="1"/>
        <n v="0.75768888696109882" u="1"/>
        <n v="0.66338075302900557" u="1"/>
        <n v="0.77159681975583572" u="1"/>
        <n v="1.0331339380599909" u="1"/>
        <n v="1.0364431220427597" u="1"/>
        <n v="0.67969781632880755" u="1"/>
        <n v="0.7388196212918885" u="1"/>
        <n v="0.8538388761474266" u="1"/>
        <n v="0.76962664197028485" u="1"/>
        <n v="1.0565675093194233" u="1"/>
        <n v="0.84703728040362358" u="1"/>
        <n v="0.91188651260645714" u="1"/>
        <n v="0.74328205724572882" u="1"/>
        <n v="0.76320059281624664" u="1"/>
        <n v="0.80255564080427333" u="1"/>
        <n v="0.81334897400435335" u="1"/>
        <n v="0.71047210862394961" u="1"/>
        <n v="1.116835195532371" u="1"/>
        <n v="1.1626427528007539" u="1"/>
        <n v="1.1848000464575081" u="1"/>
        <n v="1.2776982358781084" u="1"/>
        <n v="1.1411424109109891" u="1"/>
        <n v="1.1619858010337645" u="1"/>
        <n v="1.1795444323215909" u="1"/>
        <n v="1.2654499978772051" u="1"/>
        <n v="1.190413793435215" u="1"/>
        <n v="2.1358053332241842" u="1"/>
        <n v="1.1631206381468486" u="1"/>
        <n v="1.1964700623432887" u="1"/>
        <n v="2.0018136832580589" u="1"/>
        <n v="2.0356654284611224" u="1"/>
        <n v="2.0703507230091649" u="1"/>
        <n v="2.1260139041550277" u="1"/>
        <n v="1.0727739971987575" u="1"/>
        <n v="1.0953418273341335" u="1"/>
        <n v="1.1184653570328282" u="1"/>
        <n v="1.1555741444634033" u="1"/>
        <n v="0.87966611812010709" u="1"/>
        <n v="1.0738853963253947" u="1"/>
        <n v="1.0970089260240894" u="1"/>
        <n v="1.121243854849421" u="1"/>
        <n v="1.1394588571271649" u="1"/>
        <n v="0.87021922554369158" u="1"/>
        <n v="1.0649942033122974" u="1"/>
        <n v="1.0892291321376293" u="1"/>
        <n v="1.0990158723166781" u="1"/>
        <n v="1.1344575610572976" u="1"/>
        <n v="0.86577362903714283" u="1"/>
        <n v="1.076826577445706" u="1"/>
        <n v="1.0946440619978648" u="1"/>
        <n v="1.1175342897066034" u="1"/>
        <n v="1.1540459264148837" u="1"/>
        <n v="1.0785174918312326" u="1"/>
        <n v="1.098025890768918" u="1"/>
        <n v="1.1209161184776564" u="1"/>
        <n v="1.1574277551859367" u="1"/>
        <n v="1.1181567364232265" u="1"/>
        <n v="1.1507271586983372" u="1"/>
        <n v="1.173294988833713" u="1"/>
        <n v="1.2092923771376511" u="1"/>
        <n v="1.1348277233227837" u="1"/>
        <n v="1.1596183517114345" u="1"/>
        <n v="1.1821861818468102" u="1"/>
        <n v="1.2181835701507484" u="1"/>
        <n v="1.1136799129236463" u="1"/>
        <n v="1.1373591421856597" u="1"/>
        <n v="1.1588155731943988" u="1"/>
        <n v="1.1792533737254167" u="1"/>
        <n v="1.098676024714045" u="1"/>
        <n v="1.1206881552861025" u="1"/>
        <n v="1.1427002858581603" u="1"/>
        <n v="1.1781419745987793" u="1"/>
        <n v="1.1031216212205937" u="1"/>
        <n v="1.1262451509192883" u="1"/>
        <n v="1.1504800797446202" u="1"/>
        <n v="1.1714735798389566" u="1"/>
        <n v="1.0848897366759334" u="1"/>
        <n v="1.1073525940975224" u="1"/>
        <n v="1.1308950963849875" u="1"/>
        <n v="1.1836781281671971" u="1"/>
        <n v="1.1639143829102983" u="1"/>
        <n v="1.1874568851977634" u="1"/>
        <n v="1.2153179669487328" u="1"/>
        <n v="1.2497470360110488" u="1"/>
        <n v="1.1905832169524737" u="1"/>
        <n v="1.197035759751611" u="1"/>
        <n v="1.219603589886987" u="1"/>
        <n v="1.2567123773175621" u="1"/>
        <n v="1.1012130707362939" u="1"/>
        <n v="1.1221689130048573" u="1"/>
        <n v="1.1446727754855226" u="1"/>
        <n v="1.1729388543940782" u="1"/>
        <n v="1.2943153226555713" u="1"/>
        <n v="1.2970938204721645" u="1"/>
        <n v="1.1467379115763199" u="1"/>
        <n v="1.1670926533899255" u="1"/>
        <n v="1.1903052786720267" u="1"/>
        <n v="1.2284743171720467" u="1"/>
        <n v="1.1447354751586305" u="1"/>
        <n v="1.0842893777236466" u="1"/>
        <n v="1.2325546321562788" u="1"/>
        <n v="1.6004148517266965" u="1"/>
        <n v="1.0537897203273356" u="1"/>
        <n v="1.0757127553159866" u="1"/>
        <n v="1.099255257603452" u="1"/>
        <n v="1.1185692985435025" u="1"/>
        <n v="0.5987723806918116" u="1"/>
        <n v="1.2922439930378065" u="1"/>
        <n v="0.63267083695800963" u="1"/>
        <n v="0.6020868033324549" u="1"/>
        <n v="0.42082186525577336" u="1"/>
        <n v="0.41944045932130819" u="1"/>
        <n v="1.3853257811512265" u="1"/>
        <n v="0.90713501851092038" u="1"/>
        <n v="1.2178068461965692" u="1"/>
        <n v="1.1734463136471944" u="1"/>
        <n v="1.6515371391184099" u="1"/>
        <n v="2.0842042702179682" u="1"/>
        <n v="1.4832311450956583" u="1"/>
        <n v="1.4209388415941024" u="1"/>
        <n v="1.5151406764551159" u="1"/>
        <n v="0.62800312253332347" u="1"/>
        <n v="0.48887493392011305" u="1"/>
        <n v="1.4029708751907921" u="1"/>
        <n v="0.98000435463780133" u="1"/>
        <n v="0.91869846141446398" u="1"/>
        <n v="0.80785710711654979" u="1"/>
        <n v="0.88654740064256687" u="1"/>
        <n v="0.7733092201198265" u="1"/>
        <n v="0.85287524725318553" u="1"/>
        <n v="0.9048075970371503" u="1"/>
        <n v="0.75129679828898122" u="1"/>
        <n v="0.83483850621849431" u="1"/>
        <n v="0.74602762104474096" u="1"/>
        <n v="0.80199877157489818" u="1"/>
        <n v="0.79200935903405278" u="1"/>
        <n v="0.86100023271583648" u="1"/>
        <n v="0.77848861349179022" u="1"/>
        <n v="0.83991688358497629" u="1"/>
        <n v="0.74750338902719005" u="1"/>
        <n v="0.86257425952774236" u="1"/>
        <n v="0.77041628129119522" u="1"/>
        <n v="0.77781765622858734" u="1"/>
        <n v="0.76100712532450188" u="1"/>
        <n v="0.8697224289422878" u="1"/>
        <n v="0.94475907719669361" u="1"/>
        <n v="0.7622471091757258" u="1"/>
        <n v="0.71530354517177064" u="1"/>
        <n v="0.68477102208633489" u="1"/>
        <n v="0.65319625878514453" u="1"/>
        <n v="0.79926150175093902" u="1"/>
        <n v="0.75228088566469542" u="1"/>
        <n v="0.77393551354424395" u="1"/>
        <n v="0.95395273184301521" u="1"/>
        <n v="0.83804097065710015" u="1"/>
        <n v="0.75818076416721603" u="1"/>
        <n v="1.0905601854909655" u="1"/>
        <n v="1.1984340690305215" u="1"/>
        <n v="8.9004065411079942" u="1"/>
        <n v="0.57267343104549229" u="1"/>
        <n v="0.49202175267415038" u="1"/>
        <n v="0.96192799498066428" u="1"/>
        <n v="0.97148466270744227" u="1"/>
        <n v="0.98691532175153129" u="1"/>
        <n v="1.0102591623415147" u="1"/>
        <n v="0.96904976843116042" u="1"/>
        <n v="0.98024992233882213" u="1"/>
        <n v="0.97705440466622895" u="1"/>
        <n v="1.0009460739831737" u="1"/>
        <n v="0.96685845352331568" u="1"/>
        <n v="0.96436288925694624" u="1"/>
        <n v="0.97979354830103516" u="1"/>
        <n v="1.0091635048875924" u="1"/>
        <n v="0.96298693672612479" u="1"/>
        <n v="1.0218302928583245" u="1"/>
        <n v="0.96624194840044886" u="1"/>
        <n v="0.9799379311062697" u="1"/>
        <n v="0.87818210619748371" u="1"/>
        <n v="0.91114144718650147" u="1"/>
        <n v="0.92138653577787477" u="1"/>
        <n v="0.96007943466564361" u="1"/>
        <n v="0.88933933954617206" u="1"/>
        <n v="0.89506120618422125" u="1"/>
        <n v="0.92418758340234142" u="1"/>
        <n v="0.98040114760999908" u="1"/>
        <n v="0.95526169615986989" u="1"/>
        <n v="0.96098356279791897" u="1"/>
        <n v="0.94683147058610118" u="1"/>
        <n v="0.98167971444227031" u="1"/>
        <n v="0.99568292779032197" u="1"/>
        <n v="1.0011523591355158" u="1"/>
        <n v="1.0159022538100131" u="1"/>
        <n v="1.0335032807670219" u="1"/>
        <n v="1.0839494626174748" u="1"/>
        <n v="1.0737090995865746" u="1"/>
        <n v="1.0884589942610716" u="1"/>
        <n v="1.1050127015930074" u="1"/>
        <n v="1.2381136210325927" u="1"/>
        <n v="1.1907846646942879" u="1"/>
        <n v="1.2764965132748196" u="1"/>
        <n v="1.235477333543225" u="1"/>
        <n v="1.2248863054442758" u="1"/>
        <n v="1.2298633703106614" u="1"/>
        <n v="1.2449691609256202" u="1"/>
        <n v="1.2752938524743089" u="1"/>
        <n v="1.2902250470734655" u="1"/>
        <n v="1.3151103714053929" u="1"/>
        <n v="1.0163116924203199" u="1"/>
        <n v="1.0159187354225008" u="1"/>
        <n v="1.037464218102458" u="1"/>
        <n v="1.0453838647640621" u="1"/>
        <n v="1.2075695030448217" u="1"/>
        <n v="1.220407305769776" u="1"/>
        <n v="1.2481211746475529" u="1"/>
        <n v="1.3058306444939336" u="1"/>
        <n v="1.3170257079934098" u="1"/>
        <n v="1.3425492579038829" u="1"/>
        <n v="1.185118733629958" u="1"/>
        <n v="1.1963137971294342" u="1"/>
        <n v="1.2201946078144295" u="1"/>
        <n v="1.1104035210793621" u="1"/>
        <n v="1.0843631621346734" u="1"/>
        <n v="1.1301471624927075" u="1"/>
        <n v="1.1032849844356247" u="1"/>
        <n v="1.1144800479351009" u="1"/>
        <n v="1.1400035978455745" u="1"/>
        <n v="1.1040217015716536" u="1"/>
        <n v="1.1168966843988133" u="1"/>
        <n v="1.1289529066290183" u="1"/>
        <n v="1.154670702751321" u="1"/>
        <n v="1.1275113070865161" u="1"/>
        <n v="1.0994678436076208" u="1"/>
        <n v="1.1487736901470416" u="1"/>
        <n v="1.0352158473044801" u="1"/>
        <n v="1.1374693417259196" u="1"/>
        <n v="1.1532697143104782" u="1"/>
        <n v="1.167160762461861" u="1"/>
        <n v="1.1752480940334444" u="1"/>
        <n v="1.0433031788760634" u="1"/>
        <n v="1.1455566732975029" u="1"/>
        <n v="1.1613570458820615" u="1"/>
        <n v="1.1421869518093433" u="1"/>
        <n v="0.98996495058664491" u="1"/>
        <n v="1.0028027533115986" u="1"/>
        <n v="1.0102561717418157" u="1"/>
        <n v="0.98339399368473346" u="1"/>
        <n v="0.99458905718420954" u="1"/>
        <n v="1.0201126070946829" u="1"/>
        <n v="1.0652277428790666" u="1"/>
        <n v="1.0764228063785426" u="1"/>
        <n v="1.1003036170635383" u="1"/>
        <n v="1.0031982775139903" u="1"/>
        <n v="1.0017990069514695" u="1"/>
        <n v="1.025679817636465" u="1"/>
        <n v="1.0833892874828455" u="1"/>
        <n v="1.0962270902077997" u="1"/>
        <n v="1.1102514655399278" u="1"/>
        <n v="1.1299036938297504" u="1"/>
        <n v="1.1410987573292264" u="1"/>
        <n v="1.1666223072396995" u="1"/>
        <n v="0.97871977269235322" u="1"/>
        <n v="0.99043153143026663" u="1"/>
        <n v="1.0154145333776465" u="1"/>
        <n v="1.0244211023380327" u="1"/>
        <n v="1.0200929867923059" u="1"/>
        <n v="1.0450759887396857" u="1"/>
        <n v="0.99927902690324433" u="1"/>
        <n v="1.0127093436001193" u="1"/>
        <n v="1.0273809977937303" u="1"/>
        <n v="1.0479402520046215" u="1"/>
        <n v="1.0596520107425347" u="1"/>
        <n v="1.0863535706488763" u="1"/>
        <n v="0.90214166499473036" u="1"/>
        <n v="0.92675546001677944" u="1"/>
        <n v="0.97745698422334737" u="1"/>
        <n v="0.9010128912942631" u="1"/>
        <n v="0.92393352576561116" u="1"/>
        <n v="0.99213104232942217" u="1"/>
        <n v="1.1712319648531864" u="1"/>
        <n v="1.553953386015609" u="1"/>
        <n v="0.99071076130870872" u="1"/>
        <n v="0.93091683301465211" u="1"/>
        <n v="1.0521231518938763" u="1"/>
        <n v="1.2892214583113295" u="1"/>
        <n v="1.2702515317916165" u="1"/>
        <n v="1.4083397254699395" u="1"/>
        <n v="1.3005091953160022" u="1"/>
        <n v="1.2815392687962894" u="1"/>
        <n v="1.3998739227164347" u="1"/>
        <n v="1.6816316748348787" u="1"/>
        <n v="1.6235931215752732" u="1"/>
        <n v="1.6029300345048598" u="1"/>
        <n v="1.3921917332013949" u="1"/>
        <n v="1.503408584456734" u="1"/>
        <n v="1.308410611219273" u="1"/>
        <n v="1.2894406846995603" u="1"/>
        <n v="1.2807556555578248" u="1"/>
        <n v="1.2600925684874109" u="1"/>
        <n v="1.7421566005263391" u="1"/>
        <n v="1.5633582022370063" u="1"/>
        <n v="1.59032365455624" u="1"/>
        <n v="1.5577511006408693" u="1"/>
        <n v="0.83930316691913676" u="1"/>
        <n v="0.99700232725174542" u="1"/>
        <n v="0.88984250111081564" u="1"/>
        <n v="1.0110806101193621" u="1"/>
        <n v="0.91184247637750693" u="1"/>
        <n v="1.0403749222796979" u="1"/>
        <n v="0.91250173131541656" u="1"/>
        <n v="1.0755041722977412" u="1"/>
        <n v="0.88451641475749998" u="1"/>
        <n v="1.0879129205181748" u="1"/>
        <n v="0.92295371187469655" u="1"/>
        <n v="1.1591975189656849" u="1"/>
        <n v="0.67356484832006303" u="1"/>
        <n v="0.79703852661245433" u="1"/>
        <n v="1.0485868165422643" u="1"/>
        <n v="1.0248632169151983" u="1"/>
        <n v="0.87510769890542917" u="1"/>
        <n v="0.75362238800922632" u="1"/>
        <n v="0.76838459536505854" u="1"/>
        <n v="0.66735588119257361" u="1"/>
        <n v="0.77722320300853687" u="1"/>
        <n v="1.0393946820229669" u="1"/>
        <n v="1.051195725813483" u="1"/>
        <n v="0.68375950994400903" u="1"/>
        <n v="0.74923547306201488" u="1"/>
        <n v="0.86526302491539964" u="1"/>
        <n v="0.7752238048318596" u="1"/>
        <n v="1.0640820155345476" u="1"/>
        <n v="0.8521623431803913" u="1"/>
        <n v="0.9248846606657567" u="1"/>
        <n v="0.74775188804995663" u="1"/>
        <n v="0.76873612153480031" u="1"/>
        <n v="0.81320826840110316" u="1"/>
        <n v="1.0359938203218928" u="1"/>
        <n v="0.71588196132913617" u="1"/>
        <n v="1.1326981479184148" u="1"/>
        <n v="1.1789724937296331" u="1"/>
        <n v="1.2014472204711963" u="1"/>
        <n v="1.2964113654178873" u="1"/>
        <n v="1.157158867517782" u="1"/>
        <n v="1.1783113931999205" u="1"/>
        <n v="1.1961584162334953" u="1"/>
        <n v="1.2828904997019268" u="1"/>
        <n v="1.206741407246229" u="1"/>
        <n v="2.1672453472088247" u="1"/>
        <n v="1.1796309029906795" u="1"/>
        <n v="1.2134749440821009" u="1"/>
        <n v="2.0311375425526927" u="1"/>
        <n v="2.06549135474808" u="1"/>
        <n v="2.1006910789483344" u="1"/>
        <n v="2.1571798200697154" u="1"/>
        <n v="1.088440857791803" u="1"/>
        <n v="1.1113433992553949" u="1"/>
        <n v="1.134809882055565" u="1"/>
        <n v="1.1724690428031519" u="1"/>
        <n v="0.89246892867787486" u="1"/>
        <n v="1.0895687404649588" u="1"/>
        <n v="1.1130352232651282" u="1"/>
        <n v="1.1376295887384535" u="1"/>
        <n v="1.1561147440423973" u="1"/>
        <n v="0.88288192595605319" u="1"/>
        <n v="1.0805456790797145" u="1"/>
        <n v="1.1051400445530399" u="1"/>
        <n v="1.1150719352753438" u="1"/>
        <n v="1.1510392720131974" u="1"/>
        <n v="0.87837039526343119" u="1"/>
        <n v="1.0925500600753946" u="1"/>
        <n v="1.1106318019302781" u="1"/>
        <n v="1.1338615225576358" u="1"/>
        <n v="1.1709146760331308" u="1"/>
        <n v="1.0942660529995527" u="1"/>
        <n v="1.1140637877785939" u="1"/>
        <n v="1.1372935084059517" u="1"/>
        <n v="1.1743466618814467" u="1"/>
        <n v="1.1344966841864952" u="1"/>
        <n v="1.1675501697084869" u="1"/>
        <n v="1.1904527111720786" u="1"/>
        <n v="1.2269839892465106" u="1"/>
        <n v="1.1514149242838279" u="1"/>
        <n v="1.1765732310937311" u="1"/>
        <n v="1.1994757725573229" u="1"/>
        <n v="1.2360070506317544" u="1"/>
        <n v="1.1299534633624608" u="1"/>
        <n v="1.1539838874992083" u="1"/>
        <n v="1.1757585462896449" u="1"/>
        <n v="1.1964994669398992" u="1"/>
        <n v="1.1147270472748616" u="1"/>
        <n v="1.1370656474018757" u="1"/>
        <n v="1.1594042475288899" u="1"/>
        <n v="1.1953715842667438" u="1"/>
        <n v="1.1192385779674836" u="1"/>
        <n v="1.1427050607676532" u="1"/>
        <n v="1.1672994262409786" u="1"/>
        <n v="1.1886042882278109" u="1"/>
        <n v="1.1007432563873791" u="1"/>
        <n v="1.1235392682504015" u="1"/>
        <n v="1.1474309375673455" u="1"/>
        <n v="1.2009968128293715" u="1"/>
        <n v="1.1809399446011559" u="1"/>
        <n v="1.2048316139181003" u="1"/>
        <n v="1.2331059130507347" u="1"/>
        <n v="1.2680456115960783" u="1"/>
        <n v="1.20799734700755" u="1"/>
        <n v="1.2145455897103874" u="1"/>
        <n v="1.2374481311739791" u="1"/>
        <n v="1.2751072919215665" u="1"/>
        <n v="1.117319137051773" u="1"/>
        <n v="1.1385857826965369" u="1"/>
        <n v="1.1614234077789103" u="1"/>
        <n v="1.1901087107226607" u="1"/>
        <n v="1.3132679396041702" u="1"/>
        <n v="1.316087646287059" u="1"/>
        <n v="1.1634947902991211" u="1"/>
        <n v="1.1841514203592733" u="1"/>
        <n v="1.2077083201503964" u="1"/>
        <n v="1.246443456919343" u="1"/>
        <n v="1.1614347895412422" u="1"/>
        <n v="1.1001270269254011" u="1"/>
        <n v="1.2505564229624171" u="1"/>
        <n v="1.6238725052343712" u="1"/>
        <n v="1.0691819848929773" u="1"/>
        <n v="1.0914301680290384" u="1"/>
        <n v="1.1153218373459828" u="1"/>
        <n v="1.1349223315364116" u="1"/>
        <n v="0.60744399054219556" u="1"/>
        <n v="1.3111728557548397" u="1"/>
        <n v="0.63838451083551462" u="1"/>
        <n v="0.60740997400131413" u="1"/>
        <n v="0.42409337302639999" u="1"/>
        <n v="0.42270041195446056" u="1"/>
        <n v="1.2153318144195384" u="1"/>
        <n v="1.2392234837364831" u="1"/>
        <n v="1.263115153053427" u="1"/>
        <n v="1.3013418239605383" u="1"/>
        <n v="2.0979645909371554" u="1"/>
        <n v="2.1348561391471428" u="1"/>
        <n v="2.1717476873571306" u="1"/>
        <n v="2.2307741644931109" u="1"/>
        <n v="1.0985918018502026" u="1"/>
        <n v="1.1231861673235277" u="1"/>
        <n v="1.1477805327968531" u="1"/>
        <n v="1.1871315175541735" u="1"/>
        <n v="0.87724251259027564" u="1"/>
        <n v="1.1142859704480625" u="1"/>
        <n v="1.139231683999578" u="1"/>
        <n v="1.1641773975510938" u="1"/>
        <n v="1.2040905392335188" u="1"/>
        <n v="1.1576182789861831" u="1"/>
        <n v="1.1822126444595082" u="1"/>
        <n v="1.2068070099328336" u="1"/>
        <n v="1.2461579946901538" u="1"/>
        <n v="1.1723748982701783" u="1"/>
        <n v="1.2117258830274988" u="1"/>
        <n v="1.1149868032883714" u="1"/>
        <n v="1.1388784726053161" u="1"/>
        <n v="1.1627701419222602" u="1"/>
        <n v="1.1771051435124273" u="1"/>
        <n v="1.2248884821463157" u="1"/>
        <n v="1.2363202485008236" u="1"/>
        <n v="1.2756712332581444" u="1"/>
        <n v="1.1251740342398202" u="1"/>
        <n v="1.1480116593221934" u="1"/>
        <n v="1.1708492844045666" u="1"/>
        <n v="1.2073894845363642" u="1"/>
        <n v="1.3346977103941247" u="1"/>
        <n v="1.1704554376534519" u="1"/>
        <n v="1.1957524992831583" u="1"/>
        <n v="1.221049560912864" u="1"/>
        <n v="1.2615248595203934" u="1"/>
        <n v="1.1543452413099791" u="1"/>
        <n v="1.1035106749448675" u="1"/>
        <n v="1.249911918577757" u="1"/>
        <n v="1.7108805971635097" u="1"/>
        <n v="1.091095133971427" u="1"/>
        <n v="0.5832750761174349" u="1"/>
        <n v="0.89762657019286118" u="1"/>
        <n v="0.92224036521491048" u="1"/>
        <n v="0.99608175028105772" u="1"/>
        <n v="1.2028376284662707" u="1"/>
        <n v="1.6261949028455156" u="1"/>
        <n v="0.99448717332130143" u="1"/>
        <n v="0.92390349641983704" u="1"/>
        <n v="1.0650708502227657" u="1"/>
        <n v="1.3259066035765161" u="1"/>
        <n v="1.3012928085544671" u="1"/>
        <n v="1.4489755786867617" u="1"/>
        <n v="1.3539034964578163" u="1"/>
        <n v="1.7640321549689906" u="1"/>
        <n v="1.6901907699028431" u="1"/>
        <n v="1.6655769748807943" u="1"/>
        <n v="1.4243617836647127" u="1"/>
        <n v="1.5474307587749583" u="1"/>
        <n v="1.8205067750293626" u="1"/>
        <n v="1.617804933671311" u="1"/>
        <n v="1.6467623395796043" u="1"/>
        <n v="1.6062219713079939" u="1"/>
        <n v="0.96850193970419929" u="1"/>
        <n v="0.97805860743097706" u="1"/>
        <n v="0.9923936090211436" u="1"/>
        <n v="1.0162852783380885" u="1"/>
        <n v="0.92934380784685811" u="1"/>
        <n v="0.9394626324987404" u="1"/>
        <n v="0.95464086947656379" u="1"/>
        <n v="0.84942109803201882" u="1"/>
        <n v="0.85925884422134868" u="1"/>
        <n v="0.87401546350534398" u="1"/>
        <n v="0.89860982897866903" u="1"/>
        <n v="0.83948692539269909" u="1"/>
        <n v="0.84904359311947697" u="1"/>
        <n v="0.86337859470964362" u="1"/>
        <n v="0.88727026402658815" u="1"/>
        <n v="0.8681569285730325" u="1"/>
        <n v="0.87771359629981049" u="1"/>
        <n v="0.89204859788997704" u="1"/>
        <n v="0.91594026720692145" u="1"/>
        <n v="0.9668816381008154" u="1"/>
        <n v="0.97601668813376496" u="1"/>
        <n v="0.98971926318318926" u="1"/>
        <n v="1.0125568882655624" u="1"/>
        <n v="1.0399620383644108" u="1"/>
        <n v="1.04909708839736" u="1"/>
        <n v="1.0627996634467838" u="1"/>
        <n v="1.0856372885291574" u="1"/>
        <n v="1.1548569603763665" u="1"/>
        <n v="1.2181160162254636" u="1"/>
        <n v="1.184386600719189" u="1"/>
        <n v="1.1900081699702343" u="1"/>
        <n v="1.1956297392212805" u="1"/>
        <n v="1.2068728777233719" u="1"/>
        <n v="1.2293591547275549" u="1"/>
        <n v="1.2462238624806923" u="1"/>
        <n v="1.2743317087359209" u="1"/>
        <n v="0.75630942178096561" u="1"/>
        <n v="0.93760939711288471" u="1"/>
        <n v="0.86435362489253209" u="1"/>
        <n v="1.0540001670475911" u="1"/>
        <n v="0.66212813978590102" u="1"/>
        <n v="0.80408054321872369" u="1"/>
        <n v="1.0655908367640956" u="1"/>
        <n v="1.0481490238299749" u="1"/>
        <n v="0.88014177469672339" u="1"/>
        <n v="0.75322025405486692" u="1"/>
        <n v="0.74305888512714802" u="1"/>
        <n v="0.67290189317630433" u="1"/>
        <n v="0.72104395877086735" u="1"/>
        <n v="0.88965351277635962" u="1"/>
        <n v="0.86974134175667528" u="1"/>
        <n v="0.92922240261477629" u="1"/>
        <n v="0.74970511011398833" u="1"/>
        <n v="0.83124500943579438" u="1"/>
        <n v="0.8084222971004259" u="1"/>
        <n v="0.75570692169612241" u="1"/>
        <n v="0.85611236811066282" u="1"/>
        <n v="0.93071444413526849" u="1"/>
        <n v="0.72810393622186331" u="1"/>
        <n v="0.79457243549009748" u="1"/>
        <n v="0.81702783576598625" u="1"/>
        <n v="0.76129405843990561" u="1"/>
        <n v="0.75939858950706407" u="1"/>
        <n v="0.86788410229378754" u="1"/>
        <n v="0.95808839837454118" u="1"/>
        <n v="0.72236691044482293" u="1"/>
        <n v="0.72326162752540069" u="1"/>
        <n v="0.58946637566472471" u="1"/>
        <n v="0.54933518413236182" u="1"/>
        <n v="1.2044617384077931" u="1"/>
        <n v="1.1656616674370754" u="1"/>
        <n v="1.6737789854330367" u="1"/>
        <n v="2.1587798725670098" u="1"/>
        <n v="1.4740727377896359" u="1"/>
        <n v="1.4170138098915213" u="1"/>
        <n v="1.5197198801081275" u="1"/>
        <n v="1.2004509664010847" u="1"/>
        <n v="1.2100032906750831" u="1"/>
        <n v="1.2338841013600783" u="1"/>
        <n v="1.2959742091410664" u="1"/>
        <n v="1.305526533415065" u="1"/>
        <n v="1.32940734410006" u="1"/>
        <n v="1.1049277236611026" u="1"/>
        <n v="1.1383608586200964" u="1"/>
        <n v="1.1281994532491995" u="1"/>
        <n v="1.1127687755758175" u="1"/>
        <n v="1.1230558940247388" u="1"/>
        <n v="0.99545313374419564" u="1"/>
        <n v="1.1071418483324824" u="1"/>
        <n v="1.1188985551312494" u="1"/>
        <n v="1.1482903221281666" u="1"/>
        <n v="0.9664190216881291" u="1"/>
        <n v="0.97597134596212709" u="1"/>
        <n v="0.99985215664712268" u="1"/>
        <n v="1.0619422644281109" u="1"/>
        <n v="1.0714945887021092" u="1"/>
        <n v="1.0953753993871045" u="1"/>
        <n v="0.98074750809912625" u="1"/>
        <n v="0.99029983237312458" u="1"/>
        <n v="1.0141806430581199" u="1"/>
        <n v="1.0762707508391083" u="1"/>
        <n v="1.0858230751131066" u="1"/>
        <n v="1.1097038857981019" u="1"/>
        <n v="1.1288085343460983" u="1"/>
        <n v="1.1622416693050917" u="1"/>
        <n v="0.94606717147208585" u="1"/>
        <n v="0.95606037225103779" u="1"/>
        <n v="0.98104337419841769" u="1"/>
        <n v="0.98603997458789372" u="1"/>
        <n v="0.99603317536684555" u="1"/>
        <n v="1.0210161773142252" u="1"/>
        <n v="0.96605357302998973" u="1"/>
        <n v="0.97604677380894167" u="1"/>
        <n v="1.0010297757563216" u="1"/>
        <n v="1.0310093780931771" u="1"/>
        <n v="1.0559923800405573" u="1"/>
        <n v="0.61093754402423484" u="1"/>
        <n v="0.59924090153966225" u="1"/>
        <n v="0.77973716821522476" u="1"/>
        <n v="0.54067116715089347" u="1"/>
        <n v="0.78736443252933552" u="1"/>
        <n v="0.88906696670132057" u="1"/>
        <n v="0.77793359586365551" u="1"/>
        <n v="0.69368178155962201" u="1"/>
        <n v="1.1526438437228372" u="1"/>
        <n v="0.41765479740499112" u="1"/>
        <n v="1.2413087547784403" u="1"/>
        <n v="10.094917085270126" u="1"/>
        <n v="0.50792874196949289" u="1"/>
        <n v="0.46084899747095553" u="1"/>
        <n v="1.3827784531526528" u="1"/>
        <n v="0.91037177504346989" u="1"/>
        <n v="0.42327395164124409" u="1"/>
        <n v="0.73957798777594352" u="1"/>
        <n v="1.1978335976156951" u="1"/>
        <n v="1.2213760999031607" u="1"/>
        <n v="1.2449186021906258" u="1"/>
        <n v="1.2825866058505699" u="1"/>
        <n v="2.0677103557463399" u="1"/>
        <n v="2.1040627489843371" u="1"/>
        <n v="2.1404151422223352" u="1"/>
        <n v="2.1985789714031307" u="1"/>
        <n v="1.0828074388285118" u="1"/>
        <n v="1.1070423676538435" u="1"/>
        <n v="1.1312772964791753" u="1"/>
        <n v="1.170053182599706" u="1"/>
        <n v="0.86469307940052553" u="1"/>
        <n v="1.0982761165260619" u="1"/>
        <n v="1.1228572586203269" u="1"/>
        <n v="1.1474384007145921" u="1"/>
        <n v="1.1867682280654162" u="1"/>
        <n v="1.1409712680093078" u="1"/>
        <n v="1.1652061968346401" u="1"/>
        <n v="1.1894411256599715" u="1"/>
        <n v="1.2282170117805025" u="1"/>
        <n v="1.1555122253045069" u="1"/>
        <n v="1.1942881114250381" u="1"/>
        <n v="1.0989550880083416" u="1"/>
        <n v="1.1224975902958068" u="1"/>
        <n v="1.1460400925832719" u="1"/>
        <n v="1.1837080962432165" u="1"/>
        <n v="1.1601655939557514" u="1"/>
        <n v="1.2072505985306814" u="1"/>
        <n v="1.2185230402503699" u="1"/>
        <n v="1.2572989263709007" u="1"/>
        <n v="1.1089818177518211" u="1"/>
        <n v="1.1314856802324862" u="1"/>
        <n v="1.1539895427131512" u="1"/>
        <n v="1.1899957226822158" u="1"/>
        <n v="1.3154627555516969" u="1"/>
        <n v="1.1536285628047294" u="1"/>
        <n v="1.1785559181679277" u="1"/>
        <n v="1.2034832735311263" u="1"/>
        <n v="1.2433670421122436" u="1"/>
        <n v="1.1377847943512196" u="1"/>
        <n v="1.087654424593578" u="1"/>
        <n v="1.2319548035010801" u="1"/>
        <n v="1.6861866123415845" u="1"/>
        <n v="1.0754125857208765" u="1"/>
        <n v="0.57498312754103253" u="1"/>
        <n v="0.88477944646853501" u="1"/>
        <n v="0.90903352088763867" u="1"/>
        <n v="0.98179574414495008" u="1"/>
        <n v="1.185529969265422" u="1"/>
        <n v="1.6027000492740073" u="1"/>
        <n v="0.98021250112436609" u="1"/>
        <n v="0.91066037595193627" u="1"/>
        <n v="1.0497646262967963" u="1"/>
        <n v="1.3068003413609413" u="1"/>
        <n v="1.2825462669418373" u="1"/>
        <n v="1.4280707134564601" u="1"/>
        <n v="1.3343801108829931" u="1"/>
        <n v="1.7385228660209888" u="1"/>
        <n v="1.6657606427636771" u="1"/>
        <n v="1.6415065683445735" u="1"/>
        <n v="1.4038166390373561" u="1"/>
        <n v="1.5250870111328756" u="1"/>
        <n v="1.7942200130975006" u="1"/>
        <n v="1.5944805767048802" u="1"/>
        <n v="1.6230147819038265" u="1"/>
        <n v="1.5830668946253024" u="1"/>
        <n v="0.95461104112487183" u="1"/>
        <n v="0.96402804203985792" u="1"/>
        <n v="0.97815354341233696" u="1"/>
        <n v="1.0016960456998021" u="1"/>
        <n v="0.91604068139912209" u="1"/>
        <n v="0.92601162354440147" u="1"/>
        <n v="0.94096803676232055" u="1"/>
        <n v="0.96589539212551889" u="1"/>
        <n v="0.83727826350008328" u="1"/>
        <n v="0.84697223503021601" u="1"/>
        <n v="0.86151319232541501" u="1"/>
        <n v="0.88574812115074675" u="1"/>
        <n v="0.82748152877255987" u="1"/>
        <n v="0.83689852968754597" u="1"/>
        <n v="0.85102403106002511" u="1"/>
        <n v="0.87456653334749035" u="1"/>
        <n v="0.85573253151751816" u="1"/>
        <n v="0.86514953243250425" u="1"/>
        <n v="0.8792750338049834" u="1"/>
        <n v="0.90281753609244841" u="1"/>
        <n v="0.95300280059926601" u="1"/>
        <n v="0.96200434559153214" u="1"/>
        <n v="0.97550666307993128" u="1"/>
        <n v="0.99801052556059655" u="1"/>
        <n v="1.0250151605373947" u="1"/>
        <n v="1.0340167055296607" u="1"/>
        <n v="1.0475190230180598" u="1"/>
        <n v="1.0700228854987253" u="1"/>
        <n v="1.1382425589671001" u="1"/>
        <n v="1.2006235853291463" u="1"/>
        <n v="1.1673871115115484" u="1"/>
        <n v="1.1729265238144813" u="1"/>
        <n v="1.1784659361174141" u="1"/>
        <n v="1.1895447607232803" u="1"/>
        <n v="1.2117024099350122" u="1"/>
        <n v="1.228320646843811" u="1"/>
        <n v="1.2560177083584758" u="1"/>
        <n v="0.75195613750249179" u="1"/>
        <n v="0.92460423626109889" u="1"/>
        <n v="0.85937844285999054" u="1"/>
        <n v="1.0393936623088971" u="1"/>
        <n v="0.65833782492188675" u="1"/>
        <n v="0.79297702231796863" u="1"/>
        <n v="1.0593527825879714" u="1"/>
        <n v="1.0336280311695392" u="1"/>
        <n v="0.86799641174752118" u="1"/>
        <n v="0.74888635597157982" u="1"/>
        <n v="0.73289700087745258" u="1"/>
        <n v="0.66907203616786837" u="1"/>
        <n v="0.71120381371561892" u="1"/>
        <n v="0.87729937773107625" u="1"/>
        <n v="0.86466498335371578" u="1"/>
        <n v="0.91631988230120487" u="1"/>
        <n v="0.74538204386685025" u="1"/>
        <n v="0.81977438887265897" u="1"/>
        <n v="0.80371390742150417" u="1"/>
        <n v="0.75134619084119358" u="1"/>
        <n v="0.84427832121492941" u="1"/>
        <n v="0.91779011824174139" u="1"/>
        <n v="0.72389958761779261" u="1"/>
        <n v="0.78360787171651225" u="1"/>
        <n v="0.81226544168618742" u="1"/>
        <n v="0.75081584461141471" u="1"/>
        <n v="0.75502591903340377" u="1"/>
        <n v="0.86288676460960434" u="1"/>
        <n v="0.94478394524885134" u="1"/>
        <n v="0.71819856477467037" u="1"/>
        <n v="0.71333924220558897" u="1"/>
        <n v="0.58154918346931073" u="1"/>
        <n v="0.54628077493138916" u="1"/>
        <n v="1.1871263337937983" u="1"/>
        <n v="1.1488933100789551" u="1"/>
        <n v="1.6496318731644619" u="1"/>
        <n v="2.1275446696000042" u="1"/>
        <n v="1.4528442511027677" u="1"/>
        <n v="1.396619216227998" u="1"/>
        <n v="1.4978242790025837"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4">
  <r>
    <n v="10932"/>
    <x v="0"/>
    <x v="0"/>
    <x v="0"/>
    <s v="DP"/>
    <x v="0"/>
    <s v="CARTIERE 0399"/>
    <s v="beige"/>
    <m/>
    <m/>
    <m/>
    <s v="EU"/>
    <x v="0"/>
    <x v="0"/>
    <m/>
    <m/>
    <m/>
    <x v="0"/>
    <m/>
    <m/>
    <m/>
    <s v="ton"/>
    <x v="0"/>
    <x v="0"/>
    <n v="2450"/>
    <n v="2450"/>
    <n v="2450"/>
    <n v="2400"/>
    <n v="2400"/>
    <n v="2400"/>
    <n v="2250"/>
    <n v="2250"/>
    <n v="2250"/>
    <n v="2150"/>
    <n v="2150"/>
    <n v="2150"/>
    <n v="2150"/>
    <n v="2200"/>
    <n v="2200"/>
    <n v="2300"/>
    <n v="2300"/>
    <n v="2300"/>
    <n v="2450"/>
    <n v="2450"/>
    <n v="2450"/>
    <m/>
    <m/>
    <m/>
    <m/>
    <m/>
    <m/>
    <m/>
    <m/>
    <m/>
    <m/>
    <m/>
    <m/>
    <m/>
    <m/>
    <m/>
    <m/>
    <m/>
    <m/>
    <m/>
    <m/>
    <m/>
    <m/>
    <m/>
    <m/>
    <m/>
    <m/>
    <m/>
    <x v="0"/>
    <x v="0"/>
    <x v="0"/>
    <n v="2.4500000000000002"/>
    <n v="14.455000000000002"/>
    <n v="0.14176320000000001"/>
    <n v="1.8791500000000003"/>
    <n v="0"/>
    <n v="9.1999999999999998E-2"/>
    <x v="0"/>
    <x v="0"/>
    <n v="105"/>
    <n v="90"/>
    <x v="0"/>
    <n v="0.1237968388119377"/>
    <x v="0"/>
    <x v="0"/>
  </r>
  <r>
    <n v="10932"/>
    <x v="0"/>
    <x v="0"/>
    <x v="0"/>
    <s v="DP"/>
    <x v="0"/>
    <s v="CARTIERE 0399"/>
    <s v="beige"/>
    <m/>
    <m/>
    <m/>
    <s v="EU"/>
    <x v="0"/>
    <x v="0"/>
    <m/>
    <m/>
    <m/>
    <x v="0"/>
    <m/>
    <m/>
    <m/>
    <s v="ton"/>
    <x v="1"/>
    <x v="0"/>
    <n v="2370"/>
    <n v="2370"/>
    <n v="2370"/>
    <n v="2320"/>
    <n v="2320"/>
    <n v="2320"/>
    <n v="2170"/>
    <n v="2170"/>
    <n v="2170"/>
    <n v="2070"/>
    <n v="2070"/>
    <n v="2070"/>
    <n v="2070"/>
    <n v="2120"/>
    <n v="2120"/>
    <n v="2220"/>
    <n v="2220"/>
    <n v="2220"/>
    <n v="2370"/>
    <n v="2370"/>
    <n v="2370"/>
    <m/>
    <m/>
    <m/>
    <m/>
    <m/>
    <m/>
    <m/>
    <m/>
    <m/>
    <m/>
    <m/>
    <m/>
    <m/>
    <m/>
    <m/>
    <m/>
    <m/>
    <m/>
    <m/>
    <m/>
    <m/>
    <m/>
    <m/>
    <m/>
    <m/>
    <m/>
    <m/>
    <x v="1"/>
    <x v="0"/>
    <x v="0"/>
    <n v="2.37"/>
    <n v="13.983000000000002"/>
    <n v="0.14176320000000001"/>
    <n v="1.8177900000000005"/>
    <n v="0"/>
    <n v="9.1999999999999998E-2"/>
    <x v="1"/>
    <x v="1"/>
    <n v="105"/>
    <n v="90"/>
    <x v="0"/>
    <n v="0.11981152810010443"/>
    <x v="1"/>
    <x v="1"/>
  </r>
  <r>
    <n v="10945"/>
    <x v="1"/>
    <x v="1"/>
    <x v="1"/>
    <s v="IP"/>
    <x v="0"/>
    <s v="CARTIERE ARGILA REF932"/>
    <s v="beige"/>
    <s v="ARGILA"/>
    <m/>
    <m/>
    <s v="EU"/>
    <x v="0"/>
    <x v="0"/>
    <m/>
    <m/>
    <m/>
    <x v="0"/>
    <m/>
    <m/>
    <m/>
    <s v="ton"/>
    <x v="2"/>
    <x v="0"/>
    <n v="3100"/>
    <n v="3100"/>
    <n v="3100"/>
    <n v="2850"/>
    <n v="2850"/>
    <n v="2850"/>
    <n v="2700"/>
    <n v="2700"/>
    <n v="2700"/>
    <n v="2600"/>
    <n v="2600"/>
    <n v="2600"/>
    <n v="2600"/>
    <n v="2650"/>
    <n v="2650"/>
    <n v="2750"/>
    <n v="2750"/>
    <n v="2750"/>
    <n v="2900"/>
    <n v="2900"/>
    <n v="2900"/>
    <m/>
    <m/>
    <m/>
    <m/>
    <m/>
    <m/>
    <m/>
    <m/>
    <m/>
    <m/>
    <m/>
    <m/>
    <m/>
    <m/>
    <m/>
    <m/>
    <m/>
    <m/>
    <m/>
    <m/>
    <m/>
    <m/>
    <m/>
    <m/>
    <m/>
    <m/>
    <m/>
    <x v="2"/>
    <x v="0"/>
    <x v="0"/>
    <n v="2.9"/>
    <n v="17.11"/>
    <n v="0.14176320000000001"/>
    <n v="2.2242999999999999"/>
    <n v="0"/>
    <n v="9.1999999999999998E-2"/>
    <x v="2"/>
    <x v="2"/>
    <n v="105"/>
    <n v="90"/>
    <x v="0"/>
    <n v="0.14621421156601855"/>
    <x v="2"/>
    <x v="2"/>
  </r>
  <r>
    <n v="10945"/>
    <x v="1"/>
    <x v="1"/>
    <x v="1"/>
    <s v="IP"/>
    <x v="0"/>
    <s v="CARTIERE ARGILA REF932"/>
    <s v="beige"/>
    <s v="ARGILA"/>
    <m/>
    <m/>
    <s v="EU"/>
    <x v="0"/>
    <x v="0"/>
    <m/>
    <m/>
    <m/>
    <x v="0"/>
    <m/>
    <m/>
    <m/>
    <s v="ton"/>
    <x v="3"/>
    <x v="0"/>
    <n v="3850"/>
    <n v="3850"/>
    <n v="3850"/>
    <n v="3700"/>
    <n v="3700"/>
    <n v="3700"/>
    <n v="3550"/>
    <n v="3550"/>
    <n v="3550"/>
    <n v="3450"/>
    <n v="3450"/>
    <n v="3450"/>
    <n v="3450"/>
    <n v="3500"/>
    <n v="3500"/>
    <n v="3600"/>
    <n v="3600"/>
    <n v="3600"/>
    <n v="3750"/>
    <n v="3750"/>
    <n v="3750"/>
    <m/>
    <m/>
    <m/>
    <m/>
    <m/>
    <m/>
    <m/>
    <m/>
    <m/>
    <m/>
    <m/>
    <m/>
    <m/>
    <m/>
    <m/>
    <m/>
    <m/>
    <m/>
    <m/>
    <m/>
    <m/>
    <m/>
    <m/>
    <m/>
    <m/>
    <m/>
    <m/>
    <x v="3"/>
    <x v="0"/>
    <x v="0"/>
    <n v="3.75"/>
    <n v="22.125"/>
    <n v="0.14176320000000001"/>
    <n v="2.8762500000000002"/>
    <n v="0"/>
    <n v="9.1999999999999998E-2"/>
    <x v="3"/>
    <x v="3"/>
    <n v="105"/>
    <n v="90"/>
    <x v="0"/>
    <n v="0.18855813787928"/>
    <x v="3"/>
    <x v="3"/>
  </r>
  <r>
    <n v="10945"/>
    <x v="1"/>
    <x v="1"/>
    <x v="1"/>
    <s v="IP"/>
    <x v="0"/>
    <s v="CARTIERE ARGILA REF932"/>
    <s v="beige"/>
    <s v="ARGILA"/>
    <m/>
    <m/>
    <s v="EU"/>
    <x v="0"/>
    <x v="0"/>
    <m/>
    <m/>
    <m/>
    <x v="0"/>
    <m/>
    <m/>
    <m/>
    <s v="ton"/>
    <x v="0"/>
    <x v="0"/>
    <n v="2750"/>
    <n v="2750"/>
    <n v="2750"/>
    <n v="2500"/>
    <n v="2500"/>
    <n v="2500"/>
    <n v="2350"/>
    <n v="2350"/>
    <n v="2350"/>
    <n v="2250"/>
    <n v="2250"/>
    <n v="2250"/>
    <n v="2250"/>
    <n v="2300"/>
    <n v="2300"/>
    <n v="2400"/>
    <n v="2400"/>
    <n v="2400"/>
    <n v="2550"/>
    <n v="2550"/>
    <n v="2550"/>
    <m/>
    <m/>
    <m/>
    <m/>
    <m/>
    <m/>
    <m/>
    <m/>
    <m/>
    <m/>
    <m/>
    <m/>
    <m/>
    <m/>
    <m/>
    <m/>
    <m/>
    <m/>
    <m/>
    <m/>
    <m/>
    <m/>
    <m/>
    <m/>
    <m/>
    <m/>
    <m/>
    <x v="4"/>
    <x v="0"/>
    <x v="0"/>
    <n v="2.5499999999999998"/>
    <n v="15.045"/>
    <n v="0.14176320000000001"/>
    <n v="1.9558500000000001"/>
    <n v="0"/>
    <n v="9.1999999999999998E-2"/>
    <x v="4"/>
    <x v="4"/>
    <n v="105"/>
    <n v="90"/>
    <x v="0"/>
    <n v="0.12877847720173463"/>
    <x v="4"/>
    <x v="4"/>
  </r>
  <r>
    <n v="10945"/>
    <x v="1"/>
    <x v="1"/>
    <x v="1"/>
    <s v="IP"/>
    <x v="0"/>
    <s v="CARTIERE ARGILA REF932"/>
    <s v="beige"/>
    <s v="ARGILA"/>
    <m/>
    <m/>
    <s v="EU"/>
    <x v="0"/>
    <x v="0"/>
    <m/>
    <m/>
    <m/>
    <x v="0"/>
    <m/>
    <m/>
    <m/>
    <s v="ton"/>
    <x v="1"/>
    <x v="0"/>
    <n v="2650"/>
    <n v="2650"/>
    <n v="2650"/>
    <n v="2400"/>
    <n v="2400"/>
    <n v="2400"/>
    <n v="2250"/>
    <n v="2250"/>
    <n v="2250"/>
    <n v="2150"/>
    <n v="2150"/>
    <n v="2150"/>
    <n v="2150"/>
    <n v="2200"/>
    <n v="2200"/>
    <n v="2300"/>
    <n v="2300"/>
    <n v="2300"/>
    <n v="2450"/>
    <n v="2450"/>
    <n v="2450"/>
    <m/>
    <m/>
    <m/>
    <m/>
    <m/>
    <m/>
    <m/>
    <m/>
    <m/>
    <m/>
    <m/>
    <m/>
    <m/>
    <m/>
    <m/>
    <m/>
    <m/>
    <m/>
    <m/>
    <m/>
    <m/>
    <m/>
    <m/>
    <m/>
    <m/>
    <m/>
    <m/>
    <x v="0"/>
    <x v="0"/>
    <x v="0"/>
    <n v="2.4500000000000002"/>
    <n v="14.455000000000002"/>
    <n v="0.14176320000000001"/>
    <n v="1.8791500000000003"/>
    <n v="0"/>
    <n v="9.1999999999999998E-2"/>
    <x v="0"/>
    <x v="5"/>
    <n v="105"/>
    <n v="90"/>
    <x v="0"/>
    <n v="0.1237968388119377"/>
    <x v="0"/>
    <x v="5"/>
  </r>
  <r>
    <n v="10957"/>
    <x v="2"/>
    <x v="1"/>
    <x v="2"/>
    <s v="IP"/>
    <x v="0"/>
    <s v="CARTIERE BLACK U1137"/>
    <s v="black"/>
    <s v="U1137"/>
    <m/>
    <m/>
    <s v="EU"/>
    <x v="0"/>
    <x v="0"/>
    <m/>
    <m/>
    <m/>
    <x v="0"/>
    <m/>
    <m/>
    <m/>
    <s v="ton"/>
    <x v="1"/>
    <x v="0"/>
    <n v="2680"/>
    <n v="2680"/>
    <n v="2680"/>
    <n v="2590"/>
    <n v="2590"/>
    <n v="2590"/>
    <n v="2380"/>
    <n v="2380"/>
    <n v="2380"/>
    <n v="2330"/>
    <n v="2330"/>
    <n v="2330"/>
    <n v="2330"/>
    <n v="2380"/>
    <n v="2380"/>
    <n v="2480"/>
    <n v="2480"/>
    <n v="2480"/>
    <n v="2630"/>
    <n v="2630"/>
    <n v="2630"/>
    <m/>
    <m/>
    <m/>
    <m/>
    <m/>
    <m/>
    <m/>
    <m/>
    <m/>
    <m/>
    <m/>
    <m/>
    <m/>
    <m/>
    <m/>
    <m/>
    <m/>
    <m/>
    <m/>
    <m/>
    <m/>
    <m/>
    <m/>
    <m/>
    <m/>
    <m/>
    <m/>
    <x v="5"/>
    <x v="0"/>
    <x v="0"/>
    <n v="2.63"/>
    <n v="15.516999999999999"/>
    <n v="0.14176320000000001"/>
    <n v="2.0172099999999999"/>
    <n v="0"/>
    <n v="9.1999999999999998E-2"/>
    <x v="5"/>
    <x v="6"/>
    <n v="105"/>
    <n v="90"/>
    <x v="0"/>
    <n v="0.13276378791357146"/>
    <x v="5"/>
    <x v="6"/>
  </r>
  <r>
    <n v="10959"/>
    <x v="3"/>
    <x v="2"/>
    <x v="3"/>
    <s v="IP"/>
    <x v="0"/>
    <s v="Backer Brown 60g"/>
    <s v="brown"/>
    <m/>
    <m/>
    <m/>
    <s v="EU"/>
    <x v="0"/>
    <x v="0"/>
    <m/>
    <m/>
    <m/>
    <x v="0"/>
    <m/>
    <m/>
    <m/>
    <s v="ton"/>
    <x v="1"/>
    <x v="0"/>
    <m/>
    <m/>
    <m/>
    <m/>
    <m/>
    <m/>
    <m/>
    <m/>
    <m/>
    <m/>
    <m/>
    <m/>
    <m/>
    <m/>
    <m/>
    <m/>
    <m/>
    <m/>
    <m/>
    <m/>
    <m/>
    <m/>
    <m/>
    <m/>
    <m/>
    <m/>
    <m/>
    <n v="1230"/>
    <n v="1230"/>
    <n v="1230"/>
    <n v="1230"/>
    <n v="1230"/>
    <m/>
    <m/>
    <m/>
    <m/>
    <m/>
    <m/>
    <m/>
    <m/>
    <m/>
    <m/>
    <m/>
    <m/>
    <m/>
    <m/>
    <m/>
    <m/>
    <x v="6"/>
    <x v="1"/>
    <x v="0"/>
    <n v="1.23"/>
    <n v="7.2570000000000006"/>
    <n v="0.14176320000000001"/>
    <n v="0.94341000000000008"/>
    <n v="0"/>
    <n v="9.1999999999999998E-2"/>
    <x v="6"/>
    <x v="7"/>
    <n v="105"/>
    <n v="90"/>
    <x v="0"/>
    <n v="6.3020850456434019E-2"/>
    <x v="6"/>
    <x v="7"/>
  </r>
  <r>
    <n v="10960"/>
    <x v="3"/>
    <x v="3"/>
    <x v="3"/>
    <s v="IP"/>
    <x v="0"/>
    <s v="Backer Brown 50g"/>
    <s v="brown"/>
    <m/>
    <m/>
    <m/>
    <s v="EU"/>
    <x v="0"/>
    <x v="0"/>
    <m/>
    <m/>
    <m/>
    <x v="1"/>
    <m/>
    <m/>
    <m/>
    <s v="ton"/>
    <x v="1"/>
    <x v="0"/>
    <m/>
    <m/>
    <m/>
    <m/>
    <m/>
    <m/>
    <m/>
    <m/>
    <m/>
    <m/>
    <m/>
    <m/>
    <m/>
    <m/>
    <m/>
    <m/>
    <m/>
    <m/>
    <m/>
    <m/>
    <m/>
    <m/>
    <m/>
    <m/>
    <m/>
    <m/>
    <m/>
    <n v="1250"/>
    <n v="1250"/>
    <n v="1250"/>
    <n v="1250"/>
    <n v="1250"/>
    <m/>
    <m/>
    <m/>
    <m/>
    <m/>
    <m/>
    <m/>
    <m/>
    <m/>
    <m/>
    <m/>
    <m/>
    <m/>
    <m/>
    <m/>
    <m/>
    <x v="7"/>
    <x v="1"/>
    <x v="0"/>
    <n v="1.25"/>
    <n v="7.375"/>
    <n v="0.14176320000000001"/>
    <n v="0.95874999999999999"/>
    <n v="5.9000000000000004E-2"/>
    <n v="9.1999999999999998E-2"/>
    <x v="7"/>
    <x v="8"/>
    <n v="105"/>
    <n v="90"/>
    <x v="0"/>
    <n v="6.445803108924153E-2"/>
    <x v="7"/>
    <x v="8"/>
  </r>
  <r>
    <n v="10961"/>
    <x v="4"/>
    <x v="1"/>
    <x v="4"/>
    <s v="DP"/>
    <x v="0"/>
    <s v="CARTIERE SW0337"/>
    <s v="white"/>
    <s v="SW0337"/>
    <m/>
    <m/>
    <s v="EU"/>
    <x v="0"/>
    <x v="0"/>
    <m/>
    <m/>
    <m/>
    <x v="0"/>
    <m/>
    <m/>
    <m/>
    <s v="ton"/>
    <x v="1"/>
    <x v="0"/>
    <m/>
    <m/>
    <m/>
    <m/>
    <m/>
    <m/>
    <m/>
    <m/>
    <m/>
    <m/>
    <m/>
    <m/>
    <m/>
    <m/>
    <m/>
    <m/>
    <m/>
    <m/>
    <m/>
    <m/>
    <m/>
    <m/>
    <m/>
    <m/>
    <m/>
    <m/>
    <m/>
    <m/>
    <m/>
    <m/>
    <m/>
    <m/>
    <m/>
    <m/>
    <n v="2390"/>
    <n v="2390"/>
    <n v="2390"/>
    <m/>
    <m/>
    <m/>
    <m/>
    <m/>
    <m/>
    <m/>
    <m/>
    <m/>
    <m/>
    <m/>
    <x v="8"/>
    <x v="2"/>
    <x v="1"/>
    <n v="2.39"/>
    <n v="14.101000000000001"/>
    <n v="0.14176320000000001"/>
    <n v="1.8331300000000001"/>
    <n v="0"/>
    <n v="9.1999999999999998E-2"/>
    <x v="8"/>
    <x v="9"/>
    <n v="105"/>
    <n v="90"/>
    <x v="0"/>
    <n v="0.12080785577806097"/>
    <x v="8"/>
    <x v="9"/>
  </r>
  <r>
    <n v="10961"/>
    <x v="4"/>
    <x v="1"/>
    <x v="4"/>
    <s v="DP"/>
    <x v="0"/>
    <s v="CARTIERE SW0337"/>
    <s v="white"/>
    <s v="SW0337"/>
    <m/>
    <m/>
    <s v="EU"/>
    <x v="0"/>
    <x v="0"/>
    <m/>
    <m/>
    <m/>
    <x v="0"/>
    <m/>
    <m/>
    <m/>
    <s v="ton"/>
    <x v="0"/>
    <x v="0"/>
    <m/>
    <m/>
    <m/>
    <m/>
    <m/>
    <m/>
    <m/>
    <m/>
    <m/>
    <m/>
    <m/>
    <m/>
    <m/>
    <m/>
    <m/>
    <m/>
    <m/>
    <m/>
    <m/>
    <m/>
    <m/>
    <m/>
    <m/>
    <m/>
    <m/>
    <m/>
    <m/>
    <m/>
    <m/>
    <m/>
    <m/>
    <m/>
    <m/>
    <m/>
    <n v="2450"/>
    <n v="2450"/>
    <n v="2450"/>
    <m/>
    <m/>
    <m/>
    <m/>
    <m/>
    <m/>
    <m/>
    <m/>
    <m/>
    <m/>
    <m/>
    <x v="0"/>
    <x v="2"/>
    <x v="1"/>
    <n v="2.4500000000000002"/>
    <n v="14.455000000000002"/>
    <n v="0.14176320000000001"/>
    <n v="1.8791500000000003"/>
    <n v="0"/>
    <n v="9.1999999999999998E-2"/>
    <x v="0"/>
    <x v="5"/>
    <n v="105"/>
    <n v="90"/>
    <x v="0"/>
    <n v="0.1237968388119377"/>
    <x v="0"/>
    <x v="5"/>
  </r>
  <r>
    <n v="10961"/>
    <x v="4"/>
    <x v="1"/>
    <x v="4"/>
    <s v="DP"/>
    <x v="0"/>
    <s v="CARTIERE SW0337"/>
    <s v="white"/>
    <s v="SW0337"/>
    <m/>
    <m/>
    <s v="EU"/>
    <x v="0"/>
    <x v="0"/>
    <m/>
    <m/>
    <m/>
    <x v="0"/>
    <m/>
    <m/>
    <m/>
    <s v="ton"/>
    <x v="2"/>
    <x v="0"/>
    <m/>
    <m/>
    <m/>
    <m/>
    <m/>
    <m/>
    <m/>
    <m/>
    <m/>
    <m/>
    <m/>
    <m/>
    <m/>
    <m/>
    <m/>
    <m/>
    <m/>
    <m/>
    <m/>
    <m/>
    <m/>
    <m/>
    <m/>
    <m/>
    <m/>
    <m/>
    <m/>
    <m/>
    <m/>
    <m/>
    <m/>
    <m/>
    <m/>
    <m/>
    <n v="2890"/>
    <n v="2890"/>
    <n v="2890"/>
    <m/>
    <m/>
    <m/>
    <m/>
    <m/>
    <m/>
    <m/>
    <m/>
    <m/>
    <m/>
    <m/>
    <x v="9"/>
    <x v="2"/>
    <x v="1"/>
    <n v="2.89"/>
    <n v="17.051000000000002"/>
    <n v="0.14176320000000001"/>
    <n v="2.2166300000000003"/>
    <n v="0"/>
    <n v="9.1999999999999998E-2"/>
    <x v="9"/>
    <x v="10"/>
    <n v="105"/>
    <n v="90"/>
    <x v="0"/>
    <n v="0.1457160477270385"/>
    <x v="9"/>
    <x v="10"/>
  </r>
  <r>
    <n v="10962"/>
    <x v="5"/>
    <x v="4"/>
    <x v="0"/>
    <s v="DP"/>
    <x v="0"/>
    <s v="CARTIERE 0483"/>
    <s v="gray"/>
    <m/>
    <m/>
    <m/>
    <s v="EU"/>
    <x v="0"/>
    <x v="0"/>
    <m/>
    <m/>
    <m/>
    <x v="0"/>
    <m/>
    <m/>
    <m/>
    <s v="ton"/>
    <x v="4"/>
    <x v="0"/>
    <m/>
    <m/>
    <m/>
    <m/>
    <m/>
    <m/>
    <m/>
    <m/>
    <m/>
    <m/>
    <m/>
    <m/>
    <m/>
    <m/>
    <m/>
    <m/>
    <m/>
    <m/>
    <m/>
    <m/>
    <m/>
    <m/>
    <m/>
    <m/>
    <m/>
    <m/>
    <m/>
    <m/>
    <m/>
    <m/>
    <m/>
    <m/>
    <m/>
    <m/>
    <n v="1750"/>
    <n v="1750"/>
    <n v="1750"/>
    <m/>
    <m/>
    <m/>
    <m/>
    <m/>
    <m/>
    <m/>
    <m/>
    <m/>
    <m/>
    <m/>
    <x v="10"/>
    <x v="2"/>
    <x v="1"/>
    <n v="1.75"/>
    <n v="10.325000000000001"/>
    <n v="0.14176320000000001"/>
    <n v="1.3422500000000002"/>
    <n v="0"/>
    <n v="9.1999999999999998E-2"/>
    <x v="10"/>
    <x v="11"/>
    <n v="105"/>
    <n v="90"/>
    <x v="0"/>
    <n v="8.892537008336987E-2"/>
    <x v="10"/>
    <x v="11"/>
  </r>
  <r>
    <n v="10962"/>
    <x v="5"/>
    <x v="4"/>
    <x v="0"/>
    <s v="DP"/>
    <x v="0"/>
    <s v="CARTIERE 0483"/>
    <s v="gray"/>
    <m/>
    <m/>
    <m/>
    <s v="EU"/>
    <x v="0"/>
    <x v="0"/>
    <m/>
    <m/>
    <m/>
    <x v="0"/>
    <m/>
    <m/>
    <m/>
    <s v="ton"/>
    <x v="5"/>
    <x v="0"/>
    <m/>
    <m/>
    <m/>
    <m/>
    <m/>
    <m/>
    <m/>
    <m/>
    <m/>
    <m/>
    <m/>
    <m/>
    <m/>
    <m/>
    <m/>
    <m/>
    <m/>
    <m/>
    <m/>
    <m/>
    <m/>
    <m/>
    <m/>
    <m/>
    <m/>
    <m/>
    <m/>
    <m/>
    <m/>
    <m/>
    <m/>
    <m/>
    <m/>
    <m/>
    <n v="1790"/>
    <n v="1790"/>
    <n v="1790"/>
    <m/>
    <m/>
    <m/>
    <m/>
    <m/>
    <m/>
    <m/>
    <m/>
    <m/>
    <m/>
    <m/>
    <x v="11"/>
    <x v="2"/>
    <x v="1"/>
    <n v="1.79"/>
    <n v="10.561000000000002"/>
    <n v="0.14176320000000001"/>
    <n v="1.3729300000000002"/>
    <n v="0"/>
    <n v="9.1999999999999998E-2"/>
    <x v="11"/>
    <x v="12"/>
    <n v="105"/>
    <n v="90"/>
    <x v="0"/>
    <n v="9.0918025439288286E-2"/>
    <x v="11"/>
    <x v="12"/>
  </r>
  <r>
    <n v="10962"/>
    <x v="5"/>
    <x v="4"/>
    <x v="0"/>
    <s v="DP"/>
    <x v="0"/>
    <s v="CARTIERE 0483"/>
    <s v="gray"/>
    <m/>
    <m/>
    <m/>
    <s v="EU"/>
    <x v="0"/>
    <x v="0"/>
    <m/>
    <m/>
    <m/>
    <x v="0"/>
    <m/>
    <m/>
    <m/>
    <s v="ton"/>
    <x v="1"/>
    <x v="0"/>
    <m/>
    <m/>
    <m/>
    <m/>
    <m/>
    <m/>
    <m/>
    <m/>
    <m/>
    <m/>
    <m/>
    <m/>
    <m/>
    <m/>
    <m/>
    <m/>
    <m/>
    <m/>
    <m/>
    <m/>
    <m/>
    <m/>
    <m/>
    <m/>
    <m/>
    <m/>
    <m/>
    <m/>
    <m/>
    <m/>
    <m/>
    <m/>
    <m/>
    <m/>
    <n v="1900"/>
    <n v="1900"/>
    <n v="1900"/>
    <m/>
    <m/>
    <m/>
    <m/>
    <m/>
    <m/>
    <m/>
    <m/>
    <m/>
    <m/>
    <m/>
    <x v="12"/>
    <x v="2"/>
    <x v="1"/>
    <n v="1.9"/>
    <n v="11.21"/>
    <n v="0.14176320000000001"/>
    <n v="1.4573000000000003"/>
    <n v="0"/>
    <n v="9.1999999999999998E-2"/>
    <x v="12"/>
    <x v="13"/>
    <n v="105"/>
    <n v="90"/>
    <x v="0"/>
    <n v="9.6397827668063485E-2"/>
    <x v="12"/>
    <x v="13"/>
  </r>
  <r>
    <n v="10962"/>
    <x v="5"/>
    <x v="4"/>
    <x v="0"/>
    <s v="DP"/>
    <x v="0"/>
    <s v="CARTIERE 0483"/>
    <s v="gray"/>
    <m/>
    <m/>
    <m/>
    <s v="EU"/>
    <x v="0"/>
    <x v="0"/>
    <m/>
    <m/>
    <m/>
    <x v="0"/>
    <m/>
    <m/>
    <m/>
    <s v="ton"/>
    <x v="0"/>
    <x v="0"/>
    <m/>
    <m/>
    <m/>
    <m/>
    <m/>
    <m/>
    <m/>
    <m/>
    <m/>
    <m/>
    <m/>
    <m/>
    <m/>
    <m/>
    <m/>
    <m/>
    <m/>
    <m/>
    <m/>
    <m/>
    <m/>
    <m/>
    <m/>
    <m/>
    <m/>
    <m/>
    <m/>
    <m/>
    <m/>
    <m/>
    <m/>
    <m/>
    <m/>
    <m/>
    <n v="2050"/>
    <n v="2050"/>
    <n v="2050"/>
    <m/>
    <m/>
    <m/>
    <m/>
    <m/>
    <m/>
    <m/>
    <m/>
    <m/>
    <m/>
    <m/>
    <x v="13"/>
    <x v="2"/>
    <x v="1"/>
    <n v="2.0499999999999998"/>
    <n v="12.094999999999999"/>
    <n v="0.14176320000000001"/>
    <n v="1.5723499999999999"/>
    <n v="0"/>
    <n v="9.1999999999999998E-2"/>
    <x v="13"/>
    <x v="14"/>
    <n v="105"/>
    <n v="90"/>
    <x v="0"/>
    <n v="0.1038702852527571"/>
    <x v="13"/>
    <x v="14"/>
  </r>
  <r>
    <n v="10962"/>
    <x v="5"/>
    <x v="4"/>
    <x v="0"/>
    <s v="DP"/>
    <x v="0"/>
    <s v="CARTIERE 0483"/>
    <s v="gray"/>
    <m/>
    <m/>
    <m/>
    <s v="EU"/>
    <x v="0"/>
    <x v="0"/>
    <m/>
    <m/>
    <m/>
    <x v="0"/>
    <m/>
    <m/>
    <m/>
    <s v="ton"/>
    <x v="2"/>
    <x v="0"/>
    <m/>
    <m/>
    <m/>
    <m/>
    <m/>
    <m/>
    <m/>
    <m/>
    <m/>
    <m/>
    <m/>
    <m/>
    <m/>
    <m/>
    <m/>
    <m/>
    <m/>
    <m/>
    <m/>
    <m/>
    <m/>
    <m/>
    <m/>
    <m/>
    <m/>
    <m/>
    <m/>
    <m/>
    <m/>
    <m/>
    <m/>
    <m/>
    <m/>
    <m/>
    <n v="2350"/>
    <n v="2350"/>
    <n v="2350"/>
    <m/>
    <m/>
    <m/>
    <m/>
    <m/>
    <m/>
    <m/>
    <m/>
    <m/>
    <m/>
    <m/>
    <x v="14"/>
    <x v="2"/>
    <x v="1"/>
    <n v="2.35"/>
    <n v="13.865000000000002"/>
    <n v="0.14176320000000001"/>
    <n v="1.8024500000000003"/>
    <n v="0"/>
    <n v="9.1999999999999998E-2"/>
    <x v="14"/>
    <x v="15"/>
    <n v="105"/>
    <n v="90"/>
    <x v="0"/>
    <n v="0.11881520042214255"/>
    <x v="14"/>
    <x v="15"/>
  </r>
  <r>
    <n v="10963"/>
    <x v="6"/>
    <x v="4"/>
    <x v="0"/>
    <s v="DP"/>
    <x v="0"/>
    <s v="CARTIERE 689"/>
    <s v="dark gray"/>
    <m/>
    <m/>
    <m/>
    <s v="EU"/>
    <x v="0"/>
    <x v="0"/>
    <m/>
    <m/>
    <m/>
    <x v="0"/>
    <m/>
    <m/>
    <m/>
    <s v="ton"/>
    <x v="1"/>
    <x v="0"/>
    <m/>
    <m/>
    <m/>
    <m/>
    <m/>
    <m/>
    <m/>
    <m/>
    <m/>
    <m/>
    <m/>
    <m/>
    <m/>
    <m/>
    <m/>
    <m/>
    <m/>
    <m/>
    <m/>
    <m/>
    <m/>
    <m/>
    <m/>
    <m/>
    <m/>
    <m/>
    <m/>
    <m/>
    <m/>
    <m/>
    <m/>
    <m/>
    <m/>
    <m/>
    <n v="1790"/>
    <n v="1790"/>
    <n v="1790"/>
    <m/>
    <m/>
    <m/>
    <m/>
    <m/>
    <m/>
    <m/>
    <m/>
    <m/>
    <m/>
    <m/>
    <x v="11"/>
    <x v="2"/>
    <x v="1"/>
    <n v="1.79"/>
    <n v="10.561000000000002"/>
    <n v="0.14176320000000001"/>
    <n v="1.3729300000000002"/>
    <n v="0"/>
    <n v="9.1999999999999998E-2"/>
    <x v="11"/>
    <x v="12"/>
    <n v="105"/>
    <n v="90"/>
    <x v="0"/>
    <n v="9.0918025439288286E-2"/>
    <x v="11"/>
    <x v="12"/>
  </r>
  <r>
    <n v="10963"/>
    <x v="6"/>
    <x v="4"/>
    <x v="0"/>
    <s v="DP"/>
    <x v="0"/>
    <s v="CARTIERE 689"/>
    <s v="dark gray"/>
    <m/>
    <m/>
    <m/>
    <s v="EU"/>
    <x v="0"/>
    <x v="0"/>
    <m/>
    <m/>
    <m/>
    <x v="0"/>
    <m/>
    <m/>
    <m/>
    <s v="ton"/>
    <x v="0"/>
    <x v="0"/>
    <m/>
    <m/>
    <m/>
    <m/>
    <m/>
    <m/>
    <m/>
    <m/>
    <m/>
    <m/>
    <m/>
    <m/>
    <m/>
    <m/>
    <m/>
    <m/>
    <m/>
    <m/>
    <m/>
    <m/>
    <m/>
    <m/>
    <m/>
    <m/>
    <m/>
    <m/>
    <m/>
    <m/>
    <m/>
    <m/>
    <m/>
    <m/>
    <m/>
    <m/>
    <n v="1890"/>
    <n v="1890"/>
    <n v="1890"/>
    <m/>
    <m/>
    <m/>
    <m/>
    <m/>
    <m/>
    <m/>
    <m/>
    <m/>
    <m/>
    <m/>
    <x v="15"/>
    <x v="2"/>
    <x v="1"/>
    <n v="1.89"/>
    <n v="11.151"/>
    <n v="0.14176320000000001"/>
    <n v="1.44963"/>
    <n v="0"/>
    <n v="9.1999999999999998E-2"/>
    <x v="15"/>
    <x v="16"/>
    <n v="105"/>
    <n v="90"/>
    <x v="0"/>
    <n v="9.5899663829085213E-2"/>
    <x v="15"/>
    <x v="16"/>
  </r>
  <r>
    <n v="10963"/>
    <x v="6"/>
    <x v="4"/>
    <x v="0"/>
    <s v="DP"/>
    <x v="0"/>
    <s v="CARTIERE 689"/>
    <s v="dark gray"/>
    <m/>
    <m/>
    <m/>
    <s v="EU"/>
    <x v="0"/>
    <x v="0"/>
    <m/>
    <m/>
    <m/>
    <x v="0"/>
    <m/>
    <m/>
    <m/>
    <s v="ton"/>
    <x v="2"/>
    <x v="0"/>
    <m/>
    <m/>
    <m/>
    <m/>
    <m/>
    <m/>
    <m/>
    <m/>
    <m/>
    <m/>
    <m/>
    <m/>
    <m/>
    <m/>
    <m/>
    <m/>
    <m/>
    <m/>
    <m/>
    <m/>
    <m/>
    <m/>
    <m/>
    <m/>
    <m/>
    <m/>
    <m/>
    <m/>
    <m/>
    <m/>
    <m/>
    <m/>
    <m/>
    <m/>
    <n v="2350"/>
    <n v="2350"/>
    <n v="2350"/>
    <m/>
    <m/>
    <m/>
    <m/>
    <m/>
    <m/>
    <m/>
    <m/>
    <m/>
    <m/>
    <m/>
    <x v="14"/>
    <x v="2"/>
    <x v="1"/>
    <n v="2.35"/>
    <n v="13.865000000000002"/>
    <n v="0.14176320000000001"/>
    <n v="1.8024500000000003"/>
    <n v="0"/>
    <n v="9.1999999999999998E-2"/>
    <x v="14"/>
    <x v="15"/>
    <n v="105"/>
    <n v="90"/>
    <x v="0"/>
    <n v="0.11881520042214255"/>
    <x v="14"/>
    <x v="15"/>
  </r>
  <r>
    <n v="18854"/>
    <x v="7"/>
    <x v="5"/>
    <x v="0"/>
    <s v="DP"/>
    <x v="1"/>
    <s v="HUAWON HW1389"/>
    <s v="beige"/>
    <s v="HY2001"/>
    <m/>
    <m/>
    <s v="CN"/>
    <x v="0"/>
    <x v="1"/>
    <m/>
    <n v="90"/>
    <m/>
    <x v="0"/>
    <m/>
    <m/>
    <m/>
    <s v="ton"/>
    <x v="1"/>
    <x v="1"/>
    <m/>
    <m/>
    <m/>
    <m/>
    <m/>
    <m/>
    <m/>
    <m/>
    <m/>
    <m/>
    <m/>
    <m/>
    <m/>
    <m/>
    <m/>
    <m/>
    <m/>
    <m/>
    <m/>
    <m/>
    <m/>
    <m/>
    <m/>
    <m/>
    <m/>
    <m/>
    <m/>
    <n v="13500"/>
    <n v="13500"/>
    <n v="13500"/>
    <m/>
    <m/>
    <m/>
    <m/>
    <m/>
    <m/>
    <m/>
    <m/>
    <m/>
    <m/>
    <m/>
    <m/>
    <m/>
    <m/>
    <m/>
    <m/>
    <m/>
    <m/>
    <x v="16"/>
    <x v="3"/>
    <x v="0"/>
    <n v="13.5"/>
    <n v="10.125"/>
    <n v="1.11958"/>
    <n v="1.4175000000000002"/>
    <n v="0"/>
    <n v="9.1999999999999998E-2"/>
    <x v="16"/>
    <x v="17"/>
    <n v="120"/>
    <n v="90"/>
    <x v="1"/>
    <n v="0.19131119999999946"/>
    <x v="16"/>
    <x v="17"/>
  </r>
  <r>
    <n v="18854"/>
    <x v="7"/>
    <x v="5"/>
    <x v="0"/>
    <s v="DP"/>
    <x v="1"/>
    <s v="HUAWON HW1389"/>
    <s v="beige"/>
    <s v="HY2001"/>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18"/>
    <n v="120"/>
    <n v="90"/>
    <x v="1"/>
    <n v="0.19977569999999822"/>
    <x v="17"/>
    <x v="18"/>
  </r>
  <r>
    <n v="18855"/>
    <x v="5"/>
    <x v="0"/>
    <x v="0"/>
    <s v="DP"/>
    <x v="1"/>
    <s v="HUAWON HG5083"/>
    <s v="gray"/>
    <s v="HG5083"/>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55"/>
    <x v="5"/>
    <x v="0"/>
    <x v="0"/>
    <s v="DP"/>
    <x v="1"/>
    <s v="HUAWON HG5083"/>
    <s v="gray"/>
    <s v="HG5083"/>
    <m/>
    <m/>
    <s v="CN"/>
    <x v="0"/>
    <x v="2"/>
    <m/>
    <n v="90"/>
    <m/>
    <x v="0"/>
    <m/>
    <m/>
    <m/>
    <s v="ton"/>
    <x v="5"/>
    <x v="0"/>
    <m/>
    <m/>
    <m/>
    <n v="1800"/>
    <n v="1800"/>
    <n v="1800"/>
    <n v="1800"/>
    <n v="1800"/>
    <n v="1800"/>
    <n v="1800"/>
    <n v="1800"/>
    <n v="1800"/>
    <n v="1800"/>
    <n v="1800"/>
    <n v="1650"/>
    <n v="1650"/>
    <n v="1650"/>
    <n v="1650"/>
    <m/>
    <m/>
    <m/>
    <m/>
    <m/>
    <m/>
    <m/>
    <m/>
    <m/>
    <m/>
    <m/>
    <m/>
    <m/>
    <m/>
    <m/>
    <m/>
    <m/>
    <m/>
    <m/>
    <m/>
    <m/>
    <m/>
    <m/>
    <m/>
    <m/>
    <m/>
    <m/>
    <m/>
    <m/>
    <m/>
    <x v="19"/>
    <x v="5"/>
    <x v="0"/>
    <n v="1.65"/>
    <n v="9.7349999999999994"/>
    <n v="1.11958"/>
    <n v="1.3629"/>
    <n v="0"/>
    <n v="9.1999999999999998E-2"/>
    <x v="19"/>
    <x v="20"/>
    <n v="120"/>
    <n v="90"/>
    <x v="1"/>
    <n v="0.18464219999999898"/>
    <x v="19"/>
    <x v="20"/>
  </r>
  <r>
    <n v="18855"/>
    <x v="5"/>
    <x v="0"/>
    <x v="0"/>
    <s v="DP"/>
    <x v="1"/>
    <s v="HUAWON HG5083"/>
    <s v="gray"/>
    <s v="HG5083"/>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21"/>
    <n v="120"/>
    <n v="90"/>
    <x v="1"/>
    <n v="0.19977569999999822"/>
    <x v="17"/>
    <x v="21"/>
  </r>
  <r>
    <n v="18856"/>
    <x v="6"/>
    <x v="0"/>
    <x v="0"/>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56"/>
    <x v="6"/>
    <x v="0"/>
    <x v="0"/>
    <s v="DP"/>
    <x v="1"/>
    <s v="HUAWON HG5089"/>
    <s v="gray"/>
    <s v="HG5089"/>
    <m/>
    <m/>
    <s v="CN"/>
    <x v="0"/>
    <x v="2"/>
    <m/>
    <n v="90"/>
    <m/>
    <x v="0"/>
    <m/>
    <m/>
    <m/>
    <s v="ton"/>
    <x v="5"/>
    <x v="0"/>
    <m/>
    <m/>
    <m/>
    <n v="1800"/>
    <n v="1800"/>
    <n v="1800"/>
    <n v="1800"/>
    <n v="1800"/>
    <n v="1800"/>
    <n v="1800"/>
    <n v="1800"/>
    <n v="1800"/>
    <n v="1800"/>
    <n v="1800"/>
    <n v="1650"/>
    <n v="1650"/>
    <n v="1650"/>
    <n v="1650"/>
    <m/>
    <m/>
    <m/>
    <m/>
    <m/>
    <m/>
    <m/>
    <m/>
    <m/>
    <m/>
    <m/>
    <m/>
    <m/>
    <m/>
    <m/>
    <m/>
    <m/>
    <m/>
    <m/>
    <m/>
    <m/>
    <m/>
    <m/>
    <m/>
    <m/>
    <m/>
    <m/>
    <m/>
    <m/>
    <m/>
    <x v="19"/>
    <x v="5"/>
    <x v="0"/>
    <n v="1.65"/>
    <n v="9.7349999999999994"/>
    <n v="1.11958"/>
    <n v="1.3629"/>
    <n v="0"/>
    <n v="9.1999999999999998E-2"/>
    <x v="19"/>
    <x v="20"/>
    <n v="120"/>
    <n v="90"/>
    <x v="1"/>
    <n v="0.18464219999999898"/>
    <x v="19"/>
    <x v="20"/>
  </r>
  <r>
    <n v="18856"/>
    <x v="6"/>
    <x v="0"/>
    <x v="0"/>
    <s v="DP"/>
    <x v="1"/>
    <s v="HUAWON HG5089"/>
    <s v="gray"/>
    <s v="HG5089"/>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21"/>
    <n v="120"/>
    <n v="90"/>
    <x v="1"/>
    <n v="0.19977569999999822"/>
    <x v="17"/>
    <x v="21"/>
  </r>
  <r>
    <n v="18857"/>
    <x v="8"/>
    <x v="5"/>
    <x v="0"/>
    <s v="DP"/>
    <x v="1"/>
    <s v="HUAWON HW1831"/>
    <s v="white"/>
    <s v="HW1831"/>
    <m/>
    <m/>
    <s v="CN"/>
    <x v="0"/>
    <x v="1"/>
    <m/>
    <n v="90"/>
    <m/>
    <x v="0"/>
    <m/>
    <m/>
    <m/>
    <s v="ton"/>
    <x v="1"/>
    <x v="1"/>
    <m/>
    <m/>
    <m/>
    <m/>
    <m/>
    <m/>
    <m/>
    <m/>
    <m/>
    <m/>
    <m/>
    <m/>
    <m/>
    <m/>
    <m/>
    <m/>
    <m/>
    <m/>
    <m/>
    <m/>
    <m/>
    <m/>
    <m/>
    <m/>
    <m/>
    <m/>
    <m/>
    <n v="12100"/>
    <n v="12100"/>
    <n v="12100"/>
    <m/>
    <m/>
    <m/>
    <m/>
    <m/>
    <m/>
    <m/>
    <m/>
    <m/>
    <m/>
    <m/>
    <m/>
    <m/>
    <m/>
    <m/>
    <m/>
    <m/>
    <m/>
    <x v="20"/>
    <x v="3"/>
    <x v="0"/>
    <n v="12.1"/>
    <n v="9.0749999999999993"/>
    <n v="1.11958"/>
    <n v="1.2705"/>
    <n v="0"/>
    <n v="9.1999999999999998E-2"/>
    <x v="20"/>
    <x v="22"/>
    <n v="120"/>
    <n v="90"/>
    <x v="1"/>
    <n v="0.17335619999999885"/>
    <x v="20"/>
    <x v="22"/>
  </r>
  <r>
    <n v="18857"/>
    <x v="8"/>
    <x v="5"/>
    <x v="0"/>
    <s v="DP"/>
    <x v="1"/>
    <s v="HUAWON HW1831"/>
    <s v="white"/>
    <s v="HW1831"/>
    <m/>
    <m/>
    <s v="CN"/>
    <x v="0"/>
    <x v="2"/>
    <m/>
    <n v="90"/>
    <m/>
    <x v="0"/>
    <m/>
    <m/>
    <m/>
    <s v="ton"/>
    <x v="1"/>
    <x v="0"/>
    <m/>
    <m/>
    <m/>
    <n v="1750"/>
    <n v="1750"/>
    <n v="1750"/>
    <n v="1750"/>
    <n v="1750"/>
    <n v="1750"/>
    <n v="1750"/>
    <n v="1750"/>
    <n v="1750"/>
    <n v="1750"/>
    <n v="1750"/>
    <n v="1600"/>
    <n v="1600"/>
    <n v="1600"/>
    <n v="1600"/>
    <m/>
    <m/>
    <m/>
    <m/>
    <m/>
    <m/>
    <m/>
    <m/>
    <m/>
    <m/>
    <m/>
    <m/>
    <m/>
    <m/>
    <m/>
    <m/>
    <m/>
    <m/>
    <m/>
    <m/>
    <m/>
    <m/>
    <m/>
    <m/>
    <m/>
    <m/>
    <m/>
    <m/>
    <m/>
    <m/>
    <x v="21"/>
    <x v="5"/>
    <x v="0"/>
    <n v="1.6"/>
    <n v="9.4400000000000013"/>
    <n v="1.11958"/>
    <n v="1.3216000000000003"/>
    <n v="0"/>
    <n v="9.1999999999999998E-2"/>
    <x v="21"/>
    <x v="23"/>
    <n v="120"/>
    <n v="90"/>
    <x v="1"/>
    <n v="0.17959769999999864"/>
    <x v="21"/>
    <x v="23"/>
  </r>
  <r>
    <n v="18858"/>
    <x v="9"/>
    <x v="5"/>
    <x v="0"/>
    <s v="DP"/>
    <x v="1"/>
    <s v="HUAWON HY2059"/>
    <s v="dark beige"/>
    <s v="HY2059"/>
    <m/>
    <m/>
    <s v="CN"/>
    <x v="0"/>
    <x v="1"/>
    <m/>
    <n v="90"/>
    <m/>
    <x v="0"/>
    <m/>
    <m/>
    <m/>
    <s v="ton"/>
    <x v="1"/>
    <x v="1"/>
    <m/>
    <m/>
    <m/>
    <m/>
    <m/>
    <m/>
    <m/>
    <m/>
    <m/>
    <m/>
    <m/>
    <m/>
    <m/>
    <m/>
    <m/>
    <m/>
    <m/>
    <m/>
    <m/>
    <m/>
    <m/>
    <m/>
    <m/>
    <m/>
    <m/>
    <m/>
    <m/>
    <n v="13650"/>
    <n v="13650"/>
    <n v="13650"/>
    <m/>
    <m/>
    <m/>
    <m/>
    <m/>
    <m/>
    <m/>
    <m/>
    <m/>
    <m/>
    <m/>
    <m/>
    <m/>
    <m/>
    <m/>
    <m/>
    <m/>
    <m/>
    <x v="22"/>
    <x v="3"/>
    <x v="0"/>
    <n v="13.65"/>
    <n v="10.237500000000001"/>
    <n v="1.11958"/>
    <n v="1.4332500000000001"/>
    <n v="0"/>
    <n v="9.1999999999999998E-2"/>
    <x v="22"/>
    <x v="24"/>
    <n v="120"/>
    <n v="90"/>
    <x v="1"/>
    <n v="0.19323494999999902"/>
    <x v="22"/>
    <x v="24"/>
  </r>
  <r>
    <n v="18858"/>
    <x v="9"/>
    <x v="5"/>
    <x v="0"/>
    <s v="DP"/>
    <x v="1"/>
    <s v="HUAWON HY2059"/>
    <s v="dark beige"/>
    <s v="HY2059"/>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18"/>
    <n v="120"/>
    <n v="90"/>
    <x v="1"/>
    <n v="0.19977569999999822"/>
    <x v="17"/>
    <x v="18"/>
  </r>
  <r>
    <n v="18860"/>
    <x v="6"/>
    <x v="0"/>
    <x v="5"/>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60"/>
    <x v="6"/>
    <x v="0"/>
    <x v="5"/>
    <s v="DP"/>
    <x v="1"/>
    <s v="HUAWON HG5089"/>
    <s v="gray"/>
    <s v="HG5089"/>
    <m/>
    <m/>
    <s v="CN"/>
    <x v="0"/>
    <x v="2"/>
    <m/>
    <n v="90"/>
    <m/>
    <x v="0"/>
    <m/>
    <m/>
    <m/>
    <s v="ton"/>
    <x v="1"/>
    <x v="0"/>
    <m/>
    <m/>
    <m/>
    <m/>
    <m/>
    <m/>
    <m/>
    <m/>
    <m/>
    <m/>
    <m/>
    <m/>
    <n v="1800"/>
    <n v="1800"/>
    <n v="1650"/>
    <n v="1650"/>
    <n v="1650"/>
    <n v="1650"/>
    <m/>
    <m/>
    <m/>
    <m/>
    <m/>
    <m/>
    <m/>
    <m/>
    <m/>
    <m/>
    <m/>
    <m/>
    <m/>
    <m/>
    <m/>
    <m/>
    <m/>
    <m/>
    <m/>
    <m/>
    <m/>
    <m/>
    <m/>
    <m/>
    <m/>
    <m/>
    <m/>
    <m/>
    <m/>
    <m/>
    <x v="19"/>
    <x v="5"/>
    <x v="0"/>
    <n v="1.65"/>
    <n v="9.7349999999999994"/>
    <n v="1.11958"/>
    <n v="1.3629"/>
    <n v="0"/>
    <n v="9.1999999999999998E-2"/>
    <x v="19"/>
    <x v="20"/>
    <n v="120"/>
    <n v="90"/>
    <x v="1"/>
    <n v="0.18464219999999898"/>
    <x v="19"/>
    <x v="20"/>
  </r>
  <r>
    <n v="18861"/>
    <x v="6"/>
    <x v="0"/>
    <x v="6"/>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61"/>
    <x v="6"/>
    <x v="0"/>
    <x v="6"/>
    <s v="DP"/>
    <x v="1"/>
    <s v="HUAWON HG5089"/>
    <s v="gray"/>
    <s v="HG5089"/>
    <m/>
    <m/>
    <s v="CN"/>
    <x v="0"/>
    <x v="2"/>
    <m/>
    <n v="90"/>
    <m/>
    <x v="0"/>
    <m/>
    <m/>
    <m/>
    <s v="ton"/>
    <x v="1"/>
    <x v="0"/>
    <m/>
    <m/>
    <m/>
    <m/>
    <m/>
    <m/>
    <m/>
    <m/>
    <m/>
    <m/>
    <m/>
    <m/>
    <n v="1800"/>
    <n v="1800"/>
    <n v="1650"/>
    <n v="1650"/>
    <n v="1650"/>
    <n v="1650"/>
    <m/>
    <m/>
    <m/>
    <m/>
    <m/>
    <m/>
    <m/>
    <m/>
    <m/>
    <m/>
    <m/>
    <m/>
    <m/>
    <m/>
    <m/>
    <m/>
    <m/>
    <m/>
    <m/>
    <m/>
    <m/>
    <m/>
    <m/>
    <m/>
    <m/>
    <m/>
    <m/>
    <m/>
    <m/>
    <m/>
    <x v="19"/>
    <x v="5"/>
    <x v="0"/>
    <n v="1.65"/>
    <n v="9.7349999999999994"/>
    <n v="1.11958"/>
    <n v="1.3629"/>
    <n v="0"/>
    <n v="9.1999999999999998E-2"/>
    <x v="19"/>
    <x v="20"/>
    <n v="120"/>
    <n v="90"/>
    <x v="1"/>
    <n v="0.18464219999999898"/>
    <x v="19"/>
    <x v="20"/>
  </r>
  <r>
    <n v="18864"/>
    <x v="10"/>
    <x v="5"/>
    <x v="0"/>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9.027000000000001"/>
    <n v="1.11958"/>
    <n v="1.2637800000000003"/>
    <n v="0"/>
    <n v="9.1999999999999998E-2"/>
    <x v="23"/>
    <x v="25"/>
    <n v="120"/>
    <n v="90"/>
    <x v="1"/>
    <n v="0.17253539999999923"/>
    <x v="23"/>
    <x v="25"/>
  </r>
  <r>
    <n v="18865"/>
    <x v="10"/>
    <x v="5"/>
    <x v="5"/>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9.027000000000001"/>
    <n v="1.11958"/>
    <n v="1.2637800000000003"/>
    <n v="0"/>
    <n v="9.1999999999999998E-2"/>
    <x v="23"/>
    <x v="25"/>
    <n v="120"/>
    <n v="90"/>
    <x v="1"/>
    <n v="0.17253539999999923"/>
    <x v="23"/>
    <x v="25"/>
  </r>
  <r>
    <m/>
    <x v="11"/>
    <x v="4"/>
    <x v="0"/>
    <s v="DP"/>
    <x v="1"/>
    <s v="HUAWON HW1813"/>
    <s v="white"/>
    <s v="HW1061"/>
    <m/>
    <m/>
    <s v="CN"/>
    <x v="0"/>
    <x v="1"/>
    <m/>
    <n v="90"/>
    <m/>
    <x v="0"/>
    <m/>
    <m/>
    <m/>
    <s v="ton"/>
    <x v="1"/>
    <x v="1"/>
    <m/>
    <m/>
    <m/>
    <m/>
    <m/>
    <m/>
    <m/>
    <m/>
    <m/>
    <m/>
    <m/>
    <m/>
    <m/>
    <m/>
    <n v="1800"/>
    <n v="1800"/>
    <n v="1800"/>
    <n v="1800"/>
    <m/>
    <m/>
    <m/>
    <m/>
    <m/>
    <m/>
    <m/>
    <m/>
    <m/>
    <n v="13700"/>
    <n v="13700"/>
    <n v="13700"/>
    <m/>
    <m/>
    <m/>
    <m/>
    <n v="11700"/>
    <m/>
    <m/>
    <m/>
    <m/>
    <m/>
    <m/>
    <m/>
    <m/>
    <m/>
    <m/>
    <m/>
    <m/>
    <m/>
    <x v="24"/>
    <x v="6"/>
    <x v="0"/>
    <n v="11.7"/>
    <n v="8.7749999999999986"/>
    <n v="1.11958"/>
    <n v="1.2284999999999999"/>
    <n v="0"/>
    <n v="9.1999999999999998E-2"/>
    <x v="24"/>
    <x v="26"/>
    <n v="120"/>
    <n v="90"/>
    <x v="1"/>
    <n v="0.16822619999999944"/>
    <x v="24"/>
    <x v="26"/>
  </r>
  <r>
    <m/>
    <x v="11"/>
    <x v="1"/>
    <x v="0"/>
    <s v="DP"/>
    <x v="1"/>
    <s v="HUAWON HW1813"/>
    <s v="white"/>
    <s v="HW1061"/>
    <m/>
    <m/>
    <s v="CN"/>
    <x v="0"/>
    <x v="1"/>
    <m/>
    <n v="90"/>
    <m/>
    <x v="0"/>
    <m/>
    <m/>
    <m/>
    <s v="ton"/>
    <x v="1"/>
    <x v="1"/>
    <m/>
    <m/>
    <m/>
    <m/>
    <m/>
    <m/>
    <m/>
    <m/>
    <m/>
    <m/>
    <m/>
    <m/>
    <m/>
    <m/>
    <m/>
    <m/>
    <m/>
    <m/>
    <m/>
    <m/>
    <m/>
    <m/>
    <m/>
    <m/>
    <m/>
    <m/>
    <m/>
    <m/>
    <m/>
    <m/>
    <m/>
    <m/>
    <m/>
    <m/>
    <n v="11700"/>
    <m/>
    <m/>
    <m/>
    <m/>
    <m/>
    <m/>
    <m/>
    <m/>
    <m/>
    <m/>
    <m/>
    <m/>
    <m/>
    <x v="24"/>
    <x v="6"/>
    <x v="0"/>
    <n v="11.7"/>
    <n v="8.7749999999999986"/>
    <n v="1.11958"/>
    <n v="1.2284999999999999"/>
    <n v="0"/>
    <n v="9.1999999999999998E-2"/>
    <x v="24"/>
    <x v="27"/>
    <n v="120"/>
    <n v="90"/>
    <x v="1"/>
    <n v="0.16822619999999944"/>
    <x v="24"/>
    <x v="27"/>
  </r>
  <r>
    <m/>
    <x v="11"/>
    <x v="4"/>
    <x v="0"/>
    <s v="DP"/>
    <x v="1"/>
    <s v="HUAWON HW1061"/>
    <s v="white"/>
    <s v="HW1061"/>
    <m/>
    <m/>
    <s v="CN"/>
    <x v="0"/>
    <x v="2"/>
    <m/>
    <n v="90"/>
    <m/>
    <x v="0"/>
    <m/>
    <m/>
    <m/>
    <s v="ton"/>
    <x v="1"/>
    <x v="0"/>
    <m/>
    <m/>
    <m/>
    <m/>
    <m/>
    <m/>
    <m/>
    <m/>
    <m/>
    <m/>
    <m/>
    <m/>
    <m/>
    <m/>
    <n v="1800"/>
    <n v="1800"/>
    <n v="1800"/>
    <n v="1800"/>
    <m/>
    <m/>
    <m/>
    <m/>
    <m/>
    <m/>
    <m/>
    <m/>
    <m/>
    <m/>
    <m/>
    <m/>
    <m/>
    <m/>
    <m/>
    <m/>
    <m/>
    <m/>
    <m/>
    <m/>
    <m/>
    <m/>
    <m/>
    <m/>
    <m/>
    <m/>
    <m/>
    <m/>
    <m/>
    <m/>
    <x v="17"/>
    <x v="5"/>
    <x v="0"/>
    <n v="1.8"/>
    <n v="10.620000000000001"/>
    <n v="1.11958"/>
    <n v="1.4868000000000003"/>
    <n v="0"/>
    <n v="9.1999999999999998E-2"/>
    <x v="17"/>
    <x v="28"/>
    <n v="120"/>
    <n v="90"/>
    <x v="1"/>
    <n v="0.19977569999999822"/>
    <x v="17"/>
    <x v="28"/>
  </r>
  <r>
    <n v="18872"/>
    <x v="12"/>
    <x v="5"/>
    <x v="7"/>
    <s v="IP"/>
    <x v="1"/>
    <s v="HUAWON HG5050"/>
    <s v="black"/>
    <s v="HG5050"/>
    <m/>
    <m/>
    <s v="CN"/>
    <x v="0"/>
    <x v="1"/>
    <m/>
    <n v="90"/>
    <m/>
    <x v="0"/>
    <m/>
    <m/>
    <m/>
    <s v="ton"/>
    <x v="1"/>
    <x v="1"/>
    <m/>
    <m/>
    <m/>
    <m/>
    <m/>
    <m/>
    <m/>
    <m/>
    <m/>
    <m/>
    <m/>
    <m/>
    <m/>
    <m/>
    <m/>
    <m/>
    <m/>
    <m/>
    <m/>
    <m/>
    <m/>
    <m/>
    <m/>
    <m/>
    <m/>
    <m/>
    <m/>
    <n v="12300"/>
    <n v="12300"/>
    <n v="12300"/>
    <m/>
    <m/>
    <m/>
    <m/>
    <n v="12000"/>
    <n v="12000"/>
    <n v="12000"/>
    <m/>
    <m/>
    <m/>
    <m/>
    <m/>
    <m/>
    <m/>
    <m/>
    <m/>
    <m/>
    <m/>
    <x v="18"/>
    <x v="2"/>
    <x v="1"/>
    <n v="12"/>
    <n v="9"/>
    <n v="1.11958"/>
    <n v="1.2600000000000002"/>
    <n v="0"/>
    <n v="9.1999999999999998E-2"/>
    <x v="18"/>
    <x v="29"/>
    <n v="120"/>
    <n v="90"/>
    <x v="1"/>
    <n v="0.17207369999999855"/>
    <x v="18"/>
    <x v="29"/>
  </r>
  <r>
    <n v="18872"/>
    <x v="12"/>
    <x v="5"/>
    <x v="7"/>
    <s v="IP"/>
    <x v="1"/>
    <s v="HUAWON HG5050"/>
    <s v="black"/>
    <s v="HG5050"/>
    <m/>
    <m/>
    <s v="CN"/>
    <x v="0"/>
    <x v="2"/>
    <m/>
    <n v="90"/>
    <m/>
    <x v="0"/>
    <m/>
    <m/>
    <m/>
    <s v="ton"/>
    <x v="1"/>
    <x v="0"/>
    <m/>
    <m/>
    <m/>
    <m/>
    <m/>
    <m/>
    <m/>
    <m/>
    <m/>
    <m/>
    <m/>
    <m/>
    <m/>
    <m/>
    <m/>
    <m/>
    <m/>
    <m/>
    <m/>
    <m/>
    <m/>
    <m/>
    <m/>
    <m/>
    <m/>
    <m/>
    <m/>
    <n v="1450"/>
    <n v="1450"/>
    <n v="1450"/>
    <m/>
    <m/>
    <m/>
    <m/>
    <m/>
    <m/>
    <m/>
    <m/>
    <m/>
    <m/>
    <m/>
    <m/>
    <m/>
    <m/>
    <m/>
    <m/>
    <m/>
    <m/>
    <x v="25"/>
    <x v="3"/>
    <x v="0"/>
    <n v="1.45"/>
    <n v="8.5549999999999997"/>
    <n v="1.11958"/>
    <n v="1.1977"/>
    <n v="0"/>
    <n v="9.1999999999999998E-2"/>
    <x v="25"/>
    <x v="30"/>
    <n v="120"/>
    <n v="90"/>
    <x v="1"/>
    <n v="0.16446419999999939"/>
    <x v="25"/>
    <x v="30"/>
  </r>
  <r>
    <n v="18871"/>
    <x v="13"/>
    <x v="4"/>
    <x v="0"/>
    <s v="DP"/>
    <x v="1"/>
    <s v="HUAWON HW1833"/>
    <s v="white"/>
    <s v="HW1833"/>
    <m/>
    <m/>
    <s v="CN"/>
    <x v="0"/>
    <x v="2"/>
    <m/>
    <n v="90"/>
    <m/>
    <x v="0"/>
    <m/>
    <m/>
    <m/>
    <s v="ton"/>
    <x v="1"/>
    <x v="0"/>
    <m/>
    <m/>
    <m/>
    <m/>
    <m/>
    <m/>
    <m/>
    <m/>
    <m/>
    <m/>
    <m/>
    <m/>
    <m/>
    <m/>
    <m/>
    <m/>
    <m/>
    <m/>
    <m/>
    <m/>
    <m/>
    <m/>
    <m/>
    <m/>
    <m/>
    <m/>
    <m/>
    <n v="1080"/>
    <n v="1080"/>
    <n v="1080"/>
    <m/>
    <m/>
    <m/>
    <m/>
    <m/>
    <m/>
    <m/>
    <m/>
    <m/>
    <m/>
    <m/>
    <m/>
    <m/>
    <m/>
    <m/>
    <m/>
    <m/>
    <m/>
    <x v="26"/>
    <x v="3"/>
    <x v="0"/>
    <n v="1.08"/>
    <n v="6.3720000000000008"/>
    <n v="1.11958"/>
    <n v="0.89208000000000021"/>
    <n v="0"/>
    <n v="9.1999999999999998E-2"/>
    <x v="26"/>
    <x v="31"/>
    <n v="120"/>
    <n v="90"/>
    <x v="1"/>
    <n v="0.12713489999999972"/>
    <x v="26"/>
    <x v="31"/>
  </r>
  <r>
    <m/>
    <x v="14"/>
    <x v="4"/>
    <x v="8"/>
    <s v="DP"/>
    <x v="1"/>
    <s v="HUAWON HW1641"/>
    <s v="white"/>
    <s v="HW1641"/>
    <m/>
    <m/>
    <s v="CN"/>
    <x v="0"/>
    <x v="1"/>
    <m/>
    <n v="90"/>
    <m/>
    <x v="0"/>
    <m/>
    <m/>
    <m/>
    <s v="ton"/>
    <x v="1"/>
    <x v="1"/>
    <m/>
    <m/>
    <m/>
    <m/>
    <m/>
    <m/>
    <m/>
    <m/>
    <m/>
    <m/>
    <m/>
    <m/>
    <m/>
    <m/>
    <m/>
    <m/>
    <m/>
    <m/>
    <m/>
    <m/>
    <m/>
    <m/>
    <m/>
    <m/>
    <m/>
    <m/>
    <m/>
    <m/>
    <m/>
    <m/>
    <m/>
    <m/>
    <m/>
    <m/>
    <m/>
    <m/>
    <n v="11600"/>
    <m/>
    <m/>
    <m/>
    <m/>
    <m/>
    <m/>
    <m/>
    <m/>
    <m/>
    <m/>
    <m/>
    <x v="27"/>
    <x v="2"/>
    <x v="1"/>
    <n v="11.6"/>
    <n v="8.6999999999999993"/>
    <n v="1.11958"/>
    <n v="1.218"/>
    <n v="0"/>
    <n v="9.1999999999999998E-2"/>
    <x v="27"/>
    <x v="32"/>
    <n v="120"/>
    <n v="90"/>
    <x v="1"/>
    <n v="0.16694369999999914"/>
    <x v="27"/>
    <x v="32"/>
  </r>
  <r>
    <n v="18871"/>
    <x v="13"/>
    <x v="4"/>
    <x v="0"/>
    <s v="DP"/>
    <x v="1"/>
    <s v="HUAWON HW1833"/>
    <s v="white"/>
    <s v="HW1833"/>
    <m/>
    <m/>
    <s v="CN"/>
    <x v="0"/>
    <x v="1"/>
    <m/>
    <n v="90"/>
    <m/>
    <x v="0"/>
    <m/>
    <m/>
    <m/>
    <s v="ton"/>
    <x v="1"/>
    <x v="1"/>
    <m/>
    <m/>
    <m/>
    <m/>
    <m/>
    <m/>
    <m/>
    <m/>
    <m/>
    <m/>
    <m/>
    <m/>
    <m/>
    <m/>
    <m/>
    <m/>
    <m/>
    <m/>
    <m/>
    <m/>
    <m/>
    <m/>
    <m/>
    <m/>
    <m/>
    <m/>
    <m/>
    <n v="8300"/>
    <n v="8300"/>
    <n v="8300"/>
    <n v="8300"/>
    <n v="8300"/>
    <n v="8300"/>
    <n v="8300"/>
    <n v="8300"/>
    <n v="8300"/>
    <n v="8300"/>
    <m/>
    <m/>
    <m/>
    <m/>
    <m/>
    <m/>
    <m/>
    <m/>
    <m/>
    <m/>
    <m/>
    <x v="28"/>
    <x v="2"/>
    <x v="1"/>
    <n v="8.3000000000000007"/>
    <n v="6.2250000000000005"/>
    <n v="1.11958"/>
    <n v="0.87150000000000016"/>
    <n v="0"/>
    <n v="9.1999999999999998E-2"/>
    <x v="28"/>
    <x v="33"/>
    <n v="120"/>
    <n v="90"/>
    <x v="1"/>
    <n v="0.12462119999999999"/>
    <x v="28"/>
    <x v="33"/>
  </r>
  <r>
    <n v="18873"/>
    <x v="8"/>
    <x v="5"/>
    <x v="8"/>
    <s v="DP"/>
    <x v="1"/>
    <s v="HUAWON HW1831"/>
    <s v="white"/>
    <s v="HW1831"/>
    <m/>
    <m/>
    <s v="CN"/>
    <x v="0"/>
    <x v="1"/>
    <m/>
    <n v="90"/>
    <m/>
    <x v="0"/>
    <m/>
    <m/>
    <m/>
    <s v="ton"/>
    <x v="1"/>
    <x v="1"/>
    <m/>
    <m/>
    <m/>
    <m/>
    <m/>
    <m/>
    <m/>
    <m/>
    <m/>
    <m/>
    <m/>
    <m/>
    <m/>
    <m/>
    <m/>
    <m/>
    <m/>
    <m/>
    <m/>
    <m/>
    <m/>
    <m/>
    <m/>
    <m/>
    <m/>
    <m/>
    <m/>
    <n v="12100"/>
    <n v="12100"/>
    <n v="12100"/>
    <m/>
    <m/>
    <m/>
    <m/>
    <m/>
    <m/>
    <m/>
    <m/>
    <m/>
    <m/>
    <m/>
    <m/>
    <m/>
    <m/>
    <m/>
    <m/>
    <m/>
    <m/>
    <x v="20"/>
    <x v="3"/>
    <x v="0"/>
    <n v="12.1"/>
    <n v="9.0749999999999993"/>
    <n v="1.11958"/>
    <n v="1.2705"/>
    <n v="0"/>
    <n v="9.1999999999999998E-2"/>
    <x v="20"/>
    <x v="22"/>
    <n v="120"/>
    <n v="90"/>
    <x v="1"/>
    <n v="0.17335619999999885"/>
    <x v="20"/>
    <x v="22"/>
  </r>
  <r>
    <n v="18864"/>
    <x v="10"/>
    <x v="5"/>
    <x v="0"/>
    <s v="DP"/>
    <x v="1"/>
    <s v="HUAWON HG5098"/>
    <s v="gray"/>
    <s v="HG5098"/>
    <m/>
    <m/>
    <s v="CN"/>
    <x v="0"/>
    <x v="1"/>
    <m/>
    <n v="90"/>
    <m/>
    <x v="0"/>
    <m/>
    <m/>
    <m/>
    <s v="ton"/>
    <x v="1"/>
    <x v="1"/>
    <m/>
    <m/>
    <m/>
    <m/>
    <m/>
    <m/>
    <m/>
    <m/>
    <m/>
    <m/>
    <m/>
    <m/>
    <m/>
    <m/>
    <m/>
    <m/>
    <m/>
    <m/>
    <m/>
    <m/>
    <m/>
    <m/>
    <m/>
    <m/>
    <m/>
    <m/>
    <m/>
    <n v="12300"/>
    <n v="12300"/>
    <n v="12300"/>
    <n v="12300"/>
    <n v="12300"/>
    <n v="12300"/>
    <n v="12300"/>
    <n v="12300"/>
    <n v="12300"/>
    <n v="12300"/>
    <m/>
    <m/>
    <m/>
    <m/>
    <m/>
    <m/>
    <m/>
    <m/>
    <m/>
    <m/>
    <m/>
    <x v="29"/>
    <x v="2"/>
    <x v="1"/>
    <n v="12.3"/>
    <n v="9.2250000000000014"/>
    <n v="1.11958"/>
    <n v="1.2915000000000003"/>
    <n v="0"/>
    <n v="9.1999999999999998E-2"/>
    <x v="29"/>
    <x v="34"/>
    <n v="120"/>
    <n v="90"/>
    <x v="1"/>
    <n v="0.17592119999999944"/>
    <x v="29"/>
    <x v="34"/>
  </r>
  <r>
    <m/>
    <x v="15"/>
    <x v="6"/>
    <x v="9"/>
    <s v="FF"/>
    <x v="2"/>
    <s v="Hard paper 40-45g (definir)"/>
    <s v="light brown"/>
    <m/>
    <m/>
    <m/>
    <s v="CN"/>
    <x v="1"/>
    <x v="2"/>
    <m/>
    <m/>
    <m/>
    <x v="0"/>
    <m/>
    <m/>
    <m/>
    <s v="ton"/>
    <x v="6"/>
    <x v="0"/>
    <m/>
    <m/>
    <m/>
    <m/>
    <m/>
    <m/>
    <m/>
    <m/>
    <m/>
    <m/>
    <m/>
    <m/>
    <m/>
    <m/>
    <m/>
    <m/>
    <m/>
    <m/>
    <m/>
    <m/>
    <m/>
    <m/>
    <m/>
    <m/>
    <m/>
    <m/>
    <m/>
    <n v="2600"/>
    <n v="2600"/>
    <n v="2600"/>
    <m/>
    <m/>
    <m/>
    <m/>
    <m/>
    <m/>
    <m/>
    <m/>
    <m/>
    <m/>
    <m/>
    <m/>
    <m/>
    <m/>
    <m/>
    <m/>
    <m/>
    <m/>
    <x v="30"/>
    <x v="3"/>
    <x v="0"/>
    <n v="2.6"/>
    <n v="15.340000000000002"/>
    <n v="1.11958"/>
    <n v="2.1476000000000006"/>
    <n v="0"/>
    <n v="9.1999999999999998E-2"/>
    <x v="30"/>
    <x v="35"/>
    <n v="120"/>
    <n v="75"/>
    <x v="2"/>
    <n v="0.42230537097627163"/>
    <x v="30"/>
    <x v="35"/>
  </r>
  <r>
    <n v="18505"/>
    <x v="11"/>
    <x v="1"/>
    <x v="0"/>
    <s v="IP"/>
    <x v="2"/>
    <s v="KINGDECOR YH0021D"/>
    <s v="white"/>
    <s v="KD7002V"/>
    <m/>
    <m/>
    <s v="CN"/>
    <x v="0"/>
    <x v="1"/>
    <m/>
    <m/>
    <m/>
    <x v="0"/>
    <m/>
    <m/>
    <m/>
    <s v="ton"/>
    <x v="7"/>
    <x v="1"/>
    <m/>
    <m/>
    <m/>
    <m/>
    <m/>
    <m/>
    <m/>
    <m/>
    <m/>
    <m/>
    <m/>
    <m/>
    <m/>
    <m/>
    <m/>
    <m/>
    <m/>
    <m/>
    <m/>
    <m/>
    <m/>
    <m/>
    <m/>
    <m/>
    <m/>
    <m/>
    <m/>
    <m/>
    <m/>
    <n v="12500"/>
    <n v="12500"/>
    <n v="12500"/>
    <n v="12500"/>
    <n v="12500"/>
    <n v="12000"/>
    <n v="12000"/>
    <n v="12000"/>
    <m/>
    <m/>
    <m/>
    <m/>
    <m/>
    <m/>
    <m/>
    <m/>
    <m/>
    <m/>
    <m/>
    <x v="18"/>
    <x v="2"/>
    <x v="1"/>
    <n v="12"/>
    <n v="9"/>
    <n v="1.11958"/>
    <n v="1.2600000000000002"/>
    <n v="0"/>
    <n v="9.1999999999999998E-2"/>
    <x v="18"/>
    <x v="36"/>
    <n v="120"/>
    <n v="90"/>
    <x v="1"/>
    <n v="0.17207369999999855"/>
    <x v="18"/>
    <x v="36"/>
  </r>
  <r>
    <n v="18506"/>
    <x v="11"/>
    <x v="4"/>
    <x v="0"/>
    <s v="DP"/>
    <x v="2"/>
    <s v="KINGDECOR YH0021D"/>
    <s v="white"/>
    <s v="KD7002V"/>
    <m/>
    <m/>
    <s v="CN"/>
    <x v="0"/>
    <x v="1"/>
    <m/>
    <m/>
    <m/>
    <x v="0"/>
    <m/>
    <m/>
    <m/>
    <s v="ton"/>
    <x v="7"/>
    <x v="1"/>
    <m/>
    <m/>
    <m/>
    <m/>
    <m/>
    <m/>
    <m/>
    <m/>
    <m/>
    <m/>
    <m/>
    <m/>
    <m/>
    <m/>
    <m/>
    <m/>
    <m/>
    <m/>
    <m/>
    <m/>
    <m/>
    <m/>
    <m/>
    <m/>
    <m/>
    <m/>
    <m/>
    <m/>
    <m/>
    <n v="12500"/>
    <n v="12500"/>
    <n v="12500"/>
    <n v="12500"/>
    <n v="12500"/>
    <n v="12000"/>
    <n v="12000"/>
    <n v="12000"/>
    <m/>
    <m/>
    <m/>
    <m/>
    <m/>
    <m/>
    <m/>
    <m/>
    <m/>
    <m/>
    <m/>
    <x v="18"/>
    <x v="2"/>
    <x v="1"/>
    <n v="12"/>
    <n v="9"/>
    <n v="1.11958"/>
    <n v="1.2600000000000002"/>
    <n v="0"/>
    <n v="9.1999999999999998E-2"/>
    <x v="18"/>
    <x v="37"/>
    <n v="120"/>
    <n v="90"/>
    <x v="1"/>
    <n v="0.17207369999999855"/>
    <x v="18"/>
    <x v="37"/>
  </r>
  <r>
    <n v="18507"/>
    <x v="8"/>
    <x v="5"/>
    <x v="0"/>
    <s v="DP"/>
    <x v="2"/>
    <s v="KINGDECOR KD0124D"/>
    <s v="white"/>
    <s v="KD7002V"/>
    <m/>
    <m/>
    <s v="CN"/>
    <x v="0"/>
    <x v="1"/>
    <m/>
    <m/>
    <m/>
    <x v="0"/>
    <m/>
    <m/>
    <m/>
    <s v="ton"/>
    <x v="7"/>
    <x v="1"/>
    <m/>
    <m/>
    <m/>
    <m/>
    <m/>
    <m/>
    <m/>
    <m/>
    <m/>
    <m/>
    <m/>
    <m/>
    <m/>
    <m/>
    <m/>
    <m/>
    <m/>
    <m/>
    <m/>
    <m/>
    <m/>
    <m/>
    <m/>
    <m/>
    <m/>
    <m/>
    <m/>
    <m/>
    <m/>
    <n v="12000"/>
    <n v="12000"/>
    <n v="12000"/>
    <n v="12000"/>
    <n v="12000"/>
    <n v="11500"/>
    <n v="11500"/>
    <n v="11500"/>
    <m/>
    <m/>
    <m/>
    <m/>
    <m/>
    <m/>
    <m/>
    <m/>
    <m/>
    <m/>
    <m/>
    <x v="31"/>
    <x v="2"/>
    <x v="1"/>
    <n v="11.5"/>
    <n v="8.625"/>
    <n v="1.11958"/>
    <n v="1.2075"/>
    <n v="0"/>
    <n v="9.1999999999999998E-2"/>
    <x v="31"/>
    <x v="38"/>
    <n v="120"/>
    <n v="90"/>
    <x v="1"/>
    <n v="0.16566119999999884"/>
    <x v="31"/>
    <x v="38"/>
  </r>
  <r>
    <n v="18508"/>
    <x v="16"/>
    <x v="5"/>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625"/>
    <n v="1.11958"/>
    <n v="2.0475000000000003"/>
    <n v="0"/>
    <n v="9.1999999999999998E-2"/>
    <x v="32"/>
    <x v="39"/>
    <n v="120"/>
    <n v="90"/>
    <x v="1"/>
    <n v="0.26826119999999776"/>
    <x v="32"/>
    <x v="39"/>
  </r>
  <r>
    <n v="18509"/>
    <x v="16"/>
    <x v="4"/>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625"/>
    <n v="1.11958"/>
    <n v="2.0475000000000003"/>
    <n v="0"/>
    <n v="9.1999999999999998E-2"/>
    <x v="32"/>
    <x v="40"/>
    <n v="120"/>
    <n v="90"/>
    <x v="1"/>
    <n v="0.26826119999999776"/>
    <x v="32"/>
    <x v="40"/>
  </r>
  <r>
    <n v="18509"/>
    <x v="16"/>
    <x v="4"/>
    <x v="9"/>
    <s v="FF"/>
    <x v="2"/>
    <s v="KINGDECOR KD7002V"/>
    <s v="white"/>
    <s v="KD7002V"/>
    <m/>
    <m/>
    <s v="CN"/>
    <x v="1"/>
    <x v="2"/>
    <m/>
    <m/>
    <m/>
    <x v="0"/>
    <m/>
    <m/>
    <m/>
    <s v="ton"/>
    <x v="6"/>
    <x v="0"/>
    <m/>
    <m/>
    <m/>
    <m/>
    <m/>
    <m/>
    <m/>
    <m/>
    <m/>
    <m/>
    <m/>
    <m/>
    <m/>
    <m/>
    <m/>
    <m/>
    <m/>
    <m/>
    <m/>
    <m/>
    <m/>
    <m/>
    <m/>
    <m/>
    <m/>
    <m/>
    <m/>
    <n v="2500"/>
    <n v="2500"/>
    <n v="2500"/>
    <m/>
    <m/>
    <m/>
    <m/>
    <n v="19500"/>
    <m/>
    <m/>
    <m/>
    <m/>
    <m/>
    <m/>
    <m/>
    <m/>
    <m/>
    <m/>
    <m/>
    <m/>
    <m/>
    <x v="32"/>
    <x v="6"/>
    <x v="0"/>
    <n v="19.5"/>
    <n v="115.05000000000001"/>
    <n v="1.11958"/>
    <n v="16.107000000000003"/>
    <n v="0"/>
    <n v="9.1999999999999998E-2"/>
    <x v="33"/>
    <x v="41"/>
    <n v="120"/>
    <n v="75"/>
    <x v="2"/>
    <n v="2.9894338833308325"/>
    <x v="33"/>
    <x v="41"/>
  </r>
  <r>
    <n v="18510"/>
    <x v="3"/>
    <x v="2"/>
    <x v="3"/>
    <s v="IP"/>
    <x v="2"/>
    <s v="XH4029G 60g"/>
    <s v="brown"/>
    <s v="XH4029G"/>
    <m/>
    <m/>
    <s v="CN"/>
    <x v="0"/>
    <x v="1"/>
    <m/>
    <m/>
    <m/>
    <x v="0"/>
    <m/>
    <m/>
    <m/>
    <s v="ton"/>
    <x v="7"/>
    <x v="1"/>
    <m/>
    <m/>
    <m/>
    <m/>
    <m/>
    <m/>
    <m/>
    <m/>
    <m/>
    <m/>
    <m/>
    <m/>
    <m/>
    <m/>
    <m/>
    <m/>
    <m/>
    <m/>
    <m/>
    <m/>
    <m/>
    <m/>
    <m/>
    <m/>
    <m/>
    <m/>
    <m/>
    <m/>
    <m/>
    <n v="9000"/>
    <n v="9000"/>
    <n v="9000"/>
    <n v="9000"/>
    <n v="9000"/>
    <n v="9000"/>
    <n v="9000"/>
    <n v="9000"/>
    <m/>
    <m/>
    <m/>
    <m/>
    <m/>
    <m/>
    <m/>
    <m/>
    <m/>
    <m/>
    <m/>
    <x v="33"/>
    <x v="2"/>
    <x v="1"/>
    <n v="9"/>
    <n v="6.75"/>
    <n v="1.11958"/>
    <n v="0.94500000000000006"/>
    <n v="0"/>
    <n v="9.1999999999999998E-2"/>
    <x v="34"/>
    <x v="42"/>
    <n v="120"/>
    <n v="90"/>
    <x v="1"/>
    <n v="0.13359869999999852"/>
    <x v="34"/>
    <x v="42"/>
  </r>
  <r>
    <m/>
    <x v="17"/>
    <x v="3"/>
    <x v="0"/>
    <s v="DP"/>
    <x v="2"/>
    <s v="Kingdecor XH1007D"/>
    <s v="beige"/>
    <m/>
    <m/>
    <m/>
    <s v="CN"/>
    <x v="0"/>
    <x v="1"/>
    <m/>
    <m/>
    <m/>
    <x v="0"/>
    <m/>
    <m/>
    <m/>
    <s v="ton"/>
    <x v="1"/>
    <x v="1"/>
    <m/>
    <m/>
    <m/>
    <m/>
    <m/>
    <m/>
    <m/>
    <m/>
    <m/>
    <m/>
    <m/>
    <m/>
    <m/>
    <m/>
    <m/>
    <m/>
    <m/>
    <m/>
    <m/>
    <m/>
    <m/>
    <m/>
    <m/>
    <m/>
    <m/>
    <m/>
    <m/>
    <m/>
    <m/>
    <m/>
    <m/>
    <m/>
    <m/>
    <m/>
    <m/>
    <m/>
    <n v="13000"/>
    <m/>
    <m/>
    <m/>
    <m/>
    <m/>
    <m/>
    <m/>
    <m/>
    <m/>
    <m/>
    <m/>
    <x v="34"/>
    <x v="2"/>
    <x v="1"/>
    <n v="13"/>
    <n v="9.75"/>
    <n v="1.11958"/>
    <n v="1.3650000000000002"/>
    <n v="0"/>
    <n v="9.1999999999999998E-2"/>
    <x v="35"/>
    <x v="43"/>
    <n v="120"/>
    <n v="90"/>
    <x v="1"/>
    <n v="0.18489869999999797"/>
    <x v="35"/>
    <x v="43"/>
  </r>
  <r>
    <n v="18511"/>
    <x v="3"/>
    <x v="3"/>
    <x v="3"/>
    <s v="IP"/>
    <x v="2"/>
    <s v="XH4029G 50g"/>
    <s v="brown"/>
    <s v="XH4029G"/>
    <m/>
    <m/>
    <s v="CN"/>
    <x v="0"/>
    <x v="1"/>
    <m/>
    <m/>
    <m/>
    <x v="0"/>
    <m/>
    <m/>
    <m/>
    <s v="ton"/>
    <x v="7"/>
    <x v="1"/>
    <m/>
    <m/>
    <m/>
    <m/>
    <m/>
    <m/>
    <m/>
    <m/>
    <m/>
    <m/>
    <m/>
    <m/>
    <m/>
    <m/>
    <m/>
    <m/>
    <m/>
    <m/>
    <m/>
    <m/>
    <m/>
    <m/>
    <m/>
    <m/>
    <m/>
    <m/>
    <m/>
    <m/>
    <m/>
    <n v="10000"/>
    <n v="10000"/>
    <n v="10000"/>
    <n v="10000"/>
    <n v="10000"/>
    <n v="9000"/>
    <n v="9000"/>
    <m/>
    <m/>
    <m/>
    <m/>
    <m/>
    <m/>
    <m/>
    <m/>
    <m/>
    <m/>
    <m/>
    <m/>
    <x v="33"/>
    <x v="7"/>
    <x v="1"/>
    <n v="9"/>
    <n v="6.75"/>
    <n v="1.11958"/>
    <n v="0.94500000000000006"/>
    <n v="0"/>
    <n v="9.1999999999999998E-2"/>
    <x v="34"/>
    <x v="44"/>
    <n v="120"/>
    <n v="90"/>
    <x v="1"/>
    <n v="0.13359869999999852"/>
    <x v="34"/>
    <x v="44"/>
  </r>
  <r>
    <n v="14106"/>
    <x v="11"/>
    <x v="0"/>
    <x v="5"/>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8"/>
    <x v="2"/>
    <n v="2.25"/>
    <n v="13.275"/>
    <n v="0.14176320000000001"/>
    <n v="1.7257500000000001"/>
    <n v="-0.17699999999999999"/>
    <n v="9.1999999999999998E-2"/>
    <x v="36"/>
    <x v="45"/>
    <n v="105"/>
    <n v="120"/>
    <x v="3"/>
    <n v="-0.11167654663270987"/>
    <x v="36"/>
    <x v="45"/>
  </r>
  <r>
    <n v="14106"/>
    <x v="11"/>
    <x v="0"/>
    <x v="5"/>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8"/>
    <x v="3"/>
    <n v="2.19"/>
    <n v="12.921000000000001"/>
    <n v="0.14176320000000001"/>
    <n v="1.6797300000000002"/>
    <n v="-0.17699999999999999"/>
    <n v="9.1999999999999998E-2"/>
    <x v="37"/>
    <x v="46"/>
    <n v="105"/>
    <n v="120"/>
    <x v="3"/>
    <n v="-0.10870973188776034"/>
    <x v="37"/>
    <x v="46"/>
  </r>
  <r>
    <n v="14106"/>
    <x v="11"/>
    <x v="0"/>
    <x v="5"/>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8"/>
    <x v="4"/>
    <n v="2.2000000000000002"/>
    <n v="12.980000000000002"/>
    <n v="0.14176320000000001"/>
    <n v="1.6874000000000002"/>
    <n v="-0.17699999999999999"/>
    <n v="9.1999999999999998E-2"/>
    <x v="38"/>
    <x v="47"/>
    <n v="105"/>
    <n v="120"/>
    <x v="3"/>
    <n v="-0.1092042010119183"/>
    <x v="38"/>
    <x v="47"/>
  </r>
  <r>
    <n v="14106"/>
    <x v="11"/>
    <x v="0"/>
    <x v="5"/>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8"/>
    <x v="5"/>
    <n v="2.21"/>
    <n v="13.039"/>
    <n v="0.14176320000000001"/>
    <n v="1.6950700000000001"/>
    <n v="-0.17699999999999999"/>
    <n v="9.1999999999999998E-2"/>
    <x v="39"/>
    <x v="48"/>
    <n v="105"/>
    <n v="120"/>
    <x v="3"/>
    <n v="-0.10969867013607804"/>
    <x v="39"/>
    <x v="48"/>
  </r>
  <r>
    <n v="14106"/>
    <x v="11"/>
    <x v="0"/>
    <x v="5"/>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8"/>
    <x v="6"/>
    <n v="2.23"/>
    <n v="13.157"/>
    <n v="0.14176320000000001"/>
    <n v="1.71041"/>
    <n v="-0.17699999999999999"/>
    <n v="9.1999999999999998E-2"/>
    <x v="40"/>
    <x v="49"/>
    <n v="105"/>
    <n v="120"/>
    <x v="3"/>
    <n v="-0.11068760838439395"/>
    <x v="40"/>
    <x v="49"/>
  </r>
  <r>
    <n v="14106"/>
    <x v="11"/>
    <x v="0"/>
    <x v="5"/>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8"/>
    <x v="7"/>
    <n v="2.27"/>
    <n v="13.393000000000001"/>
    <n v="0.14176320000000001"/>
    <n v="1.7410900000000002"/>
    <n v="-0.17699999999999999"/>
    <n v="9.1999999999999998E-2"/>
    <x v="41"/>
    <x v="50"/>
    <n v="105"/>
    <n v="120"/>
    <x v="3"/>
    <n v="-0.11266548488102579"/>
    <x v="41"/>
    <x v="50"/>
  </r>
  <r>
    <n v="14106"/>
    <x v="11"/>
    <x v="0"/>
    <x v="5"/>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8"/>
    <x v="8"/>
    <n v="2.2999999999999998"/>
    <n v="13.57"/>
    <n v="0.14176320000000001"/>
    <n v="1.7641"/>
    <n v="-0.17699999999999999"/>
    <n v="9.1999999999999998E-2"/>
    <x v="42"/>
    <x v="51"/>
    <n v="105"/>
    <n v="120"/>
    <x v="3"/>
    <n v="-0.11414889225349967"/>
    <x v="42"/>
    <x v="51"/>
  </r>
  <r>
    <n v="14106"/>
    <x v="11"/>
    <x v="0"/>
    <x v="5"/>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8"/>
    <x v="9"/>
    <n v="2.35"/>
    <n v="13.865000000000002"/>
    <n v="0.14176320000000001"/>
    <n v="1.8024500000000003"/>
    <n v="-0.17699999999999999"/>
    <n v="9.1999999999999998E-2"/>
    <x v="43"/>
    <x v="52"/>
    <n v="105"/>
    <n v="120"/>
    <x v="3"/>
    <n v="-0.11662123787429124"/>
    <x v="43"/>
    <x v="52"/>
  </r>
  <r>
    <n v="14108"/>
    <x v="18"/>
    <x v="0"/>
    <x v="0"/>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39"/>
    <n v="0.14176320000000001"/>
    <n v="1.6107"/>
    <n v="-0.17699999999999999"/>
    <n v="9.1999999999999998E-2"/>
    <x v="44"/>
    <x v="53"/>
    <n v="105"/>
    <n v="120"/>
    <x v="3"/>
    <n v="-0.10425950977033871"/>
    <x v="44"/>
    <x v="53"/>
  </r>
  <r>
    <n v="14108"/>
    <x v="18"/>
    <x v="0"/>
    <x v="0"/>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508000000000001"/>
    <n v="0.14176320000000001"/>
    <n v="1.6260400000000002"/>
    <n v="-0.17699999999999999"/>
    <n v="9.1999999999999998E-2"/>
    <x v="45"/>
    <x v="54"/>
    <n v="105"/>
    <n v="120"/>
    <x v="3"/>
    <n v="-0.10524844801865463"/>
    <x v="45"/>
    <x v="54"/>
  </r>
  <r>
    <n v="14108"/>
    <x v="18"/>
    <x v="0"/>
    <x v="0"/>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685"/>
    <n v="0.14176320000000001"/>
    <n v="1.6490500000000001"/>
    <n v="-0.17699999999999999"/>
    <n v="9.1999999999999998E-2"/>
    <x v="46"/>
    <x v="55"/>
    <n v="105"/>
    <n v="120"/>
    <x v="3"/>
    <n v="-0.10673185539112851"/>
    <x v="46"/>
    <x v="55"/>
  </r>
  <r>
    <n v="14108"/>
    <x v="18"/>
    <x v="0"/>
    <x v="0"/>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980000000000002"/>
    <n v="0.14176320000000001"/>
    <n v="1.6874000000000002"/>
    <n v="-0.17699999999999999"/>
    <n v="9.1999999999999998E-2"/>
    <x v="38"/>
    <x v="47"/>
    <n v="105"/>
    <n v="120"/>
    <x v="3"/>
    <n v="-0.1092042010119183"/>
    <x v="38"/>
    <x v="47"/>
  </r>
  <r>
    <n v="14134"/>
    <x v="18"/>
    <x v="0"/>
    <x v="5"/>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39"/>
    <n v="0.14176320000000001"/>
    <n v="1.6107"/>
    <n v="-0.17699999999999999"/>
    <n v="9.1999999999999998E-2"/>
    <x v="44"/>
    <x v="53"/>
    <n v="105"/>
    <n v="120"/>
    <x v="3"/>
    <n v="-0.10425950977033871"/>
    <x v="44"/>
    <x v="53"/>
  </r>
  <r>
    <n v="14134"/>
    <x v="18"/>
    <x v="0"/>
    <x v="5"/>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508000000000001"/>
    <n v="0.14176320000000001"/>
    <n v="1.6260400000000002"/>
    <n v="-0.17699999999999999"/>
    <n v="9.1999999999999998E-2"/>
    <x v="45"/>
    <x v="54"/>
    <n v="105"/>
    <n v="120"/>
    <x v="3"/>
    <n v="-0.10524844801865463"/>
    <x v="45"/>
    <x v="54"/>
  </r>
  <r>
    <n v="14134"/>
    <x v="18"/>
    <x v="0"/>
    <x v="5"/>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685"/>
    <n v="0.14176320000000001"/>
    <n v="1.6490500000000001"/>
    <n v="-0.17699999999999999"/>
    <n v="9.1999999999999998E-2"/>
    <x v="46"/>
    <x v="55"/>
    <n v="105"/>
    <n v="120"/>
    <x v="3"/>
    <n v="-0.10673185539112851"/>
    <x v="46"/>
    <x v="55"/>
  </r>
  <r>
    <n v="14134"/>
    <x v="18"/>
    <x v="0"/>
    <x v="5"/>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980000000000002"/>
    <n v="0.14176320000000001"/>
    <n v="1.6874000000000002"/>
    <n v="-0.17699999999999999"/>
    <n v="9.1999999999999998E-2"/>
    <x v="38"/>
    <x v="47"/>
    <n v="105"/>
    <n v="120"/>
    <x v="3"/>
    <n v="-0.1092042010119183"/>
    <x v="38"/>
    <x v="47"/>
  </r>
  <r>
    <n v="14137"/>
    <x v="19"/>
    <x v="0"/>
    <x v="5"/>
    <s v="DP"/>
    <x v="3"/>
    <s v="KOEHLER 8269 F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45"/>
    <x v="9"/>
    <x v="1"/>
    <n v="2.02"/>
    <n v="11.918000000000001"/>
    <n v="0.14176320000000001"/>
    <n v="1.5493400000000002"/>
    <n v="-0.17699999999999999"/>
    <n v="9.1999999999999998E-2"/>
    <x v="47"/>
    <x v="56"/>
    <n v="105"/>
    <n v="120"/>
    <x v="3"/>
    <n v="-0.10030375677707326"/>
    <x v="47"/>
    <x v="56"/>
  </r>
  <r>
    <n v="14137"/>
    <x v="19"/>
    <x v="0"/>
    <x v="5"/>
    <s v="DP"/>
    <x v="3"/>
    <s v="KOEHLER 8269 F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46"/>
    <x v="9"/>
    <x v="1"/>
    <n v="2.04"/>
    <n v="12.036000000000001"/>
    <n v="0.14176320000000001"/>
    <n v="1.5646800000000003"/>
    <n v="-0.17699999999999999"/>
    <n v="9.1999999999999998E-2"/>
    <x v="48"/>
    <x v="57"/>
    <n v="105"/>
    <n v="120"/>
    <x v="3"/>
    <n v="-0.10129269502538918"/>
    <x v="48"/>
    <x v="57"/>
  </r>
  <r>
    <n v="14137"/>
    <x v="19"/>
    <x v="0"/>
    <x v="5"/>
    <s v="DP"/>
    <x v="3"/>
    <s v="KOEHLER 8269 F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47"/>
    <x v="9"/>
    <x v="1"/>
    <n v="2.0699999999999998"/>
    <n v="12.212999999999999"/>
    <n v="0.14176320000000001"/>
    <n v="1.58769"/>
    <n v="-0.17699999999999999"/>
    <n v="9.1999999999999998E-2"/>
    <x v="49"/>
    <x v="58"/>
    <n v="105"/>
    <n v="120"/>
    <x v="3"/>
    <n v="-0.10277610239786483"/>
    <x v="49"/>
    <x v="58"/>
  </r>
  <r>
    <n v="14137"/>
    <x v="19"/>
    <x v="0"/>
    <x v="5"/>
    <s v="DP"/>
    <x v="3"/>
    <s v="KOEHLER 8269 F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43"/>
    <x v="9"/>
    <x v="1"/>
    <n v="2.12"/>
    <n v="12.508000000000001"/>
    <n v="0.14176320000000001"/>
    <n v="1.6260400000000002"/>
    <n v="-0.17699999999999999"/>
    <n v="9.1999999999999998E-2"/>
    <x v="45"/>
    <x v="54"/>
    <n v="105"/>
    <n v="120"/>
    <x v="3"/>
    <n v="-0.10524844801865463"/>
    <x v="45"/>
    <x v="54"/>
  </r>
  <r>
    <n v="14113"/>
    <x v="20"/>
    <x v="7"/>
    <x v="0"/>
    <s v="DP"/>
    <x v="3"/>
    <s v="KOEHLER 8291 LOP"/>
    <s v="white"/>
    <n v="32126"/>
    <m/>
    <m/>
    <s v="EU"/>
    <x v="2"/>
    <x v="0"/>
    <m/>
    <m/>
    <m/>
    <x v="2"/>
    <m/>
    <m/>
    <m/>
    <s v="ton"/>
    <x v="1"/>
    <x v="0"/>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m/>
    <m/>
    <m/>
    <m/>
    <m/>
    <m/>
    <x v="48"/>
    <x v="8"/>
    <x v="14"/>
    <n v="1.92"/>
    <n v="11.327999999999999"/>
    <n v="0.14176320000000001"/>
    <n v="1.4726399999999999"/>
    <n v="-0.17699999999999999"/>
    <n v="9.1999999999999998E-2"/>
    <x v="50"/>
    <x v="59"/>
    <n v="105"/>
    <n v="120"/>
    <x v="3"/>
    <n v="-9.535906553549367E-2"/>
    <x v="50"/>
    <x v="59"/>
  </r>
  <r>
    <n v="14113"/>
    <x v="20"/>
    <x v="7"/>
    <x v="0"/>
    <s v="DP"/>
    <x v="3"/>
    <s v="KOEHLER 8291 LOP"/>
    <s v="white"/>
    <n v="32126"/>
    <m/>
    <m/>
    <s v="EU"/>
    <x v="2"/>
    <x v="0"/>
    <m/>
    <m/>
    <m/>
    <x v="2"/>
    <m/>
    <m/>
    <m/>
    <s v="ton"/>
    <x v="11"/>
    <x v="0"/>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m/>
    <m/>
    <m/>
    <m/>
    <m/>
    <m/>
    <x v="49"/>
    <x v="8"/>
    <x v="15"/>
    <n v="1.94"/>
    <n v="11.446"/>
    <n v="0.14176320000000001"/>
    <n v="1.4879800000000001"/>
    <n v="-0.17699999999999999"/>
    <n v="9.1999999999999998E-2"/>
    <x v="51"/>
    <x v="60"/>
    <n v="105"/>
    <n v="120"/>
    <x v="3"/>
    <n v="-9.6348003783809588E-2"/>
    <x v="51"/>
    <x v="60"/>
  </r>
  <r>
    <n v="14113"/>
    <x v="20"/>
    <x v="7"/>
    <x v="0"/>
    <s v="DP"/>
    <x v="3"/>
    <s v="KOEHLER 8291 LOP"/>
    <s v="white"/>
    <n v="32126"/>
    <m/>
    <m/>
    <s v="EU"/>
    <x v="2"/>
    <x v="0"/>
    <m/>
    <m/>
    <m/>
    <x v="2"/>
    <m/>
    <m/>
    <m/>
    <s v="ton"/>
    <x v="0"/>
    <x v="0"/>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m/>
    <m/>
    <m/>
    <m/>
    <m/>
    <m/>
    <x v="50"/>
    <x v="8"/>
    <x v="16"/>
    <n v="1.97"/>
    <n v="11.623000000000001"/>
    <n v="0.14176320000000001"/>
    <n v="1.5109900000000003"/>
    <n v="-0.17699999999999999"/>
    <n v="9.1999999999999998E-2"/>
    <x v="52"/>
    <x v="61"/>
    <n v="105"/>
    <n v="120"/>
    <x v="3"/>
    <n v="-9.7831411156283465E-2"/>
    <x v="52"/>
    <x v="61"/>
  </r>
  <r>
    <n v="14113"/>
    <x v="20"/>
    <x v="7"/>
    <x v="0"/>
    <s v="DP"/>
    <x v="3"/>
    <s v="KOEHLER 8291 LOP"/>
    <s v="white"/>
    <n v="32126"/>
    <m/>
    <m/>
    <s v="EU"/>
    <x v="2"/>
    <x v="0"/>
    <m/>
    <m/>
    <m/>
    <x v="2"/>
    <m/>
    <m/>
    <m/>
    <s v="ton"/>
    <x v="12"/>
    <x v="0"/>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m/>
    <m/>
    <m/>
    <m/>
    <m/>
    <m/>
    <x v="45"/>
    <x v="8"/>
    <x v="17"/>
    <n v="2.02"/>
    <n v="11.918000000000001"/>
    <n v="0.14176320000000001"/>
    <n v="1.5493400000000002"/>
    <n v="-0.17699999999999999"/>
    <n v="9.1999999999999998E-2"/>
    <x v="47"/>
    <x v="62"/>
    <n v="105"/>
    <n v="120"/>
    <x v="3"/>
    <n v="-0.10030375677707326"/>
    <x v="47"/>
    <x v="62"/>
  </r>
  <r>
    <n v="14127"/>
    <x v="21"/>
    <x v="4"/>
    <x v="0"/>
    <s v="DP"/>
    <x v="3"/>
    <s v="KOEHLER 8292 LOP"/>
    <s v="beige"/>
    <n v="32129"/>
    <m/>
    <m/>
    <s v="EU"/>
    <x v="2"/>
    <x v="0"/>
    <m/>
    <m/>
    <m/>
    <x v="2"/>
    <m/>
    <m/>
    <m/>
    <s v="ton"/>
    <x v="1"/>
    <x v="0"/>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m/>
    <m/>
    <m/>
    <m/>
    <m/>
    <m/>
    <x v="17"/>
    <x v="8"/>
    <x v="18"/>
    <n v="1.8"/>
    <n v="10.620000000000001"/>
    <n v="0.14176320000000001"/>
    <n v="1.3806000000000003"/>
    <n v="-0.17699999999999999"/>
    <n v="9.1999999999999998E-2"/>
    <x v="53"/>
    <x v="63"/>
    <n v="105"/>
    <n v="120"/>
    <x v="3"/>
    <n v="-8.9425436045596385E-2"/>
    <x v="53"/>
    <x v="63"/>
  </r>
  <r>
    <n v="14127"/>
    <x v="21"/>
    <x v="4"/>
    <x v="0"/>
    <s v="DP"/>
    <x v="3"/>
    <s v="KOEHLER 8292 LOP"/>
    <s v="beige"/>
    <n v="32129"/>
    <m/>
    <m/>
    <s v="EU"/>
    <x v="2"/>
    <x v="0"/>
    <m/>
    <m/>
    <m/>
    <x v="2"/>
    <m/>
    <m/>
    <m/>
    <s v="ton"/>
    <x v="11"/>
    <x v="0"/>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m/>
    <m/>
    <m/>
    <m/>
    <m/>
    <m/>
    <x v="51"/>
    <x v="8"/>
    <x v="19"/>
    <n v="1.82"/>
    <n v="10.738000000000001"/>
    <n v="0.14176320000000001"/>
    <n v="1.3959400000000002"/>
    <n v="-0.17699999999999999"/>
    <n v="9.1999999999999998E-2"/>
    <x v="54"/>
    <x v="64"/>
    <n v="105"/>
    <n v="120"/>
    <x v="3"/>
    <n v="-9.0414374293912303E-2"/>
    <x v="54"/>
    <x v="64"/>
  </r>
  <r>
    <n v="14127"/>
    <x v="21"/>
    <x v="4"/>
    <x v="0"/>
    <s v="DP"/>
    <x v="3"/>
    <s v="KOEHLER 8292 LOP"/>
    <s v="beige"/>
    <n v="32129"/>
    <m/>
    <m/>
    <s v="EU"/>
    <x v="2"/>
    <x v="0"/>
    <m/>
    <m/>
    <m/>
    <x v="2"/>
    <m/>
    <m/>
    <m/>
    <s v="ton"/>
    <x v="0"/>
    <x v="0"/>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m/>
    <m/>
    <m/>
    <m/>
    <m/>
    <m/>
    <x v="52"/>
    <x v="8"/>
    <x v="20"/>
    <n v="1.85"/>
    <n v="10.915000000000001"/>
    <n v="0.14176320000000001"/>
    <n v="1.4189500000000002"/>
    <n v="-0.17699999999999999"/>
    <n v="9.1999999999999998E-2"/>
    <x v="55"/>
    <x v="65"/>
    <n v="105"/>
    <n v="120"/>
    <x v="3"/>
    <n v="-9.189778166638618E-2"/>
    <x v="55"/>
    <x v="65"/>
  </r>
  <r>
    <n v="14127"/>
    <x v="21"/>
    <x v="4"/>
    <x v="0"/>
    <s v="DP"/>
    <x v="3"/>
    <s v="KOEHLER 8292 LOP"/>
    <s v="beige"/>
    <n v="32129"/>
    <m/>
    <m/>
    <s v="EU"/>
    <x v="2"/>
    <x v="0"/>
    <m/>
    <m/>
    <m/>
    <x v="2"/>
    <m/>
    <m/>
    <m/>
    <s v="ton"/>
    <x v="12"/>
    <x v="0"/>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m/>
    <m/>
    <m/>
    <m/>
    <m/>
    <m/>
    <x v="12"/>
    <x v="8"/>
    <x v="21"/>
    <n v="1.9"/>
    <n v="11.21"/>
    <n v="0.14176320000000001"/>
    <n v="1.4573000000000003"/>
    <n v="-0.17699999999999999"/>
    <n v="9.1999999999999998E-2"/>
    <x v="56"/>
    <x v="66"/>
    <n v="105"/>
    <n v="120"/>
    <x v="3"/>
    <n v="-9.4370127287175976E-2"/>
    <x v="56"/>
    <x v="66"/>
  </r>
  <r>
    <n v="14139"/>
    <x v="6"/>
    <x v="0"/>
    <x v="0"/>
    <s v="DP"/>
    <x v="3"/>
    <s v="KOEHLER 689"/>
    <s v="gray"/>
    <n v="32166"/>
    <m/>
    <m/>
    <s v="EU"/>
    <x v="2"/>
    <x v="0"/>
    <m/>
    <m/>
    <m/>
    <x v="2"/>
    <m/>
    <m/>
    <m/>
    <s v="ton"/>
    <x v="1"/>
    <x v="0"/>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m/>
    <m/>
    <m/>
    <m/>
    <m/>
    <m/>
    <m/>
    <m/>
    <m/>
    <m/>
    <x v="10"/>
    <x v="10"/>
    <x v="1"/>
    <n v="1.75"/>
    <n v="10.325000000000001"/>
    <n v="0.14176320000000001"/>
    <n v="1.3422500000000002"/>
    <n v="-0.17699999999999999"/>
    <n v="9.1999999999999998E-2"/>
    <x v="57"/>
    <x v="67"/>
    <n v="105"/>
    <n v="120"/>
    <x v="3"/>
    <n v="-8.6953090424804813E-2"/>
    <x v="57"/>
    <x v="67"/>
  </r>
  <r>
    <n v="14139"/>
    <x v="6"/>
    <x v="0"/>
    <x v="0"/>
    <s v="DP"/>
    <x v="3"/>
    <s v="KOEHLER 689"/>
    <s v="gray"/>
    <n v="32166"/>
    <m/>
    <m/>
    <s v="EU"/>
    <x v="2"/>
    <x v="0"/>
    <m/>
    <m/>
    <m/>
    <x v="2"/>
    <m/>
    <m/>
    <m/>
    <s v="ton"/>
    <x v="11"/>
    <x v="0"/>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m/>
    <m/>
    <m/>
    <m/>
    <m/>
    <m/>
    <m/>
    <m/>
    <m/>
    <m/>
    <x v="53"/>
    <x v="10"/>
    <x v="1"/>
    <n v="1.77"/>
    <n v="10.443000000000001"/>
    <n v="0.14176320000000001"/>
    <n v="1.3575900000000003"/>
    <n v="-0.17699999999999999"/>
    <n v="9.1999999999999998E-2"/>
    <x v="58"/>
    <x v="68"/>
    <n v="105"/>
    <n v="120"/>
    <x v="3"/>
    <n v="-8.7942028673122508E-2"/>
    <x v="58"/>
    <x v="68"/>
  </r>
  <r>
    <n v="14139"/>
    <x v="6"/>
    <x v="0"/>
    <x v="0"/>
    <s v="DP"/>
    <x v="3"/>
    <s v="KOEHLER 689"/>
    <s v="gray"/>
    <n v="32166"/>
    <m/>
    <m/>
    <s v="EU"/>
    <x v="2"/>
    <x v="0"/>
    <m/>
    <m/>
    <m/>
    <x v="2"/>
    <m/>
    <m/>
    <m/>
    <s v="ton"/>
    <x v="0"/>
    <x v="0"/>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m/>
    <m/>
    <m/>
    <m/>
    <m/>
    <m/>
    <m/>
    <m/>
    <m/>
    <m/>
    <x v="17"/>
    <x v="10"/>
    <x v="1"/>
    <n v="1.8"/>
    <n v="10.620000000000001"/>
    <n v="0.14176320000000001"/>
    <n v="1.3806000000000003"/>
    <n v="-0.17699999999999999"/>
    <n v="9.1999999999999998E-2"/>
    <x v="53"/>
    <x v="69"/>
    <n v="105"/>
    <n v="120"/>
    <x v="3"/>
    <n v="-8.9425436045596385E-2"/>
    <x v="53"/>
    <x v="69"/>
  </r>
  <r>
    <n v="14139"/>
    <x v="6"/>
    <x v="0"/>
    <x v="0"/>
    <s v="DP"/>
    <x v="3"/>
    <s v="KOEHLER 689"/>
    <s v="gray"/>
    <n v="32166"/>
    <m/>
    <m/>
    <s v="EU"/>
    <x v="2"/>
    <x v="0"/>
    <m/>
    <m/>
    <m/>
    <x v="2"/>
    <m/>
    <m/>
    <m/>
    <s v="ton"/>
    <x v="12"/>
    <x v="0"/>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m/>
    <m/>
    <m/>
    <m/>
    <m/>
    <m/>
    <m/>
    <m/>
    <m/>
    <m/>
    <x v="52"/>
    <x v="10"/>
    <x v="1"/>
    <n v="1.85"/>
    <n v="10.915000000000001"/>
    <n v="0.14176320000000001"/>
    <n v="1.4189500000000002"/>
    <n v="-0.17699999999999999"/>
    <n v="9.1999999999999998E-2"/>
    <x v="55"/>
    <x v="70"/>
    <n v="105"/>
    <n v="120"/>
    <x v="3"/>
    <n v="-9.189778166638618E-2"/>
    <x v="55"/>
    <x v="70"/>
  </r>
  <r>
    <n v="14120"/>
    <x v="5"/>
    <x v="0"/>
    <x v="0"/>
    <s v="DP"/>
    <x v="3"/>
    <s v="KOEHLER 0483"/>
    <s v="gray"/>
    <n v="32165"/>
    <m/>
    <m/>
    <s v="EU"/>
    <x v="2"/>
    <x v="0"/>
    <m/>
    <m/>
    <m/>
    <x v="2"/>
    <m/>
    <m/>
    <m/>
    <s v="ton"/>
    <x v="10"/>
    <x v="0"/>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70"/>
    <m/>
    <m/>
    <m/>
    <m/>
    <m/>
    <m/>
    <x v="53"/>
    <x v="8"/>
    <x v="22"/>
    <n v="1.77"/>
    <n v="10.443000000000001"/>
    <n v="0.14176320000000001"/>
    <n v="1.3575900000000003"/>
    <n v="-0.17699999999999999"/>
    <n v="9.1999999999999998E-2"/>
    <x v="58"/>
    <x v="68"/>
    <n v="105"/>
    <n v="120"/>
    <x v="3"/>
    <n v="-8.7942028673122508E-2"/>
    <x v="58"/>
    <x v="68"/>
  </r>
  <r>
    <n v="14145"/>
    <x v="7"/>
    <x v="5"/>
    <x v="0"/>
    <s v="DP"/>
    <x v="3"/>
    <s v="KOEHLER 0244"/>
    <s v="beige"/>
    <n v="32150"/>
    <m/>
    <m/>
    <s v="EU"/>
    <x v="2"/>
    <x v="0"/>
    <m/>
    <m/>
    <m/>
    <x v="2"/>
    <m/>
    <m/>
    <m/>
    <s v="ton"/>
    <x v="1"/>
    <x v="0"/>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m/>
    <m/>
    <m/>
    <m/>
    <m/>
    <m/>
    <x v="36"/>
    <x v="8"/>
    <x v="23"/>
    <n v="2.19"/>
    <n v="12.921000000000001"/>
    <n v="0.14176320000000001"/>
    <n v="1.6797300000000002"/>
    <n v="-0.17699999999999999"/>
    <n v="9.1999999999999998E-2"/>
    <x v="37"/>
    <x v="71"/>
    <n v="105"/>
    <n v="120"/>
    <x v="3"/>
    <n v="-0.10870973188776034"/>
    <x v="37"/>
    <x v="71"/>
  </r>
  <r>
    <n v="14145"/>
    <x v="7"/>
    <x v="5"/>
    <x v="0"/>
    <s v="DP"/>
    <x v="3"/>
    <s v="KOEHLER 0244"/>
    <s v="beige"/>
    <n v="32150"/>
    <m/>
    <m/>
    <s v="EU"/>
    <x v="2"/>
    <x v="0"/>
    <m/>
    <m/>
    <m/>
    <x v="2"/>
    <m/>
    <m/>
    <m/>
    <s v="ton"/>
    <x v="11"/>
    <x v="0"/>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m/>
    <m/>
    <m/>
    <m/>
    <m/>
    <m/>
    <x v="38"/>
    <x v="8"/>
    <x v="24"/>
    <n v="2.21"/>
    <n v="13.039"/>
    <n v="0.14176320000000001"/>
    <n v="1.6950700000000001"/>
    <n v="-0.17699999999999999"/>
    <n v="9.1999999999999998E-2"/>
    <x v="39"/>
    <x v="72"/>
    <n v="105"/>
    <n v="120"/>
    <x v="3"/>
    <n v="-0.10969867013607804"/>
    <x v="39"/>
    <x v="72"/>
  </r>
  <r>
    <n v="14145"/>
    <x v="7"/>
    <x v="5"/>
    <x v="0"/>
    <s v="DP"/>
    <x v="3"/>
    <s v="KOEHLER 0244"/>
    <s v="beige"/>
    <n v="32150"/>
    <m/>
    <m/>
    <s v="EU"/>
    <x v="2"/>
    <x v="0"/>
    <m/>
    <m/>
    <m/>
    <x v="2"/>
    <m/>
    <m/>
    <m/>
    <s v="ton"/>
    <x v="0"/>
    <x v="0"/>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m/>
    <m/>
    <m/>
    <m/>
    <m/>
    <m/>
    <x v="54"/>
    <x v="8"/>
    <x v="25"/>
    <n v="2.2400000000000002"/>
    <n v="13.216000000000003"/>
    <n v="0.14176320000000001"/>
    <n v="1.7180800000000005"/>
    <n v="-0.17699999999999999"/>
    <n v="9.1999999999999998E-2"/>
    <x v="59"/>
    <x v="73"/>
    <n v="105"/>
    <n v="120"/>
    <x v="3"/>
    <n v="-0.11118207750855191"/>
    <x v="59"/>
    <x v="73"/>
  </r>
  <r>
    <n v="14145"/>
    <x v="7"/>
    <x v="5"/>
    <x v="0"/>
    <s v="DP"/>
    <x v="3"/>
    <s v="KOEHLER 0244"/>
    <s v="beige"/>
    <n v="32150"/>
    <m/>
    <m/>
    <s v="EU"/>
    <x v="2"/>
    <x v="0"/>
    <m/>
    <m/>
    <m/>
    <x v="2"/>
    <m/>
    <m/>
    <m/>
    <s v="ton"/>
    <x v="12"/>
    <x v="0"/>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m/>
    <m/>
    <m/>
    <m/>
    <m/>
    <m/>
    <x v="55"/>
    <x v="8"/>
    <x v="26"/>
    <n v="2.29"/>
    <n v="13.511000000000001"/>
    <n v="0.14176320000000001"/>
    <n v="1.7564300000000002"/>
    <n v="-0.17699999999999999"/>
    <n v="9.1999999999999998E-2"/>
    <x v="60"/>
    <x v="74"/>
    <n v="105"/>
    <n v="120"/>
    <x v="3"/>
    <n v="-0.11365442312934171"/>
    <x v="60"/>
    <x v="74"/>
  </r>
  <r>
    <n v="14144"/>
    <x v="10"/>
    <x v="5"/>
    <x v="0"/>
    <s v="DP"/>
    <x v="3"/>
    <s v="KOEHLER 0248"/>
    <s v="gray"/>
    <n v="32153"/>
    <m/>
    <m/>
    <s v="EU"/>
    <x v="2"/>
    <x v="0"/>
    <m/>
    <m/>
    <m/>
    <x v="2"/>
    <m/>
    <m/>
    <m/>
    <s v="ton"/>
    <x v="1"/>
    <x v="0"/>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14"/>
    <x v="8"/>
    <x v="27"/>
    <n v="2.35"/>
    <n v="13.865000000000002"/>
    <n v="0.14176320000000001"/>
    <n v="1.8024500000000003"/>
    <n v="-0.17699999999999999"/>
    <n v="9.1999999999999998E-2"/>
    <x v="43"/>
    <x v="75"/>
    <n v="105"/>
    <n v="120"/>
    <x v="3"/>
    <n v="-0.11662123787429124"/>
    <x v="43"/>
    <x v="75"/>
  </r>
  <r>
    <n v="14144"/>
    <x v="10"/>
    <x v="5"/>
    <x v="0"/>
    <s v="DP"/>
    <x v="3"/>
    <s v="KOEHLER 0248"/>
    <s v="gray"/>
    <n v="32153"/>
    <m/>
    <m/>
    <s v="EU"/>
    <x v="2"/>
    <x v="0"/>
    <m/>
    <m/>
    <m/>
    <x v="2"/>
    <m/>
    <m/>
    <m/>
    <s v="ton"/>
    <x v="11"/>
    <x v="0"/>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1"/>
    <x v="8"/>
    <x v="28"/>
    <n v="2.37"/>
    <n v="13.983000000000002"/>
    <n v="0.14176320000000001"/>
    <n v="1.8177900000000005"/>
    <n v="-0.17699999999999999"/>
    <n v="9.1999999999999998E-2"/>
    <x v="61"/>
    <x v="76"/>
    <n v="105"/>
    <n v="120"/>
    <x v="3"/>
    <n v="-0.11761017612260716"/>
    <x v="61"/>
    <x v="76"/>
  </r>
  <r>
    <n v="14144"/>
    <x v="10"/>
    <x v="5"/>
    <x v="0"/>
    <s v="DP"/>
    <x v="3"/>
    <s v="KOEHLER 0248"/>
    <s v="gray"/>
    <n v="32153"/>
    <m/>
    <m/>
    <s v="EU"/>
    <x v="2"/>
    <x v="0"/>
    <m/>
    <m/>
    <m/>
    <x v="2"/>
    <m/>
    <m/>
    <m/>
    <s v="ton"/>
    <x v="0"/>
    <x v="0"/>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56"/>
    <x v="8"/>
    <x v="29"/>
    <n v="2.4"/>
    <n v="14.16"/>
    <n v="0.14176320000000001"/>
    <n v="1.8408"/>
    <n v="-0.17699999999999999"/>
    <n v="9.1999999999999998E-2"/>
    <x v="62"/>
    <x v="77"/>
    <n v="105"/>
    <n v="120"/>
    <x v="3"/>
    <n v="-0.11909358349508103"/>
    <x v="62"/>
    <x v="77"/>
  </r>
  <r>
    <n v="14144"/>
    <x v="10"/>
    <x v="5"/>
    <x v="0"/>
    <s v="DP"/>
    <x v="3"/>
    <s v="KOEHLER 0248"/>
    <s v="gray"/>
    <n v="32153"/>
    <m/>
    <m/>
    <s v="EU"/>
    <x v="2"/>
    <x v="0"/>
    <m/>
    <m/>
    <m/>
    <x v="2"/>
    <m/>
    <m/>
    <m/>
    <s v="ton"/>
    <x v="12"/>
    <x v="0"/>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0"/>
    <x v="8"/>
    <x v="30"/>
    <n v="2.4500000000000002"/>
    <n v="14.455000000000002"/>
    <n v="0.14176320000000001"/>
    <n v="1.8791500000000003"/>
    <n v="-0.17699999999999999"/>
    <n v="9.1999999999999998E-2"/>
    <x v="63"/>
    <x v="78"/>
    <n v="105"/>
    <n v="120"/>
    <x v="3"/>
    <n v="-0.12156592911587083"/>
    <x v="63"/>
    <x v="78"/>
  </r>
  <r>
    <n v="14123"/>
    <x v="22"/>
    <x v="0"/>
    <x v="8"/>
    <s v="DP"/>
    <x v="3"/>
    <s v="KOEHLER 1410"/>
    <s v="brown"/>
    <m/>
    <m/>
    <m/>
    <s v="EU"/>
    <x v="2"/>
    <x v="0"/>
    <m/>
    <m/>
    <m/>
    <x v="2"/>
    <m/>
    <m/>
    <m/>
    <s v="ton"/>
    <x v="1"/>
    <x v="0"/>
    <m/>
    <m/>
    <m/>
    <m/>
    <m/>
    <m/>
    <m/>
    <m/>
    <n v="2410"/>
    <n v="2410"/>
    <n v="2410"/>
    <n v="2410"/>
    <m/>
    <m/>
    <m/>
    <m/>
    <m/>
    <m/>
    <m/>
    <m/>
    <m/>
    <m/>
    <m/>
    <m/>
    <m/>
    <m/>
    <m/>
    <m/>
    <m/>
    <m/>
    <m/>
    <m/>
    <m/>
    <m/>
    <m/>
    <m/>
    <m/>
    <m/>
    <m/>
    <m/>
    <m/>
    <m/>
    <m/>
    <m/>
    <m/>
    <m/>
    <m/>
    <m/>
    <x v="57"/>
    <x v="11"/>
    <x v="0"/>
    <n v="2.41"/>
    <n v="14.219000000000001"/>
    <n v="0.14176320000000001"/>
    <n v="1.8484700000000003"/>
    <n v="-0.17699999999999999"/>
    <n v="9.1999999999999998E-2"/>
    <x v="64"/>
    <x v="79"/>
    <n v="105"/>
    <n v="120"/>
    <x v="3"/>
    <n v="-0.11958805261923899"/>
    <x v="64"/>
    <x v="79"/>
  </r>
  <r>
    <n v="14125"/>
    <x v="23"/>
    <x v="0"/>
    <x v="0"/>
    <s v="DP"/>
    <x v="3"/>
    <s v="KOEHLER 1430"/>
    <s v="brown"/>
    <m/>
    <m/>
    <m/>
    <s v="EU"/>
    <x v="2"/>
    <x v="0"/>
    <m/>
    <m/>
    <m/>
    <x v="2"/>
    <m/>
    <m/>
    <m/>
    <s v="ton"/>
    <x v="1"/>
    <x v="0"/>
    <m/>
    <m/>
    <m/>
    <m/>
    <m/>
    <m/>
    <m/>
    <m/>
    <n v="2410"/>
    <n v="2410"/>
    <n v="2410"/>
    <n v="2410"/>
    <m/>
    <m/>
    <m/>
    <m/>
    <m/>
    <m/>
    <m/>
    <m/>
    <m/>
    <m/>
    <m/>
    <m/>
    <m/>
    <m/>
    <m/>
    <m/>
    <m/>
    <m/>
    <m/>
    <m/>
    <m/>
    <m/>
    <m/>
    <m/>
    <m/>
    <m/>
    <m/>
    <m/>
    <m/>
    <m/>
    <m/>
    <m/>
    <m/>
    <m/>
    <m/>
    <m/>
    <x v="57"/>
    <x v="11"/>
    <x v="0"/>
    <n v="2.41"/>
    <n v="14.219000000000001"/>
    <n v="0.14176320000000001"/>
    <n v="1.8484700000000003"/>
    <n v="-0.17699999999999999"/>
    <n v="9.1999999999999998E-2"/>
    <x v="64"/>
    <x v="79"/>
    <n v="105"/>
    <n v="120"/>
    <x v="3"/>
    <n v="-0.11958805261923899"/>
    <x v="64"/>
    <x v="79"/>
  </r>
  <r>
    <n v="14140"/>
    <x v="11"/>
    <x v="1"/>
    <x v="0"/>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m/>
    <m/>
    <m/>
    <m/>
    <m/>
    <m/>
    <x v="35"/>
    <x v="8"/>
    <x v="2"/>
    <n v="2.25"/>
    <n v="13.275"/>
    <n v="0.14176320000000001"/>
    <n v="1.7257500000000001"/>
    <n v="-0.17699999999999999"/>
    <n v="9.1999999999999998E-2"/>
    <x v="36"/>
    <x v="80"/>
    <n v="105"/>
    <n v="120"/>
    <x v="3"/>
    <n v="-0.11167654663270987"/>
    <x v="36"/>
    <x v="80"/>
  </r>
  <r>
    <n v="14140"/>
    <x v="11"/>
    <x v="1"/>
    <x v="0"/>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m/>
    <m/>
    <m/>
    <m/>
    <m/>
    <m/>
    <x v="36"/>
    <x v="8"/>
    <x v="3"/>
    <n v="2.19"/>
    <n v="12.921000000000001"/>
    <n v="0.14176320000000001"/>
    <n v="1.6797300000000002"/>
    <n v="-0.17699999999999999"/>
    <n v="9.1999999999999998E-2"/>
    <x v="37"/>
    <x v="81"/>
    <n v="105"/>
    <n v="120"/>
    <x v="3"/>
    <n v="-0.10870973188776034"/>
    <x v="37"/>
    <x v="81"/>
  </r>
  <r>
    <n v="14140"/>
    <x v="11"/>
    <x v="1"/>
    <x v="0"/>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m/>
    <m/>
    <m/>
    <m/>
    <m/>
    <m/>
    <x v="37"/>
    <x v="8"/>
    <x v="4"/>
    <n v="2.2000000000000002"/>
    <n v="12.980000000000002"/>
    <n v="0.14176320000000001"/>
    <n v="1.6874000000000002"/>
    <n v="-0.17699999999999999"/>
    <n v="9.1999999999999998E-2"/>
    <x v="38"/>
    <x v="82"/>
    <n v="105"/>
    <n v="120"/>
    <x v="3"/>
    <n v="-0.1092042010119183"/>
    <x v="38"/>
    <x v="82"/>
  </r>
  <r>
    <n v="14140"/>
    <x v="11"/>
    <x v="1"/>
    <x v="0"/>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m/>
    <m/>
    <m/>
    <m/>
    <m/>
    <m/>
    <x v="38"/>
    <x v="8"/>
    <x v="5"/>
    <n v="2.21"/>
    <n v="13.039"/>
    <n v="0.14176320000000001"/>
    <n v="1.6950700000000001"/>
    <n v="-0.17699999999999999"/>
    <n v="9.1999999999999998E-2"/>
    <x v="39"/>
    <x v="83"/>
    <n v="105"/>
    <n v="120"/>
    <x v="3"/>
    <n v="-0.10969867013607804"/>
    <x v="39"/>
    <x v="83"/>
  </r>
  <r>
    <n v="14140"/>
    <x v="11"/>
    <x v="1"/>
    <x v="0"/>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m/>
    <m/>
    <m/>
    <m/>
    <m/>
    <m/>
    <x v="39"/>
    <x v="8"/>
    <x v="6"/>
    <n v="2.23"/>
    <n v="13.157"/>
    <n v="0.14176320000000001"/>
    <n v="1.71041"/>
    <n v="-0.17699999999999999"/>
    <n v="9.1999999999999998E-2"/>
    <x v="40"/>
    <x v="84"/>
    <n v="105"/>
    <n v="120"/>
    <x v="3"/>
    <n v="-0.11068760838439395"/>
    <x v="40"/>
    <x v="84"/>
  </r>
  <r>
    <n v="14140"/>
    <x v="11"/>
    <x v="1"/>
    <x v="0"/>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m/>
    <m/>
    <m/>
    <m/>
    <m/>
    <m/>
    <x v="40"/>
    <x v="8"/>
    <x v="7"/>
    <n v="2.27"/>
    <n v="13.393000000000001"/>
    <n v="0.14176320000000001"/>
    <n v="1.7410900000000002"/>
    <n v="-0.17699999999999999"/>
    <n v="9.1999999999999998E-2"/>
    <x v="41"/>
    <x v="85"/>
    <n v="105"/>
    <n v="120"/>
    <x v="3"/>
    <n v="-0.11266548488102579"/>
    <x v="41"/>
    <x v="85"/>
  </r>
  <r>
    <n v="14140"/>
    <x v="11"/>
    <x v="1"/>
    <x v="0"/>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m/>
    <m/>
    <m/>
    <m/>
    <m/>
    <m/>
    <x v="41"/>
    <x v="8"/>
    <x v="8"/>
    <n v="2.2999999999999998"/>
    <n v="13.57"/>
    <n v="0.14176320000000001"/>
    <n v="1.7641"/>
    <n v="-0.17699999999999999"/>
    <n v="9.1999999999999998E-2"/>
    <x v="42"/>
    <x v="86"/>
    <n v="105"/>
    <n v="120"/>
    <x v="3"/>
    <n v="-0.11414889225349967"/>
    <x v="42"/>
    <x v="86"/>
  </r>
  <r>
    <n v="14140"/>
    <x v="11"/>
    <x v="1"/>
    <x v="0"/>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m/>
    <m/>
    <m/>
    <m/>
    <m/>
    <m/>
    <x v="14"/>
    <x v="8"/>
    <x v="9"/>
    <n v="2.35"/>
    <n v="13.865000000000002"/>
    <n v="0.14176320000000001"/>
    <n v="1.8024500000000003"/>
    <n v="-0.17699999999999999"/>
    <n v="9.1999999999999998E-2"/>
    <x v="43"/>
    <x v="87"/>
    <n v="105"/>
    <n v="120"/>
    <x v="3"/>
    <n v="-0.11662123787429124"/>
    <x v="43"/>
    <x v="87"/>
  </r>
  <r>
    <n v="14143"/>
    <x v="18"/>
    <x v="0"/>
    <x v="11"/>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m/>
    <m/>
    <m/>
    <m/>
    <m/>
    <m/>
    <x v="42"/>
    <x v="8"/>
    <x v="10"/>
    <n v="2.1"/>
    <n v="12.39"/>
    <n v="0.14176320000000001"/>
    <n v="1.6107"/>
    <n v="-0.17699999999999999"/>
    <n v="9.1999999999999998E-2"/>
    <x v="44"/>
    <x v="53"/>
    <n v="105"/>
    <n v="120"/>
    <x v="3"/>
    <n v="-0.10425950977033871"/>
    <x v="44"/>
    <x v="53"/>
  </r>
  <r>
    <n v="14143"/>
    <x v="18"/>
    <x v="0"/>
    <x v="11"/>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m/>
    <m/>
    <m/>
    <m/>
    <m/>
    <m/>
    <x v="43"/>
    <x v="8"/>
    <x v="11"/>
    <n v="2.12"/>
    <n v="12.508000000000001"/>
    <n v="0.14176320000000001"/>
    <n v="1.6260400000000002"/>
    <n v="-0.17699999999999999"/>
    <n v="9.1999999999999998E-2"/>
    <x v="45"/>
    <x v="54"/>
    <n v="105"/>
    <n v="120"/>
    <x v="3"/>
    <n v="-0.10524844801865463"/>
    <x v="45"/>
    <x v="54"/>
  </r>
  <r>
    <n v="14143"/>
    <x v="18"/>
    <x v="0"/>
    <x v="11"/>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m/>
    <m/>
    <m/>
    <m/>
    <m/>
    <m/>
    <x v="44"/>
    <x v="8"/>
    <x v="12"/>
    <n v="2.15"/>
    <n v="12.685"/>
    <n v="0.14176320000000001"/>
    <n v="1.6490500000000001"/>
    <n v="-0.17699999999999999"/>
    <n v="9.1999999999999998E-2"/>
    <x v="46"/>
    <x v="55"/>
    <n v="105"/>
    <n v="120"/>
    <x v="3"/>
    <n v="-0.10673185539112851"/>
    <x v="46"/>
    <x v="55"/>
  </r>
  <r>
    <n v="14143"/>
    <x v="18"/>
    <x v="0"/>
    <x v="11"/>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m/>
    <m/>
    <m/>
    <m/>
    <m/>
    <m/>
    <x v="37"/>
    <x v="8"/>
    <x v="13"/>
    <n v="2.2000000000000002"/>
    <n v="12.980000000000002"/>
    <n v="0.14176320000000001"/>
    <n v="1.6874000000000002"/>
    <n v="-0.17699999999999999"/>
    <n v="9.1999999999999998E-2"/>
    <x v="38"/>
    <x v="47"/>
    <n v="105"/>
    <n v="120"/>
    <x v="3"/>
    <n v="-0.1092042010119183"/>
    <x v="38"/>
    <x v="47"/>
  </r>
  <r>
    <n v="19519"/>
    <x v="10"/>
    <x v="5"/>
    <x v="0"/>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m/>
    <m/>
    <m/>
    <m/>
    <m/>
    <m/>
    <x v="0"/>
    <x v="8"/>
    <x v="31"/>
    <n v="2.4500000000000002"/>
    <n v="14.455000000000002"/>
    <n v="0.14176320000000001"/>
    <n v="1.8791500000000003"/>
    <n v="0"/>
    <n v="9.1999999999999998E-2"/>
    <x v="0"/>
    <x v="88"/>
    <n v="105"/>
    <n v="30"/>
    <x v="4"/>
    <n v="0.62830377473502708"/>
    <x v="65"/>
    <x v="88"/>
  </r>
  <r>
    <n v="19519"/>
    <x v="10"/>
    <x v="5"/>
    <x v="0"/>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m/>
    <m/>
    <m/>
    <m/>
    <m/>
    <m/>
    <x v="58"/>
    <x v="8"/>
    <x v="32"/>
    <n v="2.4700000000000002"/>
    <n v="14.573000000000002"/>
    <n v="0.14176320000000001"/>
    <n v="1.8944900000000005"/>
    <n v="0"/>
    <n v="9.1999999999999998E-2"/>
    <x v="65"/>
    <x v="89"/>
    <n v="105"/>
    <n v="30"/>
    <x v="4"/>
    <n v="0.63336041791705"/>
    <x v="66"/>
    <x v="89"/>
  </r>
  <r>
    <n v="19519"/>
    <x v="10"/>
    <x v="5"/>
    <x v="0"/>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m/>
    <m/>
    <m/>
    <m/>
    <m/>
    <m/>
    <x v="59"/>
    <x v="8"/>
    <x v="33"/>
    <n v="2.5"/>
    <n v="14.75"/>
    <n v="0.14176320000000001"/>
    <n v="1.9175"/>
    <n v="0"/>
    <n v="9.1999999999999998E-2"/>
    <x v="66"/>
    <x v="90"/>
    <n v="105"/>
    <n v="30"/>
    <x v="4"/>
    <n v="0.64094538269008794"/>
    <x v="67"/>
    <x v="90"/>
  </r>
  <r>
    <n v="19527"/>
    <x v="10"/>
    <x v="5"/>
    <x v="5"/>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m/>
    <m/>
    <m/>
    <m/>
    <m/>
    <m/>
    <x v="60"/>
    <x v="8"/>
    <x v="34"/>
    <n v="2.65"/>
    <n v="15.635"/>
    <n v="0.14176320000000001"/>
    <n v="2.0325500000000001"/>
    <n v="0"/>
    <n v="9.1999999999999998E-2"/>
    <x v="67"/>
    <x v="91"/>
    <n v="105"/>
    <n v="30"/>
    <x v="4"/>
    <n v="0.67887020655528119"/>
    <x v="68"/>
    <x v="91"/>
  </r>
  <r>
    <n v="19527"/>
    <x v="10"/>
    <x v="5"/>
    <x v="5"/>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m/>
    <m/>
    <m/>
    <m/>
    <m/>
    <m/>
    <x v="61"/>
    <x v="8"/>
    <x v="35"/>
    <n v="2.67"/>
    <n v="15.753"/>
    <n v="0.14176320000000001"/>
    <n v="2.0478900000000002"/>
    <n v="0"/>
    <n v="9.1999999999999998E-2"/>
    <x v="68"/>
    <x v="92"/>
    <n v="105"/>
    <n v="30"/>
    <x v="4"/>
    <n v="0.68392684973730411"/>
    <x v="69"/>
    <x v="92"/>
  </r>
  <r>
    <n v="19527"/>
    <x v="10"/>
    <x v="5"/>
    <x v="5"/>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m/>
    <m/>
    <m/>
    <m/>
    <m/>
    <m/>
    <x v="62"/>
    <x v="8"/>
    <x v="36"/>
    <n v="2.7"/>
    <n v="15.930000000000001"/>
    <n v="0.14176320000000001"/>
    <n v="2.0709000000000004"/>
    <n v="0"/>
    <n v="9.1999999999999998E-2"/>
    <x v="69"/>
    <x v="93"/>
    <n v="105"/>
    <n v="30"/>
    <x v="4"/>
    <n v="0.69151181451034205"/>
    <x v="70"/>
    <x v="93"/>
  </r>
  <r>
    <n v="19536"/>
    <x v="9"/>
    <x v="5"/>
    <x v="5"/>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m/>
    <m/>
    <m/>
    <m/>
    <m/>
    <m/>
    <x v="0"/>
    <x v="8"/>
    <x v="31"/>
    <n v="2.4500000000000002"/>
    <n v="14.455000000000002"/>
    <n v="0.14176320000000001"/>
    <n v="1.8791500000000003"/>
    <n v="0"/>
    <n v="9.1999999999999998E-2"/>
    <x v="0"/>
    <x v="88"/>
    <n v="105"/>
    <n v="30"/>
    <x v="4"/>
    <n v="0.62830377473502708"/>
    <x v="65"/>
    <x v="88"/>
  </r>
  <r>
    <n v="19536"/>
    <x v="9"/>
    <x v="5"/>
    <x v="5"/>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m/>
    <m/>
    <m/>
    <m/>
    <m/>
    <m/>
    <x v="58"/>
    <x v="8"/>
    <x v="32"/>
    <n v="2.4700000000000002"/>
    <n v="14.573000000000002"/>
    <n v="0.14176320000000001"/>
    <n v="1.8944900000000005"/>
    <n v="0"/>
    <n v="9.1999999999999998E-2"/>
    <x v="65"/>
    <x v="89"/>
    <n v="105"/>
    <n v="30"/>
    <x v="4"/>
    <n v="0.63336041791705"/>
    <x v="66"/>
    <x v="89"/>
  </r>
  <r>
    <n v="19536"/>
    <x v="9"/>
    <x v="5"/>
    <x v="5"/>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m/>
    <m/>
    <m/>
    <m/>
    <m/>
    <m/>
    <x v="59"/>
    <x v="8"/>
    <x v="33"/>
    <n v="2.5"/>
    <n v="14.75"/>
    <n v="0.14176320000000001"/>
    <n v="1.9175"/>
    <n v="0"/>
    <n v="9.1999999999999998E-2"/>
    <x v="66"/>
    <x v="90"/>
    <n v="105"/>
    <n v="30"/>
    <x v="4"/>
    <n v="0.64094538269008794"/>
    <x v="67"/>
    <x v="90"/>
  </r>
  <r>
    <n v="19508"/>
    <x v="9"/>
    <x v="5"/>
    <x v="0"/>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8"/>
    <x v="37"/>
    <n v="2.25"/>
    <n v="13.275"/>
    <n v="0.14176320000000001"/>
    <n v="1.7257500000000001"/>
    <n v="0"/>
    <n v="9.1999999999999998E-2"/>
    <x v="70"/>
    <x v="94"/>
    <n v="105"/>
    <n v="30"/>
    <x v="4"/>
    <n v="0.57773734291477297"/>
    <x v="71"/>
    <x v="94"/>
  </r>
  <r>
    <n v="19508"/>
    <x v="9"/>
    <x v="5"/>
    <x v="0"/>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8"/>
    <x v="38"/>
    <n v="2.27"/>
    <n v="13.393000000000001"/>
    <n v="0.14176320000000001"/>
    <n v="1.7410900000000002"/>
    <n v="0"/>
    <n v="9.1999999999999998E-2"/>
    <x v="71"/>
    <x v="95"/>
    <n v="105"/>
    <n v="30"/>
    <x v="4"/>
    <n v="0.58279398609679767"/>
    <x v="72"/>
    <x v="95"/>
  </r>
  <r>
    <n v="19508"/>
    <x v="9"/>
    <x v="5"/>
    <x v="0"/>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8"/>
    <x v="39"/>
    <n v="2.2999999999999998"/>
    <n v="13.57"/>
    <n v="0.14176320000000001"/>
    <n v="1.7641"/>
    <n v="0"/>
    <n v="9.1999999999999998E-2"/>
    <x v="72"/>
    <x v="96"/>
    <n v="105"/>
    <n v="30"/>
    <x v="4"/>
    <n v="0.59037895086983561"/>
    <x v="73"/>
    <x v="96"/>
  </r>
  <r>
    <n v="19531"/>
    <x v="9"/>
    <x v="5"/>
    <x v="11"/>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m/>
    <m/>
    <m/>
    <m/>
    <m/>
    <m/>
    <x v="35"/>
    <x v="8"/>
    <x v="37"/>
    <n v="2.25"/>
    <n v="13.275"/>
    <n v="0.14176320000000001"/>
    <n v="1.7257500000000001"/>
    <n v="0"/>
    <n v="9.1999999999999998E-2"/>
    <x v="70"/>
    <x v="94"/>
    <n v="105"/>
    <n v="30"/>
    <x v="4"/>
    <n v="0.57773734291477297"/>
    <x v="71"/>
    <x v="94"/>
  </r>
  <r>
    <n v="19531"/>
    <x v="9"/>
    <x v="5"/>
    <x v="11"/>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m/>
    <m/>
    <m/>
    <m/>
    <m/>
    <m/>
    <x v="40"/>
    <x v="8"/>
    <x v="38"/>
    <n v="2.27"/>
    <n v="13.393000000000001"/>
    <n v="0.14176320000000001"/>
    <n v="1.7410900000000002"/>
    <n v="0"/>
    <n v="9.1999999999999998E-2"/>
    <x v="71"/>
    <x v="95"/>
    <n v="105"/>
    <n v="30"/>
    <x v="4"/>
    <n v="0.58279398609679767"/>
    <x v="72"/>
    <x v="95"/>
  </r>
  <r>
    <n v="19531"/>
    <x v="9"/>
    <x v="5"/>
    <x v="11"/>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m/>
    <m/>
    <m/>
    <m/>
    <m/>
    <m/>
    <x v="41"/>
    <x v="8"/>
    <x v="39"/>
    <n v="2.2999999999999998"/>
    <n v="13.57"/>
    <n v="0.14176320000000001"/>
    <n v="1.7641"/>
    <n v="0"/>
    <n v="9.1999999999999998E-2"/>
    <x v="72"/>
    <x v="96"/>
    <n v="105"/>
    <n v="30"/>
    <x v="4"/>
    <n v="0.59037895086983561"/>
    <x v="73"/>
    <x v="96"/>
  </r>
  <r>
    <n v="19517"/>
    <x v="11"/>
    <x v="4"/>
    <x v="0"/>
    <s v="DP"/>
    <x v="4"/>
    <s v="MALTADECOR M104"/>
    <s v="white"/>
    <s v="M104"/>
    <m/>
    <m/>
    <s v="EU"/>
    <x v="3"/>
    <x v="3"/>
    <m/>
    <m/>
    <m/>
    <x v="0"/>
    <m/>
    <m/>
    <m/>
    <s v="ton"/>
    <x v="10"/>
    <x v="0"/>
    <n v="2530"/>
    <n v="2530"/>
    <n v="2530"/>
    <n v="2530"/>
    <n v="2530"/>
    <n v="2530"/>
    <n v="2430"/>
    <n v="2430"/>
    <n v="2430"/>
    <n v="2050"/>
    <n v="2050"/>
    <n v="2050"/>
    <n v="2050"/>
    <n v="2050"/>
    <n v="2050"/>
    <n v="2050"/>
    <n v="2050"/>
    <n v="2050"/>
    <n v="2000"/>
    <m/>
    <m/>
    <m/>
    <m/>
    <m/>
    <n v="2660"/>
    <n v="2660"/>
    <n v="2160"/>
    <n v="2160"/>
    <n v="2160"/>
    <m/>
    <m/>
    <m/>
    <m/>
    <m/>
    <m/>
    <m/>
    <m/>
    <m/>
    <m/>
    <m/>
    <m/>
    <m/>
    <m/>
    <m/>
    <m/>
    <m/>
    <m/>
    <m/>
    <x v="63"/>
    <x v="12"/>
    <x v="0"/>
    <n v="2.16"/>
    <n v="12.744000000000002"/>
    <n v="0.14176320000000001"/>
    <n v="1.6567200000000002"/>
    <n v="0"/>
    <n v="9.1999999999999998E-2"/>
    <x v="73"/>
    <x v="97"/>
    <n v="105"/>
    <n v="30"/>
    <x v="4"/>
    <n v="0.55498244859565737"/>
    <x v="74"/>
    <x v="97"/>
  </r>
  <r>
    <n v="19517"/>
    <x v="11"/>
    <x v="4"/>
    <x v="0"/>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4"/>
    <x v="8"/>
    <x v="40"/>
    <n v="2.69"/>
    <n v="15.871"/>
    <n v="0.14176320000000001"/>
    <n v="2.0632300000000003"/>
    <n v="0"/>
    <n v="9.1999999999999998E-2"/>
    <x v="74"/>
    <x v="98"/>
    <n v="105"/>
    <n v="30"/>
    <x v="4"/>
    <n v="0.68898349291933059"/>
    <x v="75"/>
    <x v="98"/>
  </r>
  <r>
    <n v="19517"/>
    <x v="11"/>
    <x v="4"/>
    <x v="0"/>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5"/>
    <x v="8"/>
    <x v="41"/>
    <n v="2.71"/>
    <n v="15.989000000000001"/>
    <n v="0.14176320000000001"/>
    <n v="2.07857"/>
    <n v="0"/>
    <n v="9.1999999999999998E-2"/>
    <x v="75"/>
    <x v="99"/>
    <n v="105"/>
    <n v="30"/>
    <x v="4"/>
    <n v="0.69404013610135706"/>
    <x v="76"/>
    <x v="99"/>
  </r>
  <r>
    <n v="19517"/>
    <x v="11"/>
    <x v="4"/>
    <x v="0"/>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6"/>
    <x v="8"/>
    <x v="42"/>
    <n v="2.76"/>
    <n v="16.283999999999999"/>
    <n v="0.14176320000000001"/>
    <n v="2.1169199999999999"/>
    <n v="0"/>
    <n v="9.1999999999999998E-2"/>
    <x v="76"/>
    <x v="100"/>
    <n v="105"/>
    <n v="30"/>
    <x v="4"/>
    <n v="0.70668174405641793"/>
    <x v="77"/>
    <x v="100"/>
  </r>
  <r>
    <n v="19522"/>
    <x v="11"/>
    <x v="4"/>
    <x v="6"/>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m/>
    <m/>
    <m/>
    <m/>
    <m/>
    <m/>
    <x v="64"/>
    <x v="8"/>
    <x v="40"/>
    <n v="2.69"/>
    <n v="15.871"/>
    <n v="0.14176320000000001"/>
    <n v="2.0632300000000003"/>
    <n v="0"/>
    <n v="9.1999999999999998E-2"/>
    <x v="74"/>
    <x v="98"/>
    <n v="105"/>
    <n v="30"/>
    <x v="4"/>
    <n v="0.68898349291933059"/>
    <x v="75"/>
    <x v="98"/>
  </r>
  <r>
    <n v="19522"/>
    <x v="11"/>
    <x v="4"/>
    <x v="6"/>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m/>
    <m/>
    <m/>
    <m/>
    <m/>
    <m/>
    <x v="65"/>
    <x v="8"/>
    <x v="41"/>
    <n v="2.71"/>
    <n v="15.989000000000001"/>
    <n v="0.14176320000000001"/>
    <n v="2.07857"/>
    <n v="0"/>
    <n v="9.1999999999999998E-2"/>
    <x v="75"/>
    <x v="99"/>
    <n v="105"/>
    <n v="30"/>
    <x v="4"/>
    <n v="0.69404013610135706"/>
    <x v="76"/>
    <x v="99"/>
  </r>
  <r>
    <n v="19522"/>
    <x v="11"/>
    <x v="4"/>
    <x v="6"/>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m/>
    <m/>
    <m/>
    <m/>
    <m/>
    <m/>
    <x v="66"/>
    <x v="8"/>
    <x v="42"/>
    <n v="2.76"/>
    <n v="16.283999999999999"/>
    <n v="0.14176320000000001"/>
    <n v="2.1169199999999999"/>
    <n v="0"/>
    <n v="9.1999999999999998E-2"/>
    <x v="76"/>
    <x v="100"/>
    <n v="105"/>
    <n v="30"/>
    <x v="4"/>
    <n v="0.70668174405641793"/>
    <x v="77"/>
    <x v="100"/>
  </r>
  <r>
    <n v="19510"/>
    <x v="11"/>
    <x v="1"/>
    <x v="0"/>
    <s v="DP"/>
    <x v="4"/>
    <s v="MALTADECOR 0104"/>
    <s v="white"/>
    <s v="M104"/>
    <m/>
    <m/>
    <s v="EU"/>
    <x v="3"/>
    <x v="3"/>
    <m/>
    <m/>
    <m/>
    <x v="0"/>
    <m/>
    <m/>
    <m/>
    <s v="ton"/>
    <x v="10"/>
    <x v="0"/>
    <n v="2500"/>
    <n v="2500"/>
    <n v="2500"/>
    <n v="2500"/>
    <n v="2500"/>
    <n v="2500"/>
    <n v="2200"/>
    <n v="2200"/>
    <n v="2200"/>
    <n v="1950"/>
    <n v="1950"/>
    <n v="1950"/>
    <n v="1950"/>
    <n v="1950"/>
    <n v="1950"/>
    <n v="1900"/>
    <n v="1900"/>
    <n v="1900"/>
    <n v="1970"/>
    <n v="1970"/>
    <n v="1970"/>
    <n v="1970"/>
    <m/>
    <m/>
    <n v="2660"/>
    <n v="2660"/>
    <n v="2160"/>
    <n v="2160"/>
    <n v="2160"/>
    <m/>
    <m/>
    <m/>
    <m/>
    <m/>
    <n v="1660"/>
    <n v="1660"/>
    <m/>
    <m/>
    <m/>
    <m/>
    <m/>
    <m/>
    <m/>
    <m/>
    <m/>
    <m/>
    <m/>
    <m/>
    <x v="67"/>
    <x v="7"/>
    <x v="1"/>
    <n v="1.66"/>
    <n v="9.7940000000000005"/>
    <n v="0.14176320000000001"/>
    <n v="1.27322"/>
    <n v="0"/>
    <n v="9.1999999999999998E-2"/>
    <x v="77"/>
    <x v="101"/>
    <n v="105"/>
    <n v="30"/>
    <x v="4"/>
    <n v="0.42856636904502388"/>
    <x v="78"/>
    <x v="101"/>
  </r>
  <r>
    <n v="19510"/>
    <x v="11"/>
    <x v="1"/>
    <x v="0"/>
    <s v="DP"/>
    <x v="4"/>
    <s v="MALTADECOR 0104"/>
    <s v="white"/>
    <s v="M104"/>
    <m/>
    <m/>
    <s v="EU"/>
    <x v="3"/>
    <x v="3"/>
    <m/>
    <m/>
    <m/>
    <x v="0"/>
    <m/>
    <m/>
    <m/>
    <s v="ton"/>
    <x v="13"/>
    <x v="0"/>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m/>
    <m/>
    <m/>
    <m/>
    <m/>
    <m/>
    <x v="19"/>
    <x v="8"/>
    <x v="43"/>
    <n v="1.65"/>
    <n v="9.7349999999999994"/>
    <n v="0.14176320000000001"/>
    <n v="1.26555"/>
    <n v="0"/>
    <n v="9.1999999999999998E-2"/>
    <x v="78"/>
    <x v="102"/>
    <n v="105"/>
    <n v="30"/>
    <x v="4"/>
    <n v="0.42603804745401064"/>
    <x v="79"/>
    <x v="102"/>
  </r>
  <r>
    <n v="19510"/>
    <x v="11"/>
    <x v="1"/>
    <x v="0"/>
    <s v="D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68"/>
    <x v="8"/>
    <x v="44"/>
    <n v="1.67"/>
    <n v="9.8529999999999998"/>
    <n v="0.14176320000000001"/>
    <n v="1.2808900000000001"/>
    <n v="0"/>
    <n v="9.1999999999999998E-2"/>
    <x v="79"/>
    <x v="103"/>
    <n v="105"/>
    <n v="30"/>
    <x v="4"/>
    <n v="0.43109469063603534"/>
    <x v="80"/>
    <x v="103"/>
  </r>
  <r>
    <n v="19510"/>
    <x v="11"/>
    <x v="1"/>
    <x v="0"/>
    <s v="D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69"/>
    <x v="8"/>
    <x v="45"/>
    <n v="1.72"/>
    <n v="10.148"/>
    <n v="0.14176320000000001"/>
    <n v="1.31924"/>
    <n v="0"/>
    <n v="9.1999999999999998E-2"/>
    <x v="80"/>
    <x v="104"/>
    <n v="105"/>
    <n v="30"/>
    <x v="4"/>
    <n v="0.44373629859109975"/>
    <x v="81"/>
    <x v="104"/>
  </r>
  <r>
    <n v="19521"/>
    <x v="11"/>
    <x v="1"/>
    <x v="8"/>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67"/>
    <x v="7"/>
    <x v="1"/>
    <n v="1.66"/>
    <n v="9.7940000000000005"/>
    <n v="0.14176320000000001"/>
    <n v="1.27322"/>
    <n v="0"/>
    <n v="9.1999999999999998E-2"/>
    <x v="77"/>
    <x v="101"/>
    <n v="105"/>
    <n v="30"/>
    <x v="4"/>
    <n v="0.42856636904502388"/>
    <x v="78"/>
    <x v="101"/>
  </r>
  <r>
    <n v="19521"/>
    <x v="11"/>
    <x v="1"/>
    <x v="8"/>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8"/>
    <x v="43"/>
    <n v="1.65"/>
    <n v="9.7349999999999994"/>
    <n v="0.14176320000000001"/>
    <n v="1.26555"/>
    <n v="0"/>
    <n v="9.1999999999999998E-2"/>
    <x v="78"/>
    <x v="102"/>
    <n v="105"/>
    <n v="30"/>
    <x v="4"/>
    <n v="0.42603804745401064"/>
    <x v="79"/>
    <x v="102"/>
  </r>
  <r>
    <n v="19521"/>
    <x v="11"/>
    <x v="1"/>
    <x v="8"/>
    <s v="I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m/>
    <m/>
    <m/>
    <m/>
    <m/>
    <m/>
    <x v="68"/>
    <x v="8"/>
    <x v="44"/>
    <n v="1.67"/>
    <n v="9.8529999999999998"/>
    <n v="0.14176320000000001"/>
    <n v="1.2808900000000001"/>
    <n v="0"/>
    <n v="9.1999999999999998E-2"/>
    <x v="79"/>
    <x v="103"/>
    <n v="105"/>
    <n v="30"/>
    <x v="4"/>
    <n v="0.43109469063603534"/>
    <x v="80"/>
    <x v="103"/>
  </r>
  <r>
    <n v="19521"/>
    <x v="11"/>
    <x v="1"/>
    <x v="8"/>
    <s v="I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m/>
    <m/>
    <m/>
    <m/>
    <m/>
    <m/>
    <x v="69"/>
    <x v="8"/>
    <x v="45"/>
    <n v="1.72"/>
    <n v="10.148"/>
    <n v="0.14176320000000001"/>
    <n v="1.31924"/>
    <n v="0"/>
    <n v="9.1999999999999998E-2"/>
    <x v="80"/>
    <x v="104"/>
    <n v="105"/>
    <n v="30"/>
    <x v="4"/>
    <n v="0.44373629859109975"/>
    <x v="81"/>
    <x v="104"/>
  </r>
  <r>
    <n v="19533"/>
    <x v="11"/>
    <x v="4"/>
    <x v="5"/>
    <s v="DP"/>
    <x v="4"/>
    <s v="MALTADECOR M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m/>
    <m/>
    <m/>
    <m/>
    <m/>
    <m/>
    <x v="9"/>
    <x v="8"/>
    <x v="46"/>
    <n v="2.89"/>
    <n v="17.051000000000002"/>
    <n v="0.14176320000000001"/>
    <n v="2.2166300000000003"/>
    <n v="0"/>
    <n v="9.1999999999999998E-2"/>
    <x v="9"/>
    <x v="105"/>
    <n v="105"/>
    <n v="30"/>
    <x v="4"/>
    <n v="0.7395499247395847"/>
    <x v="82"/>
    <x v="105"/>
  </r>
  <r>
    <n v="19533"/>
    <x v="11"/>
    <x v="4"/>
    <x v="5"/>
    <s v="DP"/>
    <x v="4"/>
    <s v="MALTADECOR M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m/>
    <m/>
    <m/>
    <m/>
    <m/>
    <m/>
    <x v="70"/>
    <x v="8"/>
    <x v="47"/>
    <n v="2.91"/>
    <n v="17.169"/>
    <n v="0.14176320000000001"/>
    <n v="2.23197"/>
    <n v="0"/>
    <n v="9.1999999999999998E-2"/>
    <x v="81"/>
    <x v="106"/>
    <n v="105"/>
    <n v="30"/>
    <x v="4"/>
    <n v="0.74460656792161117"/>
    <x v="83"/>
    <x v="106"/>
  </r>
  <r>
    <n v="19533"/>
    <x v="11"/>
    <x v="4"/>
    <x v="5"/>
    <s v="DP"/>
    <x v="4"/>
    <s v="MALTADECOR M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m/>
    <m/>
    <m/>
    <m/>
    <m/>
    <m/>
    <x v="71"/>
    <x v="8"/>
    <x v="48"/>
    <n v="2.96"/>
    <n v="17.464000000000002"/>
    <n v="0.14176320000000001"/>
    <n v="2.2703200000000003"/>
    <n v="0"/>
    <n v="9.1999999999999998E-2"/>
    <x v="82"/>
    <x v="107"/>
    <n v="105"/>
    <n v="30"/>
    <x v="4"/>
    <n v="0.75724817587667204"/>
    <x v="84"/>
    <x v="107"/>
  </r>
  <r>
    <n v="19534"/>
    <x v="11"/>
    <x v="1"/>
    <x v="1"/>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67"/>
    <x v="7"/>
    <x v="1"/>
    <n v="1.66"/>
    <n v="9.7940000000000005"/>
    <n v="0.14176320000000001"/>
    <n v="1.27322"/>
    <n v="0"/>
    <n v="9.1999999999999998E-2"/>
    <x v="77"/>
    <x v="101"/>
    <n v="105"/>
    <n v="30"/>
    <x v="4"/>
    <n v="0.42856636904502388"/>
    <x v="78"/>
    <x v="101"/>
  </r>
  <r>
    <n v="19534"/>
    <x v="11"/>
    <x v="1"/>
    <x v="1"/>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m/>
    <m/>
    <m/>
    <m/>
    <m/>
    <m/>
    <x v="19"/>
    <x v="8"/>
    <x v="43"/>
    <n v="1.65"/>
    <n v="9.7349999999999994"/>
    <n v="0.14176320000000001"/>
    <n v="1.26555"/>
    <n v="0"/>
    <n v="9.1999999999999998E-2"/>
    <x v="78"/>
    <x v="102"/>
    <n v="105"/>
    <n v="30"/>
    <x v="4"/>
    <n v="0.42603804745401064"/>
    <x v="79"/>
    <x v="102"/>
  </r>
  <r>
    <n v="19534"/>
    <x v="11"/>
    <x v="1"/>
    <x v="1"/>
    <s v="IP"/>
    <x v="4"/>
    <s v="MALTADECOR 0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m/>
    <m/>
    <m/>
    <m/>
    <m/>
    <m/>
    <x v="68"/>
    <x v="8"/>
    <x v="44"/>
    <n v="1.67"/>
    <n v="9.8529999999999998"/>
    <n v="0.14176320000000001"/>
    <n v="1.2808900000000001"/>
    <n v="0"/>
    <n v="9.1999999999999998E-2"/>
    <x v="79"/>
    <x v="103"/>
    <n v="105"/>
    <n v="30"/>
    <x v="4"/>
    <n v="0.43109469063603534"/>
    <x v="80"/>
    <x v="103"/>
  </r>
  <r>
    <n v="19534"/>
    <x v="11"/>
    <x v="1"/>
    <x v="1"/>
    <s v="IP"/>
    <x v="4"/>
    <s v="MALTADECOR 0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m/>
    <m/>
    <m/>
    <m/>
    <m/>
    <m/>
    <x v="69"/>
    <x v="8"/>
    <x v="45"/>
    <n v="1.72"/>
    <n v="10.148"/>
    <n v="0.14176320000000001"/>
    <n v="1.31924"/>
    <n v="0"/>
    <n v="9.1999999999999998E-2"/>
    <x v="80"/>
    <x v="104"/>
    <n v="105"/>
    <n v="30"/>
    <x v="4"/>
    <n v="0.44373629859109975"/>
    <x v="81"/>
    <x v="104"/>
  </r>
  <r>
    <n v="19542"/>
    <x v="11"/>
    <x v="1"/>
    <x v="12"/>
    <s v="IP"/>
    <x v="4"/>
    <s v="MALTADECOR 0104"/>
    <s v="white"/>
    <s v="M104"/>
    <m/>
    <m/>
    <s v="EU"/>
    <x v="3"/>
    <x v="3"/>
    <m/>
    <m/>
    <m/>
    <x v="0"/>
    <m/>
    <m/>
    <m/>
    <s v="ton"/>
    <x v="13"/>
    <x v="0"/>
    <n v="2530"/>
    <n v="2530"/>
    <n v="2530"/>
    <n v="2530"/>
    <n v="2530"/>
    <n v="2530"/>
    <n v="2430"/>
    <n v="2430"/>
    <n v="2430"/>
    <n v="2050"/>
    <n v="2050"/>
    <n v="2050"/>
    <n v="2050"/>
    <n v="2050"/>
    <n v="2050"/>
    <n v="2050"/>
    <n v="2050"/>
    <n v="2050"/>
    <n v="2050"/>
    <n v="2050"/>
    <n v="2050"/>
    <n v="2050"/>
    <n v="2050"/>
    <n v="2050"/>
    <n v="2550"/>
    <n v="2550"/>
    <n v="2050"/>
    <n v="2050"/>
    <n v="2050"/>
    <m/>
    <m/>
    <m/>
    <m/>
    <n v="1850"/>
    <n v="1850"/>
    <n v="1850"/>
    <m/>
    <m/>
    <m/>
    <m/>
    <m/>
    <m/>
    <m/>
    <m/>
    <m/>
    <m/>
    <m/>
    <m/>
    <x v="52"/>
    <x v="7"/>
    <x v="1"/>
    <n v="1.85"/>
    <n v="10.915000000000001"/>
    <n v="0.14176320000000001"/>
    <n v="1.4189500000000002"/>
    <n v="0"/>
    <n v="9.1999999999999998E-2"/>
    <x v="83"/>
    <x v="108"/>
    <n v="105"/>
    <n v="30"/>
    <x v="4"/>
    <n v="0.47660447927426475"/>
    <x v="85"/>
    <x v="108"/>
  </r>
  <r>
    <n v="19505"/>
    <x v="24"/>
    <x v="5"/>
    <x v="0"/>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2"/>
    <x v="8"/>
    <x v="49"/>
    <n v="1.96"/>
    <n v="11.564"/>
    <n v="0.14176320000000001"/>
    <n v="1.50332"/>
    <n v="0"/>
    <n v="9.1999999999999998E-2"/>
    <x v="84"/>
    <x v="109"/>
    <n v="105"/>
    <n v="30"/>
    <x v="4"/>
    <n v="0.50441601677540504"/>
    <x v="86"/>
    <x v="109"/>
  </r>
  <r>
    <n v="19505"/>
    <x v="24"/>
    <x v="5"/>
    <x v="0"/>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3"/>
    <x v="8"/>
    <x v="50"/>
    <n v="1.98"/>
    <n v="11.682"/>
    <n v="0.14176320000000001"/>
    <n v="1.5186600000000001"/>
    <n v="0"/>
    <n v="9.1999999999999998E-2"/>
    <x v="85"/>
    <x v="110"/>
    <n v="105"/>
    <n v="30"/>
    <x v="4"/>
    <n v="0.50947265995742974"/>
    <x v="87"/>
    <x v="110"/>
  </r>
  <r>
    <n v="19505"/>
    <x v="24"/>
    <x v="5"/>
    <x v="0"/>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4"/>
    <x v="8"/>
    <x v="51"/>
    <n v="2.0099999999999998"/>
    <n v="11.859"/>
    <n v="0.14176320000000001"/>
    <n v="1.5416700000000001"/>
    <n v="0"/>
    <n v="9.1999999999999998E-2"/>
    <x v="86"/>
    <x v="111"/>
    <n v="105"/>
    <n v="30"/>
    <x v="4"/>
    <n v="0.51705762473046768"/>
    <x v="88"/>
    <x v="111"/>
  </r>
  <r>
    <n v="19526"/>
    <x v="24"/>
    <x v="5"/>
    <x v="6"/>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m/>
    <m/>
    <m/>
    <m/>
    <m/>
    <m/>
    <x v="72"/>
    <x v="8"/>
    <x v="49"/>
    <n v="1.96"/>
    <n v="11.564"/>
    <n v="0.14176320000000001"/>
    <n v="1.50332"/>
    <n v="0"/>
    <n v="9.1999999999999998E-2"/>
    <x v="84"/>
    <x v="109"/>
    <n v="105"/>
    <n v="30"/>
    <x v="4"/>
    <n v="0.50441601677540504"/>
    <x v="86"/>
    <x v="109"/>
  </r>
  <r>
    <n v="19526"/>
    <x v="24"/>
    <x v="5"/>
    <x v="6"/>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m/>
    <m/>
    <m/>
    <m/>
    <m/>
    <m/>
    <x v="73"/>
    <x v="8"/>
    <x v="50"/>
    <n v="1.98"/>
    <n v="11.682"/>
    <n v="0.14176320000000001"/>
    <n v="1.5186600000000001"/>
    <n v="0"/>
    <n v="9.1999999999999998E-2"/>
    <x v="85"/>
    <x v="110"/>
    <n v="105"/>
    <n v="30"/>
    <x v="4"/>
    <n v="0.50947265995742974"/>
    <x v="87"/>
    <x v="110"/>
  </r>
  <r>
    <n v="19526"/>
    <x v="24"/>
    <x v="5"/>
    <x v="6"/>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m/>
    <m/>
    <m/>
    <m/>
    <m/>
    <m/>
    <x v="74"/>
    <x v="8"/>
    <x v="51"/>
    <n v="2.0099999999999998"/>
    <n v="11.859"/>
    <n v="0.14176320000000001"/>
    <n v="1.5416700000000001"/>
    <n v="0"/>
    <n v="9.1999999999999998E-2"/>
    <x v="86"/>
    <x v="111"/>
    <n v="105"/>
    <n v="30"/>
    <x v="4"/>
    <n v="0.51705762473046768"/>
    <x v="88"/>
    <x v="111"/>
  </r>
  <r>
    <n v="19535"/>
    <x v="24"/>
    <x v="5"/>
    <x v="5"/>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m/>
    <m/>
    <m/>
    <m/>
    <m/>
    <m/>
    <x v="63"/>
    <x v="8"/>
    <x v="52"/>
    <n v="2.16"/>
    <n v="12.744000000000002"/>
    <n v="0.14176320000000001"/>
    <n v="1.6567200000000002"/>
    <n v="0"/>
    <n v="9.1999999999999998E-2"/>
    <x v="73"/>
    <x v="112"/>
    <n v="105"/>
    <n v="30"/>
    <x v="4"/>
    <n v="0.55498244859565737"/>
    <x v="74"/>
    <x v="112"/>
  </r>
  <r>
    <n v="19535"/>
    <x v="24"/>
    <x v="5"/>
    <x v="5"/>
    <s v="DP"/>
    <x v="4"/>
    <s v="MALTADECOR 128"/>
    <s v="white"/>
    <s v="M128"/>
    <m/>
    <m/>
    <s v="EU"/>
    <x v="3"/>
    <x v="3"/>
    <m/>
    <m/>
    <m/>
    <x v="0"/>
    <m/>
    <m/>
    <m/>
    <s v="ton"/>
    <x v="0"/>
    <x v="0"/>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m/>
    <m/>
    <m/>
    <m/>
    <m/>
    <m/>
    <x v="75"/>
    <x v="8"/>
    <x v="53"/>
    <n v="2.1800000000000002"/>
    <n v="12.862000000000002"/>
    <n v="0.14176320000000001"/>
    <n v="1.6720600000000003"/>
    <n v="0"/>
    <n v="9.1999999999999998E-2"/>
    <x v="87"/>
    <x v="113"/>
    <n v="105"/>
    <n v="30"/>
    <x v="4"/>
    <n v="0.56003909177768385"/>
    <x v="89"/>
    <x v="113"/>
  </r>
  <r>
    <n v="19535"/>
    <x v="24"/>
    <x v="5"/>
    <x v="5"/>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m/>
    <m/>
    <m/>
    <m/>
    <m/>
    <m/>
    <x v="38"/>
    <x v="8"/>
    <x v="54"/>
    <n v="2.21"/>
    <n v="13.039"/>
    <n v="0.14176320000000001"/>
    <n v="1.6950700000000001"/>
    <n v="0"/>
    <n v="9.1999999999999998E-2"/>
    <x v="88"/>
    <x v="114"/>
    <n v="105"/>
    <n v="30"/>
    <x v="4"/>
    <n v="0.56762405655072179"/>
    <x v="90"/>
    <x v="114"/>
  </r>
  <r>
    <n v="19507"/>
    <x v="7"/>
    <x v="5"/>
    <x v="0"/>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m/>
    <m/>
    <m/>
    <m/>
    <m/>
    <m/>
    <x v="76"/>
    <x v="8"/>
    <x v="55"/>
    <n v="1.99"/>
    <n v="11.741000000000001"/>
    <n v="0.14176320000000001"/>
    <n v="1.5263300000000002"/>
    <n v="0"/>
    <n v="9.1999999999999998E-2"/>
    <x v="89"/>
    <x v="115"/>
    <n v="105"/>
    <n v="30"/>
    <x v="4"/>
    <n v="0.51200098154844298"/>
    <x v="91"/>
    <x v="115"/>
  </r>
  <r>
    <n v="19507"/>
    <x v="7"/>
    <x v="5"/>
    <x v="0"/>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m/>
    <m/>
    <m/>
    <m/>
    <m/>
    <m/>
    <x v="74"/>
    <x v="8"/>
    <x v="56"/>
    <n v="2.0099999999999998"/>
    <n v="11.859"/>
    <n v="0.14176320000000001"/>
    <n v="1.5416700000000001"/>
    <n v="0"/>
    <n v="9.1999999999999998E-2"/>
    <x v="86"/>
    <x v="111"/>
    <n v="105"/>
    <n v="30"/>
    <x v="4"/>
    <n v="0.51705762473046768"/>
    <x v="88"/>
    <x v="111"/>
  </r>
  <r>
    <n v="19507"/>
    <x v="7"/>
    <x v="5"/>
    <x v="0"/>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m/>
    <m/>
    <m/>
    <m/>
    <m/>
    <m/>
    <x v="46"/>
    <x v="8"/>
    <x v="57"/>
    <n v="2.04"/>
    <n v="12.036000000000001"/>
    <n v="0.14176320000000001"/>
    <n v="1.5646800000000003"/>
    <n v="0"/>
    <n v="9.1999999999999998E-2"/>
    <x v="90"/>
    <x v="116"/>
    <n v="105"/>
    <n v="30"/>
    <x v="4"/>
    <n v="0.52464258950350562"/>
    <x v="92"/>
    <x v="116"/>
  </r>
  <r>
    <n v="19528"/>
    <x v="7"/>
    <x v="5"/>
    <x v="5"/>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m/>
    <m/>
    <m/>
    <m/>
    <m/>
    <m/>
    <x v="36"/>
    <x v="8"/>
    <x v="58"/>
    <n v="2.19"/>
    <n v="12.921000000000001"/>
    <n v="0.14176320000000001"/>
    <n v="1.6797300000000002"/>
    <n v="0"/>
    <n v="9.1999999999999998E-2"/>
    <x v="91"/>
    <x v="117"/>
    <n v="105"/>
    <n v="30"/>
    <x v="4"/>
    <n v="0.56256741336869709"/>
    <x v="93"/>
    <x v="117"/>
  </r>
  <r>
    <n v="19528"/>
    <x v="7"/>
    <x v="5"/>
    <x v="5"/>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m/>
    <m/>
    <m/>
    <m/>
    <m/>
    <m/>
    <x v="38"/>
    <x v="8"/>
    <x v="59"/>
    <n v="2.21"/>
    <n v="13.039"/>
    <n v="0.14176320000000001"/>
    <n v="1.6950700000000001"/>
    <n v="0"/>
    <n v="9.1999999999999998E-2"/>
    <x v="88"/>
    <x v="114"/>
    <n v="105"/>
    <n v="30"/>
    <x v="4"/>
    <n v="0.56762405655072179"/>
    <x v="90"/>
    <x v="114"/>
  </r>
  <r>
    <n v="19528"/>
    <x v="7"/>
    <x v="5"/>
    <x v="5"/>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m/>
    <m/>
    <m/>
    <m/>
    <m/>
    <m/>
    <x v="54"/>
    <x v="8"/>
    <x v="60"/>
    <n v="2.2400000000000002"/>
    <n v="13.216000000000003"/>
    <n v="0.14176320000000001"/>
    <n v="1.7180800000000005"/>
    <n v="0"/>
    <n v="9.1999999999999998E-2"/>
    <x v="92"/>
    <x v="118"/>
    <n v="105"/>
    <n v="30"/>
    <x v="4"/>
    <n v="0.57520902132375973"/>
    <x v="94"/>
    <x v="118"/>
  </r>
  <r>
    <n v="19509"/>
    <x v="25"/>
    <x v="5"/>
    <x v="0"/>
    <s v="DP"/>
    <x v="4"/>
    <s v="MALTADECOR 408"/>
    <s v="brown"/>
    <s v="M408"/>
    <m/>
    <m/>
    <s v="EU"/>
    <x v="3"/>
    <x v="3"/>
    <m/>
    <m/>
    <m/>
    <x v="0"/>
    <m/>
    <m/>
    <m/>
    <s v="ton"/>
    <x v="13"/>
    <x v="0"/>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m/>
    <m/>
    <m/>
    <m/>
    <m/>
    <m/>
    <x v="77"/>
    <x v="8"/>
    <x v="61"/>
    <n v="2.34"/>
    <n v="13.805999999999999"/>
    <n v="0.14176320000000001"/>
    <n v="1.79478"/>
    <n v="0"/>
    <n v="9.1999999999999998E-2"/>
    <x v="93"/>
    <x v="119"/>
    <n v="105"/>
    <n v="30"/>
    <x v="4"/>
    <n v="0.60049223723388678"/>
    <x v="95"/>
    <x v="119"/>
  </r>
  <r>
    <n v="19509"/>
    <x v="25"/>
    <x v="5"/>
    <x v="0"/>
    <s v="DP"/>
    <x v="4"/>
    <s v="MALTADECOR 408"/>
    <s v="brown"/>
    <s v="M408"/>
    <m/>
    <m/>
    <s v="EU"/>
    <x v="3"/>
    <x v="3"/>
    <m/>
    <m/>
    <m/>
    <x v="0"/>
    <m/>
    <m/>
    <m/>
    <s v="ton"/>
    <x v="0"/>
    <x v="0"/>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m/>
    <m/>
    <m/>
    <m/>
    <m/>
    <m/>
    <x v="78"/>
    <x v="8"/>
    <x v="62"/>
    <n v="2.36"/>
    <n v="13.923999999999999"/>
    <n v="0.14176320000000001"/>
    <n v="1.81012"/>
    <n v="0"/>
    <n v="9.1999999999999998E-2"/>
    <x v="94"/>
    <x v="120"/>
    <n v="105"/>
    <n v="30"/>
    <x v="4"/>
    <n v="0.60554888041591326"/>
    <x v="96"/>
    <x v="120"/>
  </r>
  <r>
    <n v="19509"/>
    <x v="25"/>
    <x v="5"/>
    <x v="0"/>
    <s v="DP"/>
    <x v="4"/>
    <s v="MALTADECOR 408"/>
    <s v="brown"/>
    <s v="M408"/>
    <m/>
    <m/>
    <s v="EU"/>
    <x v="3"/>
    <x v="3"/>
    <m/>
    <m/>
    <m/>
    <x v="0"/>
    <m/>
    <m/>
    <m/>
    <s v="ton"/>
    <x v="14"/>
    <x v="0"/>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m/>
    <m/>
    <m/>
    <m/>
    <m/>
    <m/>
    <x v="8"/>
    <x v="8"/>
    <x v="63"/>
    <n v="2.39"/>
    <n v="14.101000000000001"/>
    <n v="0.14176320000000001"/>
    <n v="1.8331300000000001"/>
    <n v="0"/>
    <n v="9.1999999999999998E-2"/>
    <x v="8"/>
    <x v="121"/>
    <n v="105"/>
    <n v="30"/>
    <x v="4"/>
    <n v="0.6131338451889512"/>
    <x v="97"/>
    <x v="121"/>
  </r>
  <r>
    <n v="19537"/>
    <x v="22"/>
    <x v="0"/>
    <x v="8"/>
    <s v="DP"/>
    <x v="4"/>
    <s v="MALTADECOR 1410"/>
    <s v="brown"/>
    <m/>
    <m/>
    <m/>
    <s v="EU"/>
    <x v="3"/>
    <x v="3"/>
    <m/>
    <m/>
    <m/>
    <x v="0"/>
    <m/>
    <m/>
    <m/>
    <s v="ton"/>
    <x v="13"/>
    <x v="0"/>
    <m/>
    <m/>
    <m/>
    <m/>
    <m/>
    <m/>
    <m/>
    <m/>
    <n v="1900"/>
    <n v="1900"/>
    <n v="1720"/>
    <n v="1720"/>
    <n v="1720"/>
    <n v="1720"/>
    <n v="1720"/>
    <n v="1720"/>
    <n v="1720"/>
    <n v="1720"/>
    <n v="1740"/>
    <n v="1860"/>
    <n v="1860"/>
    <n v="1860"/>
    <n v="1860"/>
    <n v="1860"/>
    <n v="2310"/>
    <n v="2310"/>
    <n v="1810"/>
    <n v="1810"/>
    <n v="1810"/>
    <n v="1960"/>
    <n v="1960"/>
    <n v="1960"/>
    <n v="1960"/>
    <n v="1860"/>
    <n v="1860"/>
    <n v="1860"/>
    <m/>
    <m/>
    <m/>
    <m/>
    <m/>
    <n v="1790"/>
    <m/>
    <m/>
    <m/>
    <m/>
    <m/>
    <m/>
    <x v="11"/>
    <x v="8"/>
    <x v="64"/>
    <n v="1.79"/>
    <n v="10.561000000000002"/>
    <n v="0.14176320000000001"/>
    <n v="1.3729300000000002"/>
    <n v="0"/>
    <n v="9.1999999999999998E-2"/>
    <x v="11"/>
    <x v="122"/>
    <n v="105"/>
    <n v="30"/>
    <x v="4"/>
    <n v="0.46143454972818887"/>
    <x v="98"/>
    <x v="122"/>
  </r>
  <r>
    <n v="19538"/>
    <x v="23"/>
    <x v="0"/>
    <x v="0"/>
    <s v="DP"/>
    <x v="4"/>
    <s v="MALTADECOR 1430"/>
    <s v="brown"/>
    <m/>
    <m/>
    <m/>
    <s v="EU"/>
    <x v="3"/>
    <x v="3"/>
    <m/>
    <m/>
    <m/>
    <x v="0"/>
    <m/>
    <m/>
    <m/>
    <s v="ton"/>
    <x v="13"/>
    <x v="0"/>
    <m/>
    <m/>
    <m/>
    <m/>
    <m/>
    <m/>
    <m/>
    <m/>
    <n v="2020"/>
    <n v="2020"/>
    <n v="1720"/>
    <n v="1720"/>
    <n v="1720"/>
    <n v="1720"/>
    <n v="1720"/>
    <n v="1720"/>
    <n v="1720"/>
    <n v="1720"/>
    <n v="1740"/>
    <n v="1940"/>
    <n v="1940"/>
    <n v="1940"/>
    <n v="1940"/>
    <n v="1940"/>
    <n v="2390"/>
    <n v="2390"/>
    <n v="1890"/>
    <n v="1890"/>
    <n v="1890"/>
    <n v="2040"/>
    <n v="2040"/>
    <n v="2040"/>
    <n v="2040"/>
    <n v="1940"/>
    <n v="1940"/>
    <n v="1940"/>
    <m/>
    <m/>
    <m/>
    <m/>
    <m/>
    <n v="1900"/>
    <m/>
    <m/>
    <m/>
    <m/>
    <m/>
    <m/>
    <x v="12"/>
    <x v="8"/>
    <x v="65"/>
    <n v="1.9"/>
    <n v="11.21"/>
    <n v="0.14176320000000001"/>
    <n v="1.4573000000000003"/>
    <n v="0"/>
    <n v="9.1999999999999998E-2"/>
    <x v="12"/>
    <x v="123"/>
    <n v="105"/>
    <n v="30"/>
    <x v="4"/>
    <n v="0.48924608722932739"/>
    <x v="99"/>
    <x v="123"/>
  </r>
  <r>
    <n v="19539"/>
    <x v="6"/>
    <x v="0"/>
    <x v="0"/>
    <s v="DP"/>
    <x v="4"/>
    <s v="MALTADECOR 689"/>
    <s v="gray"/>
    <m/>
    <m/>
    <m/>
    <s v="EU"/>
    <x v="3"/>
    <x v="3"/>
    <m/>
    <m/>
    <m/>
    <x v="0"/>
    <m/>
    <m/>
    <m/>
    <s v="ton"/>
    <x v="13"/>
    <x v="0"/>
    <m/>
    <m/>
    <m/>
    <m/>
    <m/>
    <m/>
    <m/>
    <m/>
    <n v="1890"/>
    <n v="1890"/>
    <n v="1890"/>
    <n v="1890"/>
    <n v="1890"/>
    <n v="1890"/>
    <n v="1890"/>
    <n v="1890"/>
    <n v="1890"/>
    <n v="1890"/>
    <n v="1650"/>
    <n v="1850"/>
    <n v="1850"/>
    <n v="1850"/>
    <n v="1850"/>
    <n v="1850"/>
    <n v="2250"/>
    <n v="2250"/>
    <n v="1750"/>
    <n v="1750"/>
    <n v="1750"/>
    <n v="1950"/>
    <n v="1950"/>
    <n v="1950"/>
    <n v="1950"/>
    <n v="1900"/>
    <n v="1900"/>
    <n v="1900"/>
    <m/>
    <m/>
    <m/>
    <n v="1910"/>
    <n v="1910"/>
    <n v="1910"/>
    <m/>
    <m/>
    <m/>
    <m/>
    <m/>
    <m/>
    <x v="79"/>
    <x v="8"/>
    <x v="66"/>
    <n v="1.91"/>
    <n v="11.269"/>
    <n v="0.14176320000000001"/>
    <n v="1.4649700000000001"/>
    <n v="0"/>
    <n v="9.1999999999999998E-2"/>
    <x v="95"/>
    <x v="124"/>
    <n v="105"/>
    <n v="30"/>
    <x v="4"/>
    <n v="0.49177440882034062"/>
    <x v="100"/>
    <x v="124"/>
  </r>
  <r>
    <n v="19539"/>
    <x v="6"/>
    <x v="0"/>
    <x v="0"/>
    <s v="DP"/>
    <x v="4"/>
    <s v="MALTADECOR 689"/>
    <s v="gray"/>
    <m/>
    <m/>
    <m/>
    <s v="EU"/>
    <x v="3"/>
    <x v="3"/>
    <m/>
    <m/>
    <m/>
    <x v="0"/>
    <m/>
    <m/>
    <m/>
    <s v="ton"/>
    <x v="0"/>
    <x v="0"/>
    <m/>
    <m/>
    <m/>
    <m/>
    <m/>
    <m/>
    <m/>
    <m/>
    <m/>
    <m/>
    <m/>
    <m/>
    <m/>
    <m/>
    <m/>
    <m/>
    <m/>
    <m/>
    <m/>
    <n v="2050"/>
    <n v="2050"/>
    <n v="2050"/>
    <n v="2050"/>
    <n v="2050"/>
    <n v="2270"/>
    <n v="2270"/>
    <n v="1770"/>
    <n v="1770"/>
    <n v="1770"/>
    <n v="1970"/>
    <n v="1970"/>
    <n v="1970"/>
    <n v="1970"/>
    <n v="1920"/>
    <n v="1920"/>
    <n v="1920"/>
    <m/>
    <m/>
    <m/>
    <n v="1930"/>
    <n v="1930"/>
    <n v="1930"/>
    <m/>
    <m/>
    <m/>
    <m/>
    <m/>
    <m/>
    <x v="80"/>
    <x v="8"/>
    <x v="67"/>
    <n v="1.93"/>
    <n v="11.387"/>
    <n v="0.14176320000000001"/>
    <n v="1.48031"/>
    <n v="0"/>
    <n v="9.1999999999999998E-2"/>
    <x v="96"/>
    <x v="125"/>
    <n v="105"/>
    <n v="30"/>
    <x v="4"/>
    <n v="0.49683105200236533"/>
    <x v="101"/>
    <x v="125"/>
  </r>
  <r>
    <n v="19539"/>
    <x v="6"/>
    <x v="0"/>
    <x v="0"/>
    <s v="DP"/>
    <x v="4"/>
    <s v="MALTADECOR 689"/>
    <s v="gray"/>
    <m/>
    <m/>
    <m/>
    <s v="EU"/>
    <x v="3"/>
    <x v="3"/>
    <m/>
    <m/>
    <m/>
    <x v="0"/>
    <m/>
    <m/>
    <m/>
    <s v="ton"/>
    <x v="14"/>
    <x v="0"/>
    <m/>
    <m/>
    <m/>
    <m/>
    <m/>
    <m/>
    <m/>
    <m/>
    <m/>
    <m/>
    <m/>
    <m/>
    <m/>
    <m/>
    <m/>
    <m/>
    <m/>
    <m/>
    <m/>
    <n v="2550"/>
    <n v="2550"/>
    <n v="2550"/>
    <n v="2550"/>
    <n v="2550"/>
    <n v="2320"/>
    <n v="2320"/>
    <n v="1820"/>
    <n v="1820"/>
    <n v="1820"/>
    <n v="2020"/>
    <n v="2020"/>
    <n v="2020"/>
    <n v="2020"/>
    <n v="1970"/>
    <n v="1970"/>
    <n v="1970"/>
    <m/>
    <m/>
    <m/>
    <n v="1960"/>
    <n v="1960"/>
    <n v="1960"/>
    <m/>
    <m/>
    <m/>
    <m/>
    <m/>
    <m/>
    <x v="72"/>
    <x v="8"/>
    <x v="68"/>
    <n v="1.96"/>
    <n v="11.564"/>
    <n v="0.14176320000000001"/>
    <n v="1.50332"/>
    <n v="0"/>
    <n v="9.1999999999999998E-2"/>
    <x v="84"/>
    <x v="126"/>
    <n v="105"/>
    <n v="30"/>
    <x v="4"/>
    <n v="0.50441601677540504"/>
    <x v="86"/>
    <x v="126"/>
  </r>
  <r>
    <n v="19540"/>
    <x v="5"/>
    <x v="0"/>
    <x v="0"/>
    <s v="DP"/>
    <x v="4"/>
    <s v="MALTADECOR 0483"/>
    <s v="gray"/>
    <m/>
    <m/>
    <m/>
    <s v="EU"/>
    <x v="3"/>
    <x v="3"/>
    <m/>
    <m/>
    <m/>
    <x v="0"/>
    <m/>
    <m/>
    <m/>
    <s v="ton"/>
    <x v="13"/>
    <x v="0"/>
    <m/>
    <m/>
    <m/>
    <m/>
    <m/>
    <m/>
    <m/>
    <m/>
    <n v="2060"/>
    <n v="2060"/>
    <n v="2060"/>
    <n v="2060"/>
    <n v="2060"/>
    <n v="2060"/>
    <n v="2060"/>
    <n v="2060"/>
    <n v="2060"/>
    <n v="2060"/>
    <n v="1650"/>
    <n v="1960"/>
    <n v="1960"/>
    <n v="1960"/>
    <n v="1960"/>
    <n v="1960"/>
    <n v="2360"/>
    <n v="2360"/>
    <n v="1860"/>
    <n v="1860"/>
    <n v="1860"/>
    <n v="2060"/>
    <n v="2060"/>
    <n v="2060"/>
    <n v="2060"/>
    <n v="2010"/>
    <n v="2010"/>
    <n v="2010"/>
    <m/>
    <m/>
    <m/>
    <n v="2020"/>
    <n v="2020"/>
    <n v="2020"/>
    <m/>
    <m/>
    <m/>
    <m/>
    <m/>
    <m/>
    <x v="45"/>
    <x v="8"/>
    <x v="69"/>
    <n v="2.02"/>
    <n v="11.918000000000001"/>
    <n v="0.14176320000000001"/>
    <n v="1.5493400000000002"/>
    <n v="0"/>
    <n v="9.1999999999999998E-2"/>
    <x v="97"/>
    <x v="127"/>
    <n v="105"/>
    <n v="30"/>
    <x v="4"/>
    <n v="0.51958594632148092"/>
    <x v="102"/>
    <x v="127"/>
  </r>
  <r>
    <n v="19540"/>
    <x v="5"/>
    <x v="0"/>
    <x v="0"/>
    <s v="DP"/>
    <x v="4"/>
    <s v="MALTADECOR 0483"/>
    <s v="gray"/>
    <m/>
    <m/>
    <m/>
    <s v="EU"/>
    <x v="3"/>
    <x v="3"/>
    <m/>
    <m/>
    <m/>
    <x v="0"/>
    <m/>
    <m/>
    <m/>
    <s v="ton"/>
    <x v="0"/>
    <x v="0"/>
    <m/>
    <m/>
    <m/>
    <m/>
    <m/>
    <m/>
    <m/>
    <m/>
    <m/>
    <m/>
    <m/>
    <m/>
    <m/>
    <m/>
    <m/>
    <m/>
    <m/>
    <m/>
    <m/>
    <n v="2160"/>
    <n v="2160"/>
    <n v="2160"/>
    <n v="2160"/>
    <n v="2160"/>
    <n v="2380"/>
    <n v="2380"/>
    <n v="1880"/>
    <n v="1880"/>
    <n v="1880"/>
    <n v="2080"/>
    <n v="2080"/>
    <n v="2080"/>
    <n v="2080"/>
    <n v="2030"/>
    <n v="2030"/>
    <n v="2030"/>
    <m/>
    <m/>
    <m/>
    <n v="2040"/>
    <n v="2040"/>
    <n v="2040"/>
    <m/>
    <m/>
    <m/>
    <m/>
    <m/>
    <m/>
    <x v="46"/>
    <x v="8"/>
    <x v="70"/>
    <n v="2.04"/>
    <n v="12.036000000000001"/>
    <n v="0.14176320000000001"/>
    <n v="1.5646800000000003"/>
    <n v="0"/>
    <n v="9.1999999999999998E-2"/>
    <x v="90"/>
    <x v="128"/>
    <n v="105"/>
    <n v="30"/>
    <x v="4"/>
    <n v="0.52464258950350562"/>
    <x v="92"/>
    <x v="128"/>
  </r>
  <r>
    <n v="19540"/>
    <x v="5"/>
    <x v="0"/>
    <x v="0"/>
    <s v="DP"/>
    <x v="4"/>
    <s v="MALTADECOR 0483"/>
    <s v="gray"/>
    <m/>
    <m/>
    <m/>
    <s v="EU"/>
    <x v="3"/>
    <x v="3"/>
    <m/>
    <m/>
    <m/>
    <x v="0"/>
    <m/>
    <m/>
    <m/>
    <s v="ton"/>
    <x v="14"/>
    <x v="0"/>
    <m/>
    <m/>
    <m/>
    <m/>
    <m/>
    <m/>
    <m/>
    <m/>
    <m/>
    <m/>
    <m/>
    <m/>
    <m/>
    <m/>
    <m/>
    <m/>
    <m/>
    <m/>
    <m/>
    <n v="2660"/>
    <n v="2660"/>
    <n v="2660"/>
    <n v="2660"/>
    <n v="2660"/>
    <n v="2430"/>
    <n v="2430"/>
    <n v="1930"/>
    <n v="1930"/>
    <n v="1930"/>
    <n v="2130"/>
    <n v="2130"/>
    <n v="2130"/>
    <n v="2130"/>
    <n v="2080"/>
    <n v="2080"/>
    <n v="2080"/>
    <m/>
    <m/>
    <m/>
    <n v="2070"/>
    <n v="2070"/>
    <n v="2070"/>
    <m/>
    <m/>
    <m/>
    <m/>
    <m/>
    <m/>
    <x v="47"/>
    <x v="8"/>
    <x v="71"/>
    <n v="2.0699999999999998"/>
    <n v="12.212999999999999"/>
    <n v="0.14176320000000001"/>
    <n v="1.58769"/>
    <n v="0"/>
    <n v="9.1999999999999998E-2"/>
    <x v="98"/>
    <x v="129"/>
    <n v="105"/>
    <n v="30"/>
    <x v="4"/>
    <n v="0.53222755427654356"/>
    <x v="103"/>
    <x v="129"/>
  </r>
  <r>
    <n v="17425"/>
    <x v="22"/>
    <x v="0"/>
    <x v="8"/>
    <s v="DP"/>
    <x v="5"/>
    <s v="MUNKSJO 1410 ECO"/>
    <s v="brown"/>
    <n v="1410"/>
    <m/>
    <m/>
    <s v="EU"/>
    <x v="4"/>
    <x v="0"/>
    <m/>
    <m/>
    <m/>
    <x v="0"/>
    <m/>
    <m/>
    <m/>
    <s v="ton"/>
    <x v="1"/>
    <x v="0"/>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m/>
    <m/>
    <m/>
    <m/>
    <m/>
    <m/>
    <x v="81"/>
    <x v="8"/>
    <x v="72"/>
    <n v="1.95"/>
    <n v="11.505000000000001"/>
    <n v="0.14176320000000001"/>
    <n v="1.4956500000000001"/>
    <n v="0"/>
    <n v="9.1999999999999998E-2"/>
    <x v="99"/>
    <x v="130"/>
    <n v="105"/>
    <n v="60"/>
    <x v="2"/>
    <n v="0.29888817456590289"/>
    <x v="104"/>
    <x v="130"/>
  </r>
  <r>
    <n v="17425"/>
    <x v="22"/>
    <x v="0"/>
    <x v="8"/>
    <s v="DP"/>
    <x v="5"/>
    <s v="MUNKSJO 1410 ECO"/>
    <s v="brown"/>
    <n v="141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2"/>
    <x v="8"/>
    <x v="73"/>
    <n v="2"/>
    <n v="11.8"/>
    <n v="0.14176320000000001"/>
    <n v="1.5340000000000003"/>
    <n v="0"/>
    <n v="9.1999999999999998E-2"/>
    <x v="100"/>
    <x v="131"/>
    <n v="105"/>
    <n v="60"/>
    <x v="2"/>
    <n v="0.30641660604872456"/>
    <x v="105"/>
    <x v="131"/>
  </r>
  <r>
    <n v="17425"/>
    <x v="22"/>
    <x v="0"/>
    <x v="8"/>
    <s v="DP"/>
    <x v="5"/>
    <s v="MUNKSJO 1410 ECO"/>
    <s v="brown"/>
    <n v="141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8"/>
    <x v="74"/>
    <n v="2.15"/>
    <n v="12.685"/>
    <n v="0.14176320000000001"/>
    <n v="1.6490500000000001"/>
    <n v="0"/>
    <n v="9.1999999999999998E-2"/>
    <x v="101"/>
    <x v="132"/>
    <n v="105"/>
    <n v="60"/>
    <x v="2"/>
    <n v="0.3290019004971878"/>
    <x v="106"/>
    <x v="132"/>
  </r>
  <r>
    <n v="17418"/>
    <x v="23"/>
    <x v="0"/>
    <x v="0"/>
    <s v="DP"/>
    <x v="5"/>
    <s v="MUNKSJO 1430 ECO"/>
    <s v="brown"/>
    <n v="1430"/>
    <m/>
    <m/>
    <s v="EU"/>
    <x v="4"/>
    <x v="0"/>
    <m/>
    <m/>
    <m/>
    <x v="0"/>
    <m/>
    <m/>
    <m/>
    <s v="ton"/>
    <x v="1"/>
    <x v="0"/>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m/>
    <m/>
    <m/>
    <m/>
    <m/>
    <m/>
    <x v="81"/>
    <x v="8"/>
    <x v="72"/>
    <n v="1.95"/>
    <n v="11.505000000000001"/>
    <n v="0.14176320000000001"/>
    <n v="1.4956500000000001"/>
    <n v="0"/>
    <n v="9.1999999999999998E-2"/>
    <x v="99"/>
    <x v="130"/>
    <n v="105"/>
    <n v="60"/>
    <x v="2"/>
    <n v="0.29888817456590289"/>
    <x v="104"/>
    <x v="130"/>
  </r>
  <r>
    <n v="17418"/>
    <x v="23"/>
    <x v="0"/>
    <x v="0"/>
    <s v="DP"/>
    <x v="5"/>
    <s v="MUNKSJO 1430 ECO"/>
    <s v="brown"/>
    <n v="143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82"/>
    <x v="8"/>
    <x v="73"/>
    <n v="2"/>
    <n v="11.8"/>
    <n v="0.14176320000000001"/>
    <n v="1.5340000000000003"/>
    <n v="0"/>
    <n v="9.1999999999999998E-2"/>
    <x v="100"/>
    <x v="131"/>
    <n v="105"/>
    <n v="60"/>
    <x v="2"/>
    <n v="0.30641660604872456"/>
    <x v="105"/>
    <x v="131"/>
  </r>
  <r>
    <n v="17418"/>
    <x v="23"/>
    <x v="0"/>
    <x v="0"/>
    <s v="DP"/>
    <x v="5"/>
    <s v="MUNKSJO 1430 ECO"/>
    <s v="brown"/>
    <n v="143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44"/>
    <x v="8"/>
    <x v="74"/>
    <n v="2.15"/>
    <n v="12.685"/>
    <n v="0.14176320000000001"/>
    <n v="1.6490500000000001"/>
    <n v="0"/>
    <n v="9.1999999999999998E-2"/>
    <x v="101"/>
    <x v="132"/>
    <n v="105"/>
    <n v="60"/>
    <x v="2"/>
    <n v="0.3290019004971878"/>
    <x v="106"/>
    <x v="132"/>
  </r>
  <r>
    <n v="17418"/>
    <x v="23"/>
    <x v="0"/>
    <x v="0"/>
    <s v="DP"/>
    <x v="5"/>
    <s v="MUNKSJO 1430 ECO"/>
    <s v="brown"/>
    <n v="1430"/>
    <m/>
    <m/>
    <s v="EU"/>
    <x v="4"/>
    <x v="0"/>
    <m/>
    <m/>
    <m/>
    <x v="0"/>
    <m/>
    <m/>
    <m/>
    <s v="ton"/>
    <x v="15"/>
    <x v="0"/>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m/>
    <m/>
    <m/>
    <m/>
    <m/>
    <m/>
    <x v="83"/>
    <x v="8"/>
    <x v="75"/>
    <n v="2.57"/>
    <n v="15.163"/>
    <n v="0.14176320000000001"/>
    <n v="1.97119"/>
    <n v="0"/>
    <n v="9.1999999999999998E-2"/>
    <x v="102"/>
    <x v="133"/>
    <n v="105"/>
    <n v="60"/>
    <x v="2"/>
    <n v="0.39224072495288453"/>
    <x v="107"/>
    <x v="133"/>
  </r>
  <r>
    <n v="17418"/>
    <x v="23"/>
    <x v="0"/>
    <x v="0"/>
    <s v="DP"/>
    <x v="5"/>
    <s v="MUNKSJO 1430 ECO"/>
    <s v="brown"/>
    <n v="1430"/>
    <m/>
    <m/>
    <s v="EU"/>
    <x v="4"/>
    <x v="0"/>
    <m/>
    <m/>
    <m/>
    <x v="0"/>
    <m/>
    <m/>
    <m/>
    <s v="ton"/>
    <x v="16"/>
    <x v="0"/>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m/>
    <m/>
    <m/>
    <m/>
    <m/>
    <m/>
    <x v="84"/>
    <x v="8"/>
    <x v="76"/>
    <n v="3.43"/>
    <n v="20.237000000000002"/>
    <n v="0.14176320000000001"/>
    <n v="2.6308100000000003"/>
    <n v="0"/>
    <n v="9.1999999999999998E-2"/>
    <x v="103"/>
    <x v="134"/>
    <n v="105"/>
    <n v="60"/>
    <x v="2"/>
    <n v="0.52172974645741022"/>
    <x v="108"/>
    <x v="134"/>
  </r>
  <r>
    <n v="17445"/>
    <x v="9"/>
    <x v="5"/>
    <x v="0"/>
    <s v="DP"/>
    <x v="6"/>
    <s v="MUNKSJO 0301"/>
    <s v="dark beige"/>
    <n v="301"/>
    <m/>
    <m/>
    <s v="EU"/>
    <x v="4"/>
    <x v="0"/>
    <m/>
    <m/>
    <m/>
    <x v="0"/>
    <m/>
    <m/>
    <m/>
    <s v="ton"/>
    <x v="0"/>
    <x v="0"/>
    <m/>
    <m/>
    <m/>
    <m/>
    <m/>
    <m/>
    <m/>
    <m/>
    <m/>
    <m/>
    <m/>
    <m/>
    <m/>
    <m/>
    <m/>
    <m/>
    <m/>
    <m/>
    <m/>
    <m/>
    <m/>
    <m/>
    <m/>
    <m/>
    <m/>
    <m/>
    <m/>
    <m/>
    <m/>
    <n v="2230"/>
    <n v="2230"/>
    <n v="2230"/>
    <n v="2230"/>
    <n v="2080"/>
    <n v="2080"/>
    <n v="2080"/>
    <m/>
    <m/>
    <m/>
    <n v="2160"/>
    <n v="2240"/>
    <n v="2240"/>
    <m/>
    <m/>
    <m/>
    <m/>
    <m/>
    <m/>
    <x v="54"/>
    <x v="8"/>
    <x v="77"/>
    <n v="2.2400000000000002"/>
    <n v="13.216000000000003"/>
    <n v="0.14176320000000001"/>
    <n v="1.7180800000000005"/>
    <n v="0"/>
    <n v="9.1999999999999998E-2"/>
    <x v="92"/>
    <x v="118"/>
    <n v="105"/>
    <n v="60"/>
    <x v="2"/>
    <n v="0.34255307716626682"/>
    <x v="109"/>
    <x v="135"/>
  </r>
  <r>
    <n v="17445"/>
    <x v="9"/>
    <x v="5"/>
    <x v="0"/>
    <s v="DP"/>
    <x v="6"/>
    <s v="MUNKSJO 0301"/>
    <s v="dark beige"/>
    <n v="301"/>
    <m/>
    <m/>
    <s v="EU"/>
    <x v="4"/>
    <x v="0"/>
    <m/>
    <m/>
    <m/>
    <x v="0"/>
    <m/>
    <m/>
    <m/>
    <s v="ton"/>
    <x v="1"/>
    <x v="0"/>
    <m/>
    <m/>
    <m/>
    <m/>
    <m/>
    <m/>
    <m/>
    <m/>
    <m/>
    <m/>
    <m/>
    <m/>
    <m/>
    <m/>
    <m/>
    <m/>
    <m/>
    <m/>
    <m/>
    <m/>
    <m/>
    <m/>
    <m/>
    <m/>
    <m/>
    <m/>
    <m/>
    <m/>
    <m/>
    <n v="2080"/>
    <n v="2080"/>
    <n v="2080"/>
    <n v="2080"/>
    <n v="1930"/>
    <n v="1930"/>
    <n v="1930"/>
    <m/>
    <m/>
    <m/>
    <n v="2010"/>
    <n v="2090"/>
    <n v="2090"/>
    <m/>
    <m/>
    <m/>
    <m/>
    <m/>
    <m/>
    <x v="85"/>
    <x v="8"/>
    <x v="78"/>
    <n v="2.09"/>
    <n v="12.331"/>
    <n v="0.14176320000000001"/>
    <n v="1.60303"/>
    <n v="0"/>
    <n v="9.1999999999999998E-2"/>
    <x v="104"/>
    <x v="135"/>
    <n v="105"/>
    <n v="60"/>
    <x v="2"/>
    <n v="0.3199677827178018"/>
    <x v="110"/>
    <x v="136"/>
  </r>
  <r>
    <n v="17445"/>
    <x v="9"/>
    <x v="5"/>
    <x v="0"/>
    <s v="DP"/>
    <x v="6"/>
    <s v="MUNKSJO 0301"/>
    <s v="dark beige"/>
    <n v="301"/>
    <m/>
    <m/>
    <s v="EU"/>
    <x v="4"/>
    <x v="0"/>
    <m/>
    <m/>
    <m/>
    <x v="0"/>
    <m/>
    <m/>
    <m/>
    <s v="ton"/>
    <x v="14"/>
    <x v="0"/>
    <m/>
    <m/>
    <m/>
    <m/>
    <m/>
    <m/>
    <m/>
    <m/>
    <m/>
    <m/>
    <m/>
    <m/>
    <m/>
    <m/>
    <m/>
    <m/>
    <m/>
    <m/>
    <m/>
    <m/>
    <m/>
    <m/>
    <m/>
    <m/>
    <m/>
    <m/>
    <m/>
    <m/>
    <m/>
    <n v="2380"/>
    <n v="2380"/>
    <n v="2380"/>
    <n v="2380"/>
    <n v="2230"/>
    <n v="2230"/>
    <n v="2230"/>
    <m/>
    <m/>
    <m/>
    <n v="2310"/>
    <n v="2390"/>
    <n v="2390"/>
    <m/>
    <m/>
    <m/>
    <m/>
    <m/>
    <m/>
    <x v="8"/>
    <x v="8"/>
    <x v="79"/>
    <n v="2.39"/>
    <n v="14.101000000000001"/>
    <n v="0.14176320000000001"/>
    <n v="1.8331300000000001"/>
    <n v="0"/>
    <n v="9.1999999999999998E-2"/>
    <x v="8"/>
    <x v="121"/>
    <n v="105"/>
    <n v="60"/>
    <x v="2"/>
    <n v="0.36513837161473006"/>
    <x v="111"/>
    <x v="137"/>
  </r>
  <r>
    <n v="10252"/>
    <x v="16"/>
    <x v="4"/>
    <x v="9"/>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6"/>
    <x v="8"/>
    <x v="80"/>
    <n v="2.78"/>
    <n v="16.402000000000001"/>
    <n v="0.14176320000000001"/>
    <n v="2.13226"/>
    <n v="0"/>
    <n v="9.1999999999999998E-2"/>
    <x v="105"/>
    <x v="136"/>
    <n v="105"/>
    <n v="60"/>
    <x v="2"/>
    <n v="0.42386013718073556"/>
    <x v="112"/>
    <x v="138"/>
  </r>
  <r>
    <n v="10252"/>
    <x v="16"/>
    <x v="4"/>
    <x v="9"/>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7"/>
    <x v="8"/>
    <x v="19"/>
    <n v="2.73"/>
    <n v="16.106999999999999"/>
    <n v="0.14176320000000001"/>
    <n v="2.0939100000000002"/>
    <n v="0"/>
    <n v="9.1999999999999998E-2"/>
    <x v="106"/>
    <x v="137"/>
    <n v="105"/>
    <n v="60"/>
    <x v="2"/>
    <n v="0.41633170569791389"/>
    <x v="113"/>
    <x v="139"/>
  </r>
  <r>
    <n v="10252"/>
    <x v="16"/>
    <x v="4"/>
    <x v="9"/>
    <s v="FF"/>
    <x v="7"/>
    <s v="MUNKSJO 9370-070 White PO"/>
    <s v="white"/>
    <m/>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0"/>
    <x v="13"/>
    <x v="0"/>
    <n v="2.91"/>
    <n v="17.169"/>
    <n v="0.14176320000000001"/>
    <n v="2.23197"/>
    <n v="0"/>
    <n v="9.1999999999999998E-2"/>
    <x v="81"/>
    <x v="106"/>
    <n v="105"/>
    <n v="60"/>
    <x v="2"/>
    <n v="0.44343405903606836"/>
    <x v="114"/>
    <x v="140"/>
  </r>
  <r>
    <n v="10253"/>
    <x v="16"/>
    <x v="4"/>
    <x v="9"/>
    <s v="FF"/>
    <x v="7"/>
    <s v="MUNKSJO 9370-070 New White PO"/>
    <s v="white"/>
    <s v="9370-070"/>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6"/>
    <x v="8"/>
    <x v="80"/>
    <n v="2.78"/>
    <n v="16.402000000000001"/>
    <n v="0.14176320000000001"/>
    <n v="2.13226"/>
    <n v="0"/>
    <n v="9.1999999999999998E-2"/>
    <x v="105"/>
    <x v="136"/>
    <n v="105"/>
    <n v="60"/>
    <x v="2"/>
    <n v="0.42386013718073556"/>
    <x v="112"/>
    <x v="138"/>
  </r>
  <r>
    <n v="10253"/>
    <x v="16"/>
    <x v="4"/>
    <x v="9"/>
    <s v="FF"/>
    <x v="7"/>
    <s v="MUNKSJO 9370-070 New White PO"/>
    <s v="white"/>
    <s v="9370-070"/>
    <m/>
    <m/>
    <s v="EU"/>
    <x v="4"/>
    <x v="0"/>
    <m/>
    <m/>
    <m/>
    <x v="0"/>
    <m/>
    <m/>
    <m/>
    <s v="ton"/>
    <x v="18"/>
    <x v="0"/>
    <m/>
    <m/>
    <m/>
    <m/>
    <m/>
    <m/>
    <m/>
    <m/>
    <m/>
    <m/>
    <m/>
    <m/>
    <m/>
    <m/>
    <m/>
    <m/>
    <m/>
    <m/>
    <m/>
    <m/>
    <m/>
    <m/>
    <m/>
    <m/>
    <n v="2760"/>
    <n v="2760"/>
    <n v="2760"/>
    <n v="2800"/>
    <n v="2800"/>
    <n v="2800"/>
    <n v="2760"/>
    <n v="2760"/>
    <n v="2760"/>
    <n v="2610"/>
    <n v="2610"/>
    <n v="2610"/>
    <m/>
    <m/>
    <m/>
    <n v="2630"/>
    <n v="2730"/>
    <n v="2730"/>
    <m/>
    <m/>
    <m/>
    <m/>
    <m/>
    <m/>
    <x v="87"/>
    <x v="8"/>
    <x v="19"/>
    <n v="2.73"/>
    <n v="16.106999999999999"/>
    <n v="0.14176320000000001"/>
    <n v="2.0939100000000002"/>
    <n v="0"/>
    <n v="9.1999999999999998E-2"/>
    <x v="106"/>
    <x v="137"/>
    <n v="105"/>
    <n v="60"/>
    <x v="2"/>
    <n v="0.41633170569791389"/>
    <x v="113"/>
    <x v="139"/>
  </r>
  <r>
    <n v="10253"/>
    <x v="16"/>
    <x v="4"/>
    <x v="9"/>
    <s v="FF"/>
    <x v="7"/>
    <s v="MUNKSJO 9370-070 New White PO"/>
    <s v="white"/>
    <s v="9370-070"/>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70"/>
    <x v="13"/>
    <x v="0"/>
    <n v="2.91"/>
    <n v="17.169"/>
    <n v="0.14176320000000001"/>
    <n v="2.23197"/>
    <n v="0"/>
    <n v="9.1999999999999998E-2"/>
    <x v="81"/>
    <x v="106"/>
    <n v="105"/>
    <n v="60"/>
    <x v="2"/>
    <n v="0.44343405903606836"/>
    <x v="114"/>
    <x v="140"/>
  </r>
  <r>
    <n v="10249"/>
    <x v="16"/>
    <x v="4"/>
    <x v="9"/>
    <s v="FF"/>
    <x v="7"/>
    <s v="MUNKSJO 9370-070 White PN"/>
    <s v="white"/>
    <m/>
    <m/>
    <m/>
    <s v="EU"/>
    <x v="4"/>
    <x v="0"/>
    <m/>
    <m/>
    <m/>
    <x v="0"/>
    <m/>
    <m/>
    <m/>
    <s v="ton"/>
    <x v="0"/>
    <x v="0"/>
    <n v="3550"/>
    <n v="3550"/>
    <n v="3550"/>
    <m/>
    <m/>
    <m/>
    <m/>
    <m/>
    <m/>
    <m/>
    <m/>
    <m/>
    <m/>
    <m/>
    <m/>
    <m/>
    <m/>
    <m/>
    <m/>
    <m/>
    <m/>
    <m/>
    <m/>
    <m/>
    <m/>
    <m/>
    <m/>
    <m/>
    <m/>
    <m/>
    <m/>
    <m/>
    <m/>
    <m/>
    <m/>
    <m/>
    <m/>
    <m/>
    <m/>
    <m/>
    <m/>
    <m/>
    <m/>
    <m/>
    <m/>
    <m/>
    <m/>
    <m/>
    <x v="88"/>
    <x v="14"/>
    <x v="0"/>
    <n v="3.55"/>
    <n v="20.945"/>
    <n v="0.14176320000000001"/>
    <n v="2.7228500000000002"/>
    <n v="0"/>
    <n v="9.1999999999999998E-2"/>
    <x v="107"/>
    <x v="138"/>
    <n v="105"/>
    <n v="60"/>
    <x v="2"/>
    <n v="0.53979798201617868"/>
    <x v="115"/>
    <x v="141"/>
  </r>
  <r>
    <n v="10249"/>
    <x v="16"/>
    <x v="4"/>
    <x v="9"/>
    <s v="FF"/>
    <x v="7"/>
    <s v="MUNKSJO 9370-070 White PN"/>
    <s v="white"/>
    <m/>
    <m/>
    <m/>
    <s v="EU"/>
    <x v="4"/>
    <x v="0"/>
    <m/>
    <m/>
    <m/>
    <x v="0"/>
    <m/>
    <m/>
    <m/>
    <s v="ton"/>
    <x v="1"/>
    <x v="0"/>
    <n v="3400"/>
    <n v="3400"/>
    <n v="3400"/>
    <m/>
    <m/>
    <m/>
    <m/>
    <m/>
    <m/>
    <m/>
    <m/>
    <m/>
    <m/>
    <m/>
    <m/>
    <m/>
    <m/>
    <m/>
    <m/>
    <m/>
    <m/>
    <m/>
    <m/>
    <m/>
    <m/>
    <m/>
    <m/>
    <m/>
    <m/>
    <m/>
    <m/>
    <m/>
    <m/>
    <m/>
    <m/>
    <m/>
    <m/>
    <m/>
    <m/>
    <m/>
    <m/>
    <m/>
    <m/>
    <m/>
    <m/>
    <m/>
    <m/>
    <m/>
    <x v="89"/>
    <x v="14"/>
    <x v="0"/>
    <n v="3.4"/>
    <n v="20.060000000000002"/>
    <n v="0.14176320000000001"/>
    <n v="2.6078000000000006"/>
    <n v="0"/>
    <n v="9.1999999999999998E-2"/>
    <x v="108"/>
    <x v="139"/>
    <n v="105"/>
    <n v="60"/>
    <x v="2"/>
    <n v="0.51721268756771721"/>
    <x v="116"/>
    <x v="142"/>
  </r>
  <r>
    <n v="10249"/>
    <x v="16"/>
    <x v="4"/>
    <x v="9"/>
    <s v="FF"/>
    <x v="7"/>
    <s v="MUNKSJO 9370-070 White PN"/>
    <s v="white"/>
    <m/>
    <m/>
    <m/>
    <s v="EU"/>
    <x v="4"/>
    <x v="0"/>
    <m/>
    <m/>
    <m/>
    <x v="0"/>
    <m/>
    <m/>
    <m/>
    <s v="ton"/>
    <x v="5"/>
    <x v="0"/>
    <n v="3350"/>
    <n v="3350"/>
    <n v="3350"/>
    <m/>
    <m/>
    <m/>
    <m/>
    <m/>
    <m/>
    <m/>
    <m/>
    <m/>
    <m/>
    <m/>
    <m/>
    <m/>
    <m/>
    <m/>
    <m/>
    <m/>
    <m/>
    <m/>
    <m/>
    <m/>
    <m/>
    <m/>
    <m/>
    <m/>
    <m/>
    <m/>
    <m/>
    <m/>
    <m/>
    <m/>
    <m/>
    <m/>
    <m/>
    <m/>
    <m/>
    <m/>
    <m/>
    <m/>
    <m/>
    <m/>
    <m/>
    <m/>
    <m/>
    <m/>
    <x v="90"/>
    <x v="14"/>
    <x v="0"/>
    <n v="3.35"/>
    <n v="19.765000000000001"/>
    <n v="0.14176320000000001"/>
    <n v="2.5694500000000002"/>
    <n v="0"/>
    <n v="9.1999999999999998E-2"/>
    <x v="109"/>
    <x v="140"/>
    <n v="105"/>
    <n v="60"/>
    <x v="2"/>
    <n v="0.50968425608489554"/>
    <x v="117"/>
    <x v="143"/>
  </r>
  <r>
    <n v="10249"/>
    <x v="16"/>
    <x v="4"/>
    <x v="9"/>
    <s v="FF"/>
    <x v="7"/>
    <s v="MUNKSJO 9370-070 White PN"/>
    <s v="white"/>
    <m/>
    <m/>
    <m/>
    <s v="EU"/>
    <x v="4"/>
    <x v="0"/>
    <m/>
    <m/>
    <m/>
    <x v="0"/>
    <m/>
    <m/>
    <m/>
    <s v="ton"/>
    <x v="17"/>
    <x v="0"/>
    <m/>
    <m/>
    <m/>
    <n v="200"/>
    <n v="200"/>
    <n v="200"/>
    <n v="200"/>
    <n v="200"/>
    <n v="200"/>
    <n v="2860"/>
    <n v="2860"/>
    <n v="2860"/>
    <n v="2860"/>
    <n v="2860"/>
    <n v="2860"/>
    <n v="2980"/>
    <n v="2980"/>
    <n v="2980"/>
    <n v="3160"/>
    <n v="3160"/>
    <n v="3160"/>
    <n v="3160"/>
    <n v="3160"/>
    <n v="3160"/>
    <m/>
    <m/>
    <m/>
    <m/>
    <m/>
    <m/>
    <n v="3010"/>
    <n v="3010"/>
    <n v="3010"/>
    <n v="2860"/>
    <n v="2860"/>
    <n v="2860"/>
    <m/>
    <m/>
    <m/>
    <n v="2880"/>
    <n v="2980"/>
    <n v="2980"/>
    <m/>
    <m/>
    <m/>
    <m/>
    <m/>
    <m/>
    <x v="91"/>
    <x v="8"/>
    <x v="81"/>
    <n v="2.98"/>
    <n v="17.582000000000001"/>
    <n v="0.14176320000000001"/>
    <n v="2.28566"/>
    <n v="0"/>
    <n v="9.1999999999999998E-2"/>
    <x v="110"/>
    <x v="141"/>
    <n v="105"/>
    <n v="60"/>
    <x v="2"/>
    <n v="0.45397386311201871"/>
    <x v="118"/>
    <x v="144"/>
  </r>
  <r>
    <n v="10249"/>
    <x v="16"/>
    <x v="4"/>
    <x v="9"/>
    <s v="FF"/>
    <x v="7"/>
    <s v="MUNKSJO 9370-070 White PN"/>
    <s v="white"/>
    <m/>
    <m/>
    <m/>
    <s v="EU"/>
    <x v="4"/>
    <x v="0"/>
    <m/>
    <m/>
    <m/>
    <x v="0"/>
    <m/>
    <m/>
    <m/>
    <s v="ton"/>
    <x v="19"/>
    <x v="0"/>
    <m/>
    <m/>
    <m/>
    <n v="200"/>
    <n v="200"/>
    <n v="200"/>
    <n v="200"/>
    <n v="200"/>
    <n v="200"/>
    <n v="2810"/>
    <n v="2810"/>
    <n v="2810"/>
    <n v="2810"/>
    <n v="2810"/>
    <n v="2810"/>
    <n v="2930"/>
    <n v="2930"/>
    <n v="2930"/>
    <n v="3110"/>
    <n v="3110"/>
    <n v="3110"/>
    <n v="3110"/>
    <n v="3110"/>
    <n v="3110"/>
    <m/>
    <m/>
    <m/>
    <m/>
    <m/>
    <m/>
    <m/>
    <m/>
    <m/>
    <m/>
    <m/>
    <m/>
    <m/>
    <m/>
    <m/>
    <m/>
    <m/>
    <m/>
    <m/>
    <m/>
    <m/>
    <m/>
    <m/>
    <m/>
    <x v="92"/>
    <x v="13"/>
    <x v="0"/>
    <n v="3.11"/>
    <n v="18.349"/>
    <n v="0.14176320000000001"/>
    <n v="2.38537"/>
    <n v="0"/>
    <n v="9.1999999999999998E-2"/>
    <x v="111"/>
    <x v="142"/>
    <n v="105"/>
    <n v="60"/>
    <x v="2"/>
    <n v="0.47354778496735506"/>
    <x v="119"/>
    <x v="145"/>
  </r>
  <r>
    <n v="10255"/>
    <x v="16"/>
    <x v="4"/>
    <x v="10"/>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6"/>
    <x v="8"/>
    <x v="80"/>
    <n v="2.78"/>
    <n v="16.402000000000001"/>
    <n v="0.14176320000000001"/>
    <n v="2.13226"/>
    <n v="0"/>
    <n v="9.1999999999999998E-2"/>
    <x v="105"/>
    <x v="136"/>
    <n v="105"/>
    <n v="60"/>
    <x v="2"/>
    <n v="0.42386013718073556"/>
    <x v="112"/>
    <x v="138"/>
  </r>
  <r>
    <n v="10255"/>
    <x v="16"/>
    <x v="4"/>
    <x v="10"/>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87"/>
    <x v="8"/>
    <x v="19"/>
    <n v="2.73"/>
    <n v="16.106999999999999"/>
    <n v="0.14176320000000001"/>
    <n v="2.0939100000000002"/>
    <n v="0"/>
    <n v="9.1999999999999998E-2"/>
    <x v="106"/>
    <x v="137"/>
    <n v="105"/>
    <n v="60"/>
    <x v="2"/>
    <n v="0.41633170569791389"/>
    <x v="113"/>
    <x v="139"/>
  </r>
  <r>
    <n v="10256"/>
    <x v="16"/>
    <x v="4"/>
    <x v="10"/>
    <s v="FF"/>
    <x v="7"/>
    <s v="MUNKSJO 9370-070 NEW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6"/>
    <x v="8"/>
    <x v="80"/>
    <n v="2.78"/>
    <n v="16.402000000000001"/>
    <n v="0.14176320000000001"/>
    <n v="2.13226"/>
    <n v="0"/>
    <n v="9.1999999999999998E-2"/>
    <x v="105"/>
    <x v="136"/>
    <n v="105"/>
    <n v="60"/>
    <x v="2"/>
    <n v="0.42386013718073556"/>
    <x v="112"/>
    <x v="138"/>
  </r>
  <r>
    <n v="10256"/>
    <x v="16"/>
    <x v="4"/>
    <x v="10"/>
    <s v="FF"/>
    <x v="7"/>
    <s v="MUNKSJO 9370-070 NEW White PO"/>
    <s v="white"/>
    <m/>
    <m/>
    <m/>
    <s v="EU"/>
    <x v="4"/>
    <x v="0"/>
    <m/>
    <m/>
    <m/>
    <x v="0"/>
    <m/>
    <m/>
    <m/>
    <s v="ton"/>
    <x v="18"/>
    <x v="0"/>
    <m/>
    <m/>
    <m/>
    <m/>
    <m/>
    <m/>
    <m/>
    <m/>
    <m/>
    <m/>
    <m/>
    <m/>
    <m/>
    <m/>
    <m/>
    <m/>
    <m/>
    <m/>
    <m/>
    <m/>
    <m/>
    <m/>
    <m/>
    <m/>
    <n v="2760"/>
    <n v="2760"/>
    <n v="2760"/>
    <n v="2800"/>
    <n v="2800"/>
    <n v="2800"/>
    <n v="2760"/>
    <n v="2760"/>
    <n v="2760"/>
    <n v="2610"/>
    <n v="2610"/>
    <n v="2610"/>
    <m/>
    <m/>
    <m/>
    <n v="2630"/>
    <n v="2730"/>
    <n v="2730"/>
    <m/>
    <m/>
    <m/>
    <m/>
    <m/>
    <m/>
    <x v="87"/>
    <x v="8"/>
    <x v="19"/>
    <n v="2.73"/>
    <n v="16.106999999999999"/>
    <n v="0.14176320000000001"/>
    <n v="2.0939100000000002"/>
    <n v="0"/>
    <n v="9.1999999999999998E-2"/>
    <x v="106"/>
    <x v="137"/>
    <n v="105"/>
    <n v="60"/>
    <x v="2"/>
    <n v="0.41633170569791389"/>
    <x v="113"/>
    <x v="139"/>
  </r>
  <r>
    <n v="10247"/>
    <x v="26"/>
    <x v="1"/>
    <x v="9"/>
    <s v="IP"/>
    <x v="7"/>
    <s v="MUNKSJO 31052 Beige-Brown (Brazil)"/>
    <s v="light brown"/>
    <m/>
    <m/>
    <m/>
    <s v="EU"/>
    <x v="4"/>
    <x v="0"/>
    <m/>
    <m/>
    <m/>
    <x v="0"/>
    <m/>
    <m/>
    <m/>
    <s v="ton"/>
    <x v="14"/>
    <x v="0"/>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m/>
    <m/>
    <m/>
    <m/>
    <m/>
    <m/>
    <x v="93"/>
    <x v="8"/>
    <x v="82"/>
    <n v="3.31"/>
    <n v="19.529"/>
    <n v="0.14176320000000001"/>
    <n v="2.53877"/>
    <n v="0"/>
    <n v="9.1999999999999998E-2"/>
    <x v="112"/>
    <x v="143"/>
    <n v="105"/>
    <n v="60"/>
    <x v="2"/>
    <n v="0.5036615108986382"/>
    <x v="120"/>
    <x v="146"/>
  </r>
  <r>
    <n v="10247"/>
    <x v="26"/>
    <x v="1"/>
    <x v="9"/>
    <s v="IP"/>
    <x v="7"/>
    <s v="MUNKSJO 31052 Beige-Brown (Brazil)"/>
    <s v="light brown"/>
    <m/>
    <m/>
    <m/>
    <s v="EU"/>
    <x v="4"/>
    <x v="0"/>
    <m/>
    <m/>
    <m/>
    <x v="0"/>
    <m/>
    <m/>
    <m/>
    <s v="ton"/>
    <x v="0"/>
    <x v="0"/>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m/>
    <m/>
    <m/>
    <m/>
    <m/>
    <m/>
    <x v="94"/>
    <x v="8"/>
    <x v="83"/>
    <n v="3.01"/>
    <n v="17.759"/>
    <n v="0.14176320000000001"/>
    <n v="2.3086700000000002"/>
    <n v="0"/>
    <n v="9.1999999999999998E-2"/>
    <x v="113"/>
    <x v="144"/>
    <n v="105"/>
    <n v="60"/>
    <x v="2"/>
    <n v="0.45849092200171171"/>
    <x v="121"/>
    <x v="147"/>
  </r>
  <r>
    <n v="10247"/>
    <x v="26"/>
    <x v="1"/>
    <x v="9"/>
    <s v="IP"/>
    <x v="7"/>
    <s v="MUNKSJO 31052 Beige-Brown (Brazil)"/>
    <s v="light brown"/>
    <m/>
    <m/>
    <m/>
    <s v="EU"/>
    <x v="4"/>
    <x v="0"/>
    <m/>
    <m/>
    <m/>
    <x v="0"/>
    <m/>
    <m/>
    <m/>
    <s v="ton"/>
    <x v="1"/>
    <x v="0"/>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m/>
    <m/>
    <m/>
    <m/>
    <m/>
    <m/>
    <x v="71"/>
    <x v="8"/>
    <x v="84"/>
    <n v="2.96"/>
    <n v="17.464000000000002"/>
    <n v="0.14176320000000001"/>
    <n v="2.2703200000000003"/>
    <n v="0"/>
    <n v="9.1999999999999998E-2"/>
    <x v="82"/>
    <x v="145"/>
    <n v="105"/>
    <n v="60"/>
    <x v="2"/>
    <n v="0.45096249051889004"/>
    <x v="122"/>
    <x v="148"/>
  </r>
  <r>
    <n v="17444"/>
    <x v="12"/>
    <x v="1"/>
    <x v="7"/>
    <s v="IP"/>
    <x v="7"/>
    <s v="MUNKSJO SUPER BLACK"/>
    <s v="black"/>
    <m/>
    <m/>
    <m/>
    <s v="EU"/>
    <x v="4"/>
    <x v="0"/>
    <m/>
    <m/>
    <m/>
    <x v="0"/>
    <m/>
    <m/>
    <m/>
    <s v="ton"/>
    <x v="0"/>
    <x v="0"/>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m/>
    <m/>
    <m/>
    <m/>
    <m/>
    <m/>
    <x v="2"/>
    <x v="8"/>
    <x v="85"/>
    <n v="2.9"/>
    <n v="17.11"/>
    <n v="0.14176320000000001"/>
    <n v="2.2242999999999999"/>
    <n v="0"/>
    <n v="9.1999999999999998E-2"/>
    <x v="2"/>
    <x v="2"/>
    <n v="105"/>
    <n v="60"/>
    <x v="2"/>
    <n v="0.44192837273950403"/>
    <x v="123"/>
    <x v="149"/>
  </r>
  <r>
    <m/>
    <x v="27"/>
    <x v="1"/>
    <x v="1"/>
    <s v="IP"/>
    <x v="8"/>
    <s v="DEKORPEL GREY 673"/>
    <s v="gray"/>
    <n v="673"/>
    <m/>
    <m/>
    <s v="BR"/>
    <x v="5"/>
    <x v="0"/>
    <m/>
    <n v="3"/>
    <s v="monthly"/>
    <x v="0"/>
    <n v="0.12"/>
    <s v="Sim"/>
    <n v="9.2499999999999999E-2"/>
    <s v="ton"/>
    <x v="14"/>
    <x v="2"/>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m/>
    <m/>
    <m/>
    <m/>
    <m/>
    <m/>
    <x v="95"/>
    <x v="8"/>
    <x v="86"/>
    <n v="26.06"/>
    <n v="26.06"/>
    <n v="0"/>
    <n v="0"/>
    <n v="0"/>
    <n v="0.2"/>
    <x v="114"/>
    <x v="146"/>
    <n v="45"/>
    <n v="0"/>
    <x v="2"/>
    <n v="0.59306017920768994"/>
    <x v="124"/>
    <x v="150"/>
  </r>
  <r>
    <m/>
    <x v="28"/>
    <x v="8"/>
    <x v="1"/>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6"/>
    <x v="8"/>
    <x v="87"/>
    <n v="20.331"/>
    <n v="20.331"/>
    <n v="0"/>
    <n v="0"/>
    <n v="0"/>
    <n v="0.2"/>
    <x v="115"/>
    <x v="147"/>
    <n v="45"/>
    <n v="0"/>
    <x v="2"/>
    <n v="0.46367549654657481"/>
    <x v="125"/>
    <x v="151"/>
  </r>
  <r>
    <m/>
    <x v="28"/>
    <x v="8"/>
    <x v="6"/>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6"/>
    <x v="8"/>
    <x v="87"/>
    <n v="20.331"/>
    <n v="20.331"/>
    <n v="0"/>
    <n v="0"/>
    <n v="0"/>
    <n v="0.2"/>
    <x v="115"/>
    <x v="147"/>
    <n v="45"/>
    <n v="0"/>
    <x v="2"/>
    <n v="0.46367549654657481"/>
    <x v="125"/>
    <x v="151"/>
  </r>
  <r>
    <n v="13844"/>
    <x v="18"/>
    <x v="0"/>
    <x v="13"/>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34"/>
    <x v="0"/>
    <x v="9"/>
    <x v="12"/>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8"/>
    <x v="8"/>
    <x v="89"/>
    <n v="17.581"/>
    <n v="17.581"/>
    <n v="0"/>
    <n v="0"/>
    <n v="0"/>
    <n v="0.2"/>
    <x v="117"/>
    <x v="149"/>
    <n v="45"/>
    <n v="0"/>
    <x v="2"/>
    <n v="0.40156904213602118"/>
    <x v="127"/>
    <x v="153"/>
  </r>
  <r>
    <n v="15434"/>
    <x v="0"/>
    <x v="9"/>
    <x v="0"/>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8"/>
    <x v="8"/>
    <x v="89"/>
    <n v="17.581"/>
    <n v="17.581"/>
    <n v="0"/>
    <n v="0"/>
    <n v="0"/>
    <n v="0.2"/>
    <x v="117"/>
    <x v="149"/>
    <n v="45"/>
    <n v="0"/>
    <x v="2"/>
    <n v="0.40156904213602118"/>
    <x v="127"/>
    <x v="153"/>
  </r>
  <r>
    <n v="15432"/>
    <x v="29"/>
    <x v="9"/>
    <x v="0"/>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99"/>
    <x v="8"/>
    <x v="90"/>
    <n v="18.111000000000001"/>
    <n v="18.111000000000001"/>
    <n v="0"/>
    <n v="0"/>
    <n v="0"/>
    <n v="0.2"/>
    <x v="118"/>
    <x v="150"/>
    <n v="45"/>
    <n v="0"/>
    <x v="2"/>
    <n v="0.41353864971332754"/>
    <x v="128"/>
    <x v="154"/>
  </r>
  <r>
    <n v="15440"/>
    <x v="18"/>
    <x v="0"/>
    <x v="5"/>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40"/>
    <x v="18"/>
    <x v="0"/>
    <x v="0"/>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40"/>
    <x v="18"/>
    <x v="0"/>
    <x v="11"/>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41"/>
    <x v="18"/>
    <x v="0"/>
    <x v="11"/>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42"/>
    <x v="29"/>
    <x v="9"/>
    <x v="5"/>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99"/>
    <x v="8"/>
    <x v="90"/>
    <n v="18.111000000000001"/>
    <n v="18.111000000000001"/>
    <n v="0"/>
    <n v="0"/>
    <n v="0"/>
    <n v="0.2"/>
    <x v="118"/>
    <x v="150"/>
    <n v="45"/>
    <n v="0"/>
    <x v="2"/>
    <n v="0.41353864971332754"/>
    <x v="128"/>
    <x v="154"/>
  </r>
  <r>
    <n v="15444"/>
    <x v="18"/>
    <x v="0"/>
    <x v="5"/>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7"/>
    <x v="8"/>
    <x v="88"/>
    <n v="19.183"/>
    <n v="19.183"/>
    <n v="0"/>
    <n v="0"/>
    <n v="0"/>
    <n v="0.2"/>
    <x v="116"/>
    <x v="148"/>
    <n v="45"/>
    <n v="0"/>
    <x v="2"/>
    <n v="0.43774887485082559"/>
    <x v="126"/>
    <x v="152"/>
  </r>
  <r>
    <n v="15448"/>
    <x v="0"/>
    <x v="9"/>
    <x v="5"/>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8"/>
    <x v="8"/>
    <x v="89"/>
    <n v="17.581"/>
    <n v="17.581"/>
    <n v="0"/>
    <n v="0"/>
    <n v="0"/>
    <n v="0.2"/>
    <x v="117"/>
    <x v="149"/>
    <n v="45"/>
    <n v="0"/>
    <x v="2"/>
    <n v="0.40156904213602118"/>
    <x v="127"/>
    <x v="153"/>
  </r>
  <r>
    <n v="15449"/>
    <x v="0"/>
    <x v="9"/>
    <x v="6"/>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8"/>
    <x v="8"/>
    <x v="89"/>
    <n v="17.581"/>
    <n v="17.581"/>
    <n v="0"/>
    <n v="0"/>
    <n v="0"/>
    <n v="0.2"/>
    <x v="117"/>
    <x v="149"/>
    <n v="45"/>
    <n v="0"/>
    <x v="2"/>
    <n v="0.40156904213602118"/>
    <x v="127"/>
    <x v="153"/>
  </r>
  <r>
    <n v="15450"/>
    <x v="0"/>
    <x v="9"/>
    <x v="14"/>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98"/>
    <x v="8"/>
    <x v="89"/>
    <n v="17.581"/>
    <n v="17.581"/>
    <n v="0"/>
    <n v="0"/>
    <n v="0"/>
    <n v="0.2"/>
    <x v="117"/>
    <x v="149"/>
    <n v="45"/>
    <n v="0"/>
    <x v="2"/>
    <n v="0.40156904213602118"/>
    <x v="127"/>
    <x v="153"/>
  </r>
  <r>
    <n v="16001"/>
    <x v="30"/>
    <x v="1"/>
    <x v="1"/>
    <s v="IP"/>
    <x v="8"/>
    <s v="DEKORPEL GREY 9300"/>
    <s v="gray"/>
    <n v="9300"/>
    <m/>
    <m/>
    <s v="BR"/>
    <x v="5"/>
    <x v="0"/>
    <m/>
    <n v="3"/>
    <s v="monthly"/>
    <x v="0"/>
    <n v="0.04"/>
    <s v="Sim"/>
    <n v="9.2499999999999999E-2"/>
    <s v="ton"/>
    <x v="20"/>
    <x v="2"/>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m/>
    <m/>
    <m/>
    <m/>
    <m/>
    <m/>
    <x v="100"/>
    <x v="8"/>
    <x v="91"/>
    <n v="22.609000000000002"/>
    <n v="22.609000000000002"/>
    <n v="0"/>
    <n v="0"/>
    <n v="0"/>
    <n v="0.2"/>
    <x v="119"/>
    <x v="151"/>
    <n v="45"/>
    <n v="0"/>
    <x v="2"/>
    <n v="0.51512222496375415"/>
    <x v="129"/>
    <x v="155"/>
  </r>
  <r>
    <n v="16004"/>
    <x v="31"/>
    <x v="1"/>
    <x v="1"/>
    <s v="IP"/>
    <x v="8"/>
    <s v="DEKORPEL BEIGE 9080"/>
    <s v="beige"/>
    <n v="9080"/>
    <m/>
    <m/>
    <s v="BR"/>
    <x v="5"/>
    <x v="0"/>
    <m/>
    <n v="3"/>
    <s v="monthly"/>
    <x v="0"/>
    <n v="0.12"/>
    <s v="Sim"/>
    <n v="9.2499999999999999E-2"/>
    <s v="ton"/>
    <x v="20"/>
    <x v="2"/>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m/>
    <m/>
    <m/>
    <m/>
    <m/>
    <m/>
    <x v="101"/>
    <x v="8"/>
    <x v="92"/>
    <n v="18.981000000000002"/>
    <n v="18.981000000000002"/>
    <n v="0"/>
    <n v="0"/>
    <n v="0"/>
    <n v="0.2"/>
    <x v="120"/>
    <x v="152"/>
    <n v="45"/>
    <n v="0"/>
    <x v="2"/>
    <n v="0.43318687347230522"/>
    <x v="130"/>
    <x v="156"/>
  </r>
  <r>
    <n v="16005"/>
    <x v="1"/>
    <x v="1"/>
    <x v="1"/>
    <s v="IP"/>
    <x v="8"/>
    <s v="DEKORPEL GREY 932"/>
    <s v="gray"/>
    <n v="932"/>
    <m/>
    <m/>
    <s v="BR"/>
    <x v="5"/>
    <x v="0"/>
    <m/>
    <n v="3"/>
    <s v="monthly"/>
    <x v="0"/>
    <n v="0.04"/>
    <s v="Sim"/>
    <n v="9.2499999999999999E-2"/>
    <s v="ton"/>
    <x v="14"/>
    <x v="2"/>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m/>
    <m/>
    <m/>
    <m/>
    <m/>
    <m/>
    <x v="102"/>
    <x v="8"/>
    <x v="93"/>
    <n v="24.798999999999999"/>
    <n v="24.798999999999999"/>
    <n v="0"/>
    <n v="0"/>
    <n v="0"/>
    <n v="0.2"/>
    <x v="121"/>
    <x v="153"/>
    <n v="45"/>
    <n v="0"/>
    <x v="2"/>
    <n v="0.564581546839797"/>
    <x v="131"/>
    <x v="157"/>
  </r>
  <r>
    <n v="16008"/>
    <x v="32"/>
    <x v="1"/>
    <x v="15"/>
    <s v="IP"/>
    <x v="8"/>
    <s v="DEKORPEL WHITE 938"/>
    <s v="white"/>
    <n v="938"/>
    <m/>
    <m/>
    <s v="BR"/>
    <x v="5"/>
    <x v="0"/>
    <m/>
    <n v="3"/>
    <s v="monthly"/>
    <x v="0"/>
    <n v="0.12"/>
    <s v="Sim"/>
    <n v="9.2499999999999999E-2"/>
    <s v="ton"/>
    <x v="20"/>
    <x v="2"/>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m/>
    <m/>
    <m/>
    <m/>
    <m/>
    <m/>
    <x v="103"/>
    <x v="8"/>
    <x v="94"/>
    <n v="21.896999999999998"/>
    <n v="21.896999999999998"/>
    <n v="0"/>
    <n v="0"/>
    <n v="0"/>
    <n v="0.2"/>
    <x v="122"/>
    <x v="154"/>
    <n v="45"/>
    <n v="0"/>
    <x v="2"/>
    <n v="0.49904229931273036"/>
    <x v="132"/>
    <x v="158"/>
  </r>
  <r>
    <n v="16009"/>
    <x v="33"/>
    <x v="1"/>
    <x v="1"/>
    <s v="IP"/>
    <x v="8"/>
    <s v="DEKORPEL BLUE 497"/>
    <s v="blue"/>
    <n v="497"/>
    <m/>
    <m/>
    <s v="BR"/>
    <x v="5"/>
    <x v="0"/>
    <m/>
    <n v="3"/>
    <s v="monthly"/>
    <x v="0"/>
    <n v="0.12"/>
    <s v="Sim"/>
    <n v="9.2499999999999999E-2"/>
    <s v="ton"/>
    <x v="14"/>
    <x v="2"/>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m/>
    <m/>
    <m/>
    <m/>
    <m/>
    <m/>
    <x v="104"/>
    <x v="8"/>
    <x v="95"/>
    <n v="24.864000000000001"/>
    <n v="24.864000000000001"/>
    <n v="0"/>
    <n v="0"/>
    <n v="0"/>
    <n v="0.2"/>
    <x v="123"/>
    <x v="155"/>
    <n v="45"/>
    <n v="0"/>
    <x v="2"/>
    <n v="0.56604951758041011"/>
    <x v="133"/>
    <x v="159"/>
  </r>
  <r>
    <n v="16010"/>
    <x v="34"/>
    <x v="1"/>
    <x v="15"/>
    <s v="IP"/>
    <x v="8"/>
    <s v="DEKORPEL GREY 664"/>
    <s v="gray"/>
    <n v="664"/>
    <m/>
    <m/>
    <s v="BR"/>
    <x v="5"/>
    <x v="0"/>
    <m/>
    <n v="3"/>
    <s v="monthly"/>
    <x v="0"/>
    <n v="0.12"/>
    <s v="Sim"/>
    <n v="9.2499999999999999E-2"/>
    <s v="ton"/>
    <x v="15"/>
    <x v="2"/>
    <n v="23999.75"/>
    <n v="23999.75"/>
    <n v="23999.75"/>
    <m/>
    <m/>
    <m/>
    <m/>
    <m/>
    <m/>
    <m/>
    <m/>
    <m/>
    <m/>
    <m/>
    <m/>
    <m/>
    <m/>
    <m/>
    <m/>
    <m/>
    <m/>
    <m/>
    <m/>
    <m/>
    <m/>
    <m/>
    <m/>
    <m/>
    <m/>
    <m/>
    <m/>
    <m/>
    <m/>
    <m/>
    <m/>
    <m/>
    <m/>
    <m/>
    <m/>
    <m/>
    <m/>
    <m/>
    <m/>
    <m/>
    <m/>
    <m/>
    <m/>
    <m/>
    <x v="105"/>
    <x v="14"/>
    <x v="0"/>
    <n v="23.999749999999999"/>
    <n v="23.999749999999999"/>
    <n v="0"/>
    <n v="0"/>
    <n v="0"/>
    <n v="0.2"/>
    <x v="124"/>
    <x v="156"/>
    <n v="45"/>
    <n v="0"/>
    <x v="2"/>
    <n v="0.54653115277156417"/>
    <x v="134"/>
    <x v="160"/>
  </r>
  <r>
    <n v="16031"/>
    <x v="3"/>
    <x v="2"/>
    <x v="16"/>
    <s v="IP"/>
    <x v="8"/>
    <s v="BACKING OS"/>
    <s v="brown"/>
    <m/>
    <m/>
    <m/>
    <s v="BR"/>
    <x v="5"/>
    <x v="0"/>
    <m/>
    <n v="3"/>
    <s v="monthly"/>
    <x v="0"/>
    <n v="0.12"/>
    <s v="Sim"/>
    <n v="9.2499999999999999E-2"/>
    <s v="ton"/>
    <x v="20"/>
    <x v="2"/>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m/>
    <m/>
    <m/>
    <m/>
    <m/>
    <m/>
    <x v="106"/>
    <x v="8"/>
    <x v="96"/>
    <n v="11.079000000000001"/>
    <n v="11.079000000000001"/>
    <n v="0"/>
    <n v="0"/>
    <n v="0"/>
    <n v="0.2"/>
    <x v="125"/>
    <x v="157"/>
    <n v="45"/>
    <n v="0"/>
    <x v="2"/>
    <n v="0.25472679974423151"/>
    <x v="135"/>
    <x v="161"/>
  </r>
  <r>
    <n v="16056"/>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8"/>
    <n v="45"/>
    <n v="0"/>
    <x v="2"/>
    <n v="0.33029341663794654"/>
    <x v="136"/>
    <x v="162"/>
  </r>
  <r>
    <n v="16059"/>
    <x v="11"/>
    <x v="1"/>
    <x v="17"/>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8"/>
    <n v="45"/>
    <n v="0"/>
    <x v="2"/>
    <n v="0.33029341663794654"/>
    <x v="136"/>
    <x v="162"/>
  </r>
  <r>
    <n v="16064"/>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9"/>
    <n v="45"/>
    <n v="0"/>
    <x v="2"/>
    <n v="0.33029341663794654"/>
    <x v="136"/>
    <x v="163"/>
  </r>
  <r>
    <n v="16064"/>
    <x v="11"/>
    <x v="4"/>
    <x v="11"/>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9"/>
    <n v="45"/>
    <n v="0"/>
    <x v="2"/>
    <n v="0.33029341663794654"/>
    <x v="136"/>
    <x v="163"/>
  </r>
  <r>
    <n v="16065"/>
    <x v="11"/>
    <x v="4"/>
    <x v="6"/>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9"/>
    <n v="45"/>
    <n v="0"/>
    <x v="2"/>
    <n v="0.33029341663794654"/>
    <x v="136"/>
    <x v="163"/>
  </r>
  <r>
    <n v="16066"/>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9"/>
    <n v="45"/>
    <n v="0"/>
    <x v="2"/>
    <n v="0.33029341663794654"/>
    <x v="136"/>
    <x v="163"/>
  </r>
  <r>
    <n v="16068"/>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7"/>
    <x v="8"/>
    <x v="97"/>
    <n v="14.425000000000001"/>
    <n v="14.425000000000001"/>
    <n v="0"/>
    <n v="0"/>
    <n v="0"/>
    <n v="0.2"/>
    <x v="126"/>
    <x v="158"/>
    <n v="45"/>
    <n v="0"/>
    <x v="2"/>
    <n v="0.33029341663794654"/>
    <x v="136"/>
    <x v="162"/>
  </r>
  <r>
    <m/>
    <x v="12"/>
    <x v="4"/>
    <x v="15"/>
    <s v="IP"/>
    <x v="8"/>
    <s v="DEKORPEL BLACK 390"/>
    <s v="black"/>
    <n v="390"/>
    <m/>
    <m/>
    <s v="BR"/>
    <x v="5"/>
    <x v="0"/>
    <m/>
    <n v="3"/>
    <s v="monthly"/>
    <x v="0"/>
    <n v="0.12"/>
    <s v="Sim"/>
    <n v="9.2499999999999999E-2"/>
    <s v="ton"/>
    <x v="14"/>
    <x v="2"/>
    <m/>
    <m/>
    <m/>
    <m/>
    <m/>
    <m/>
    <m/>
    <m/>
    <m/>
    <m/>
    <m/>
    <m/>
    <m/>
    <m/>
    <m/>
    <m/>
    <m/>
    <m/>
    <n v="18200"/>
    <n v="18200"/>
    <n v="18200"/>
    <n v="18200"/>
    <n v="18200"/>
    <n v="18200"/>
    <n v="19120"/>
    <n v="19120"/>
    <n v="19120"/>
    <n v="19120"/>
    <n v="19120"/>
    <n v="19120"/>
    <m/>
    <m/>
    <m/>
    <m/>
    <n v="19500"/>
    <m/>
    <m/>
    <m/>
    <m/>
    <m/>
    <m/>
    <m/>
    <m/>
    <m/>
    <m/>
    <m/>
    <m/>
    <m/>
    <x v="32"/>
    <x v="6"/>
    <x v="0"/>
    <n v="19.5"/>
    <n v="19.5"/>
    <n v="0"/>
    <n v="0"/>
    <n v="0"/>
    <n v="0.2"/>
    <x v="127"/>
    <x v="160"/>
    <n v="45"/>
    <n v="0"/>
    <x v="2"/>
    <n v="0.44490805523196997"/>
    <x v="137"/>
    <x v="164"/>
  </r>
  <r>
    <n v="10029"/>
    <x v="35"/>
    <x v="6"/>
    <x v="9"/>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08"/>
    <x v="15"/>
    <x v="0"/>
    <n v="9.4406498999999986"/>
    <n v="9.4406498999999986"/>
    <n v="0"/>
    <n v="0"/>
    <n v="0"/>
    <n v="0.2"/>
    <x v="128"/>
    <x v="161"/>
    <n v="45"/>
    <n v="30"/>
    <x v="0"/>
    <n v="7.2035745679343677E-2"/>
    <x v="138"/>
    <x v="165"/>
  </r>
  <r>
    <n v="10031"/>
    <x v="35"/>
    <x v="6"/>
    <x v="18"/>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08"/>
    <x v="15"/>
    <x v="0"/>
    <n v="9.4406498999999986"/>
    <n v="9.4406498999999986"/>
    <n v="0"/>
    <n v="0"/>
    <n v="0"/>
    <n v="0.2"/>
    <x v="128"/>
    <x v="161"/>
    <n v="45"/>
    <n v="30"/>
    <x v="0"/>
    <n v="7.2035745679343677E-2"/>
    <x v="138"/>
    <x v="165"/>
  </r>
  <r>
    <n v="10038"/>
    <x v="36"/>
    <x v="10"/>
    <x v="10"/>
    <s v="FF"/>
    <x v="9"/>
    <s v="FF BRANCO"/>
    <s v="white"/>
    <m/>
    <m/>
    <m/>
    <s v="BR"/>
    <x v="3"/>
    <x v="0"/>
    <m/>
    <m/>
    <m/>
    <x v="0"/>
    <m/>
    <m/>
    <m/>
    <s v="ton"/>
    <x v="7"/>
    <x v="2"/>
    <m/>
    <m/>
    <m/>
    <m/>
    <m/>
    <m/>
    <m/>
    <m/>
    <m/>
    <m/>
    <m/>
    <m/>
    <m/>
    <m/>
    <n v="9367"/>
    <n v="9367"/>
    <n v="9367"/>
    <n v="9367"/>
    <m/>
    <m/>
    <m/>
    <m/>
    <m/>
    <m/>
    <m/>
    <m/>
    <m/>
    <n v="8984.25"/>
    <n v="8984.25"/>
    <n v="8984.25"/>
    <n v="9568.2262499999997"/>
    <n v="9568.2262499999997"/>
    <n v="9568.2262499999997"/>
    <m/>
    <m/>
    <m/>
    <m/>
    <m/>
    <m/>
    <m/>
    <m/>
    <m/>
    <m/>
    <m/>
    <m/>
    <m/>
    <m/>
    <m/>
    <x v="109"/>
    <x v="15"/>
    <x v="0"/>
    <n v="9.5682262500000004"/>
    <n v="9.5682262500000004"/>
    <n v="0"/>
    <n v="0"/>
    <n v="0"/>
    <n v="0.2"/>
    <x v="129"/>
    <x v="162"/>
    <n v="45"/>
    <n v="30"/>
    <x v="0"/>
    <n v="7.2989006880469276E-2"/>
    <x v="139"/>
    <x v="166"/>
  </r>
  <r>
    <n v="10937"/>
    <x v="36"/>
    <x v="6"/>
    <x v="9"/>
    <s v="FF"/>
    <x v="9"/>
    <s v="FF BRANCO"/>
    <s v="white"/>
    <m/>
    <m/>
    <m/>
    <s v="BR"/>
    <x v="3"/>
    <x v="0"/>
    <m/>
    <m/>
    <m/>
    <x v="0"/>
    <m/>
    <m/>
    <m/>
    <s v="ton"/>
    <x v="7"/>
    <x v="2"/>
    <m/>
    <m/>
    <m/>
    <m/>
    <m/>
    <m/>
    <m/>
    <m/>
    <m/>
    <m/>
    <m/>
    <m/>
    <m/>
    <m/>
    <m/>
    <m/>
    <m/>
    <m/>
    <m/>
    <m/>
    <m/>
    <m/>
    <m/>
    <m/>
    <m/>
    <m/>
    <m/>
    <m/>
    <m/>
    <n v="8864.4599999999991"/>
    <m/>
    <m/>
    <m/>
    <m/>
    <m/>
    <m/>
    <m/>
    <m/>
    <m/>
    <m/>
    <m/>
    <m/>
    <m/>
    <m/>
    <m/>
    <m/>
    <m/>
    <m/>
    <x v="110"/>
    <x v="3"/>
    <x v="0"/>
    <n v="8.8644599999999993"/>
    <n v="8.8644599999999993"/>
    <n v="0"/>
    <n v="0"/>
    <n v="0"/>
    <n v="0.2"/>
    <x v="130"/>
    <x v="163"/>
    <n v="45"/>
    <n v="30"/>
    <x v="0"/>
    <n v="6.773040635783012E-2"/>
    <x v="140"/>
    <x v="167"/>
  </r>
  <r>
    <s v="SRU35"/>
    <x v="35"/>
    <x v="11"/>
    <x v="15"/>
    <s v="setup"/>
    <x v="9"/>
    <s v="ACERTO"/>
    <s v="white"/>
    <m/>
    <m/>
    <m/>
    <s v="BR"/>
    <x v="3"/>
    <x v="0"/>
    <m/>
    <m/>
    <m/>
    <x v="0"/>
    <m/>
    <m/>
    <m/>
    <s v="ton"/>
    <x v="7"/>
    <x v="2"/>
    <m/>
    <m/>
    <m/>
    <m/>
    <m/>
    <m/>
    <m/>
    <m/>
    <m/>
    <m/>
    <m/>
    <m/>
    <m/>
    <m/>
    <n v="9367"/>
    <n v="9367"/>
    <n v="9367"/>
    <n v="9367"/>
    <m/>
    <m/>
    <m/>
    <m/>
    <m/>
    <m/>
    <m/>
    <m/>
    <m/>
    <n v="8984.25"/>
    <n v="8984.25"/>
    <n v="8984.25"/>
    <n v="9568.2262499999997"/>
    <n v="9568.2262499999997"/>
    <n v="9568.2262499999997"/>
    <m/>
    <m/>
    <m/>
    <m/>
    <m/>
    <m/>
    <m/>
    <m/>
    <m/>
    <m/>
    <m/>
    <m/>
    <m/>
    <m/>
    <m/>
    <x v="109"/>
    <x v="15"/>
    <x v="0"/>
    <n v="9.5682262500000004"/>
    <n v="9.5682262500000004"/>
    <n v="0"/>
    <n v="0"/>
    <n v="0"/>
    <n v="0.2"/>
    <x v="129"/>
    <x v="164"/>
    <n v="45"/>
    <n v="30"/>
    <x v="0"/>
    <n v="7.2989006880469276E-2"/>
    <x v="139"/>
    <x v="168"/>
  </r>
  <r>
    <n v="18402"/>
    <x v="11"/>
    <x v="4"/>
    <x v="0"/>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1"/>
    <x v="2"/>
    <x v="1"/>
    <n v="11.65"/>
    <n v="8.7375000000000007"/>
    <n v="1.11958"/>
    <n v="1.2232500000000002"/>
    <n v="0"/>
    <n v="9.1999999999999998E-2"/>
    <x v="131"/>
    <x v="165"/>
    <n v="120"/>
    <n v="90"/>
    <x v="1"/>
    <n v="0.1675849499999984"/>
    <x v="141"/>
    <x v="169"/>
  </r>
  <r>
    <n v="18402"/>
    <x v="11"/>
    <x v="4"/>
    <x v="0"/>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2"/>
    <x v="16"/>
    <x v="0"/>
    <n v="1.76"/>
    <n v="10.384"/>
    <n v="1.11958"/>
    <n v="1.4537600000000002"/>
    <n v="0"/>
    <n v="9.1999999999999998E-2"/>
    <x v="132"/>
    <x v="166"/>
    <n v="120"/>
    <n v="90"/>
    <x v="1"/>
    <n v="0.19574009999999831"/>
    <x v="142"/>
    <x v="170"/>
  </r>
  <r>
    <n v="18408"/>
    <x v="11"/>
    <x v="4"/>
    <x v="19"/>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1"/>
    <x v="2"/>
    <x v="1"/>
    <n v="11.65"/>
    <n v="8.7375000000000007"/>
    <n v="1.11958"/>
    <n v="1.2232500000000002"/>
    <n v="0"/>
    <n v="9.1999999999999998E-2"/>
    <x v="131"/>
    <x v="165"/>
    <n v="120"/>
    <n v="90"/>
    <x v="1"/>
    <n v="0.1675849499999984"/>
    <x v="141"/>
    <x v="169"/>
  </r>
  <r>
    <n v="18408"/>
    <x v="11"/>
    <x v="4"/>
    <x v="19"/>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2"/>
    <x v="16"/>
    <x v="0"/>
    <n v="1.76"/>
    <n v="10.384"/>
    <n v="1.11958"/>
    <n v="1.4537600000000002"/>
    <n v="0"/>
    <n v="9.1999999999999998E-2"/>
    <x v="132"/>
    <x v="166"/>
    <n v="120"/>
    <n v="90"/>
    <x v="1"/>
    <n v="0.19574009999999831"/>
    <x v="142"/>
    <x v="170"/>
  </r>
  <r>
    <n v="18409"/>
    <x v="11"/>
    <x v="4"/>
    <x v="5"/>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1"/>
    <x v="2"/>
    <x v="1"/>
    <n v="11.65"/>
    <n v="8.7375000000000007"/>
    <n v="1.11958"/>
    <n v="1.2232500000000002"/>
    <n v="0"/>
    <n v="9.1999999999999998E-2"/>
    <x v="131"/>
    <x v="165"/>
    <n v="120"/>
    <n v="90"/>
    <x v="1"/>
    <n v="0.1675849499999984"/>
    <x v="141"/>
    <x v="169"/>
  </r>
  <r>
    <n v="18409"/>
    <x v="11"/>
    <x v="4"/>
    <x v="5"/>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2"/>
    <x v="16"/>
    <x v="0"/>
    <n v="1.76"/>
    <n v="10.384"/>
    <n v="1.11958"/>
    <n v="1.4537600000000002"/>
    <n v="0"/>
    <n v="9.1999999999999998E-2"/>
    <x v="132"/>
    <x v="166"/>
    <n v="120"/>
    <n v="90"/>
    <x v="1"/>
    <n v="0.19574009999999831"/>
    <x v="142"/>
    <x v="170"/>
  </r>
  <r>
    <n v="18416"/>
    <x v="11"/>
    <x v="4"/>
    <x v="6"/>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1"/>
    <x v="2"/>
    <x v="1"/>
    <n v="11.65"/>
    <n v="8.7375000000000007"/>
    <n v="1.11958"/>
    <n v="1.2232500000000002"/>
    <n v="0"/>
    <n v="9.1999999999999998E-2"/>
    <x v="131"/>
    <x v="165"/>
    <n v="120"/>
    <n v="90"/>
    <x v="1"/>
    <n v="0.1675849499999984"/>
    <x v="141"/>
    <x v="169"/>
  </r>
  <r>
    <n v="18416"/>
    <x v="11"/>
    <x v="4"/>
    <x v="6"/>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2"/>
    <x v="16"/>
    <x v="0"/>
    <n v="1.76"/>
    <n v="10.384"/>
    <n v="1.11958"/>
    <n v="1.4537600000000002"/>
    <n v="0"/>
    <n v="9.1999999999999998E-2"/>
    <x v="132"/>
    <x v="166"/>
    <n v="120"/>
    <n v="90"/>
    <x v="1"/>
    <n v="0.19574009999999831"/>
    <x v="142"/>
    <x v="170"/>
  </r>
  <r>
    <n v="18403"/>
    <x v="11"/>
    <x v="1"/>
    <x v="8"/>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1"/>
    <x v="2"/>
    <x v="1"/>
    <n v="11.65"/>
    <n v="8.7375000000000007"/>
    <n v="1.11958"/>
    <n v="1.2232500000000002"/>
    <n v="0"/>
    <n v="9.1999999999999998E-2"/>
    <x v="131"/>
    <x v="167"/>
    <n v="120"/>
    <n v="90"/>
    <x v="1"/>
    <n v="0.1675849499999984"/>
    <x v="141"/>
    <x v="171"/>
  </r>
  <r>
    <n v="18403"/>
    <x v="11"/>
    <x v="1"/>
    <x v="8"/>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3"/>
    <x v="16"/>
    <x v="0"/>
    <n v="1.73"/>
    <n v="10.207000000000001"/>
    <n v="1.11958"/>
    <n v="1.4289800000000001"/>
    <n v="0"/>
    <n v="9.1999999999999998E-2"/>
    <x v="133"/>
    <x v="168"/>
    <n v="120"/>
    <n v="90"/>
    <x v="1"/>
    <n v="0.19271339999999881"/>
    <x v="143"/>
    <x v="172"/>
  </r>
  <r>
    <n v="18415"/>
    <x v="11"/>
    <x v="1"/>
    <x v="1"/>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1"/>
    <x v="2"/>
    <x v="1"/>
    <n v="11.65"/>
    <n v="8.7375000000000007"/>
    <n v="1.11958"/>
    <n v="1.2232500000000002"/>
    <n v="0"/>
    <n v="9.1999999999999998E-2"/>
    <x v="131"/>
    <x v="167"/>
    <n v="120"/>
    <n v="90"/>
    <x v="1"/>
    <n v="0.1675849499999984"/>
    <x v="141"/>
    <x v="171"/>
  </r>
  <r>
    <n v="18415"/>
    <x v="11"/>
    <x v="1"/>
    <x v="1"/>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3"/>
    <x v="16"/>
    <x v="0"/>
    <n v="1.73"/>
    <n v="10.207000000000001"/>
    <n v="1.11958"/>
    <n v="1.4289800000000001"/>
    <n v="0"/>
    <n v="9.1999999999999998E-2"/>
    <x v="133"/>
    <x v="168"/>
    <n v="120"/>
    <n v="90"/>
    <x v="1"/>
    <n v="0.19271339999999881"/>
    <x v="143"/>
    <x v="172"/>
  </r>
  <r>
    <n v="18405"/>
    <x v="11"/>
    <x v="1"/>
    <x v="5"/>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1"/>
    <x v="2"/>
    <x v="1"/>
    <n v="11.65"/>
    <n v="8.7375000000000007"/>
    <n v="1.11958"/>
    <n v="1.2232500000000002"/>
    <n v="0"/>
    <n v="9.1999999999999998E-2"/>
    <x v="131"/>
    <x v="167"/>
    <n v="120"/>
    <n v="90"/>
    <x v="1"/>
    <n v="0.1675849499999984"/>
    <x v="141"/>
    <x v="171"/>
  </r>
  <r>
    <n v="18405"/>
    <x v="11"/>
    <x v="1"/>
    <x v="5"/>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3"/>
    <x v="16"/>
    <x v="0"/>
    <n v="1.73"/>
    <n v="10.207000000000001"/>
    <n v="1.11958"/>
    <n v="1.4289800000000001"/>
    <n v="0"/>
    <n v="9.1999999999999998E-2"/>
    <x v="133"/>
    <x v="168"/>
    <n v="120"/>
    <n v="90"/>
    <x v="1"/>
    <n v="0.19271339999999881"/>
    <x v="143"/>
    <x v="172"/>
  </r>
  <r>
    <n v="18407"/>
    <x v="11"/>
    <x v="1"/>
    <x v="6"/>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1"/>
    <x v="2"/>
    <x v="1"/>
    <n v="11.65"/>
    <n v="8.7375000000000007"/>
    <n v="1.11958"/>
    <n v="1.2232500000000002"/>
    <n v="0"/>
    <n v="9.1999999999999998E-2"/>
    <x v="131"/>
    <x v="167"/>
    <n v="120"/>
    <n v="90"/>
    <x v="1"/>
    <n v="0.1675849499999984"/>
    <x v="141"/>
    <x v="171"/>
  </r>
  <r>
    <n v="18407"/>
    <x v="11"/>
    <x v="1"/>
    <x v="6"/>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113"/>
    <x v="16"/>
    <x v="0"/>
    <n v="1.73"/>
    <n v="10.207000000000001"/>
    <n v="1.11958"/>
    <n v="1.4289800000000001"/>
    <n v="0"/>
    <n v="9.1999999999999998E-2"/>
    <x v="133"/>
    <x v="168"/>
    <n v="120"/>
    <n v="90"/>
    <x v="1"/>
    <n v="0.19271339999999881"/>
    <x v="143"/>
    <x v="172"/>
  </r>
  <r>
    <n v="18413"/>
    <x v="8"/>
    <x v="5"/>
    <x v="0"/>
    <s v="DP"/>
    <x v="10"/>
    <s v="SUNSHINE 0128 ECO"/>
    <s v="white"/>
    <m/>
    <m/>
    <m/>
    <s v="CN"/>
    <x v="0"/>
    <x v="1"/>
    <m/>
    <m/>
    <m/>
    <x v="0"/>
    <m/>
    <m/>
    <m/>
    <s v="ton"/>
    <x v="1"/>
    <x v="1"/>
    <m/>
    <m/>
    <m/>
    <m/>
    <m/>
    <m/>
    <m/>
    <m/>
    <m/>
    <m/>
    <m/>
    <m/>
    <m/>
    <m/>
    <m/>
    <m/>
    <m/>
    <m/>
    <m/>
    <m/>
    <m/>
    <m/>
    <m/>
    <n v="12500"/>
    <n v="12500"/>
    <n v="12500"/>
    <n v="12500"/>
    <n v="12500"/>
    <n v="12500"/>
    <n v="12500"/>
    <n v="12500"/>
    <n v="11900"/>
    <n v="11900"/>
    <n v="11900"/>
    <n v="10950"/>
    <n v="10950"/>
    <n v="10950"/>
    <m/>
    <m/>
    <m/>
    <m/>
    <m/>
    <m/>
    <m/>
    <m/>
    <m/>
    <m/>
    <m/>
    <x v="114"/>
    <x v="2"/>
    <x v="1"/>
    <n v="10.95"/>
    <n v="8.2124999999999986"/>
    <n v="1.11958"/>
    <n v="1.1497499999999998"/>
    <n v="0"/>
    <n v="9.1999999999999998E-2"/>
    <x v="134"/>
    <x v="169"/>
    <n v="120"/>
    <n v="90"/>
    <x v="1"/>
    <n v="0.1586074499999981"/>
    <x v="144"/>
    <x v="173"/>
  </r>
  <r>
    <n v="18413"/>
    <x v="8"/>
    <x v="5"/>
    <x v="0"/>
    <s v="DP"/>
    <x v="10"/>
    <s v="SUNSHINE 0128 ECO"/>
    <s v="white"/>
    <m/>
    <m/>
    <m/>
    <s v="CN"/>
    <x v="0"/>
    <x v="2"/>
    <m/>
    <m/>
    <m/>
    <x v="0"/>
    <m/>
    <m/>
    <m/>
    <s v="ton"/>
    <x v="1"/>
    <x v="0"/>
    <n v="1790"/>
    <n v="1790"/>
    <n v="1790"/>
    <n v="1790"/>
    <n v="1790"/>
    <n v="1790"/>
    <n v="1750"/>
    <n v="1750"/>
    <n v="1750"/>
    <n v="1750"/>
    <n v="1750"/>
    <n v="1750"/>
    <m/>
    <m/>
    <n v="1750"/>
    <n v="1750"/>
    <n v="1750"/>
    <n v="1750"/>
    <n v="1750"/>
    <n v="1750"/>
    <n v="1750"/>
    <n v="1750"/>
    <n v="1750"/>
    <n v="1750"/>
    <n v="1620"/>
    <n v="1620"/>
    <n v="1620"/>
    <m/>
    <m/>
    <m/>
    <m/>
    <m/>
    <m/>
    <m/>
    <m/>
    <m/>
    <m/>
    <m/>
    <m/>
    <m/>
    <m/>
    <m/>
    <m/>
    <m/>
    <m/>
    <m/>
    <m/>
    <m/>
    <x v="115"/>
    <x v="16"/>
    <x v="0"/>
    <n v="1.62"/>
    <n v="9.5580000000000016"/>
    <n v="1.11958"/>
    <n v="1.3381200000000004"/>
    <n v="0"/>
    <n v="9.1999999999999998E-2"/>
    <x v="135"/>
    <x v="170"/>
    <n v="120"/>
    <n v="90"/>
    <x v="1"/>
    <n v="0.18161549999999949"/>
    <x v="145"/>
    <x v="174"/>
  </r>
  <r>
    <n v="18412"/>
    <x v="4"/>
    <x v="1"/>
    <x v="4"/>
    <s v="IP"/>
    <x v="10"/>
    <s v="SUNSHINE YG002PW"/>
    <s v="white"/>
    <s v="YG002PW"/>
    <m/>
    <m/>
    <s v="CN"/>
    <x v="0"/>
    <x v="1"/>
    <m/>
    <m/>
    <m/>
    <x v="0"/>
    <m/>
    <m/>
    <m/>
    <s v="ton"/>
    <x v="1"/>
    <x v="1"/>
    <m/>
    <m/>
    <m/>
    <m/>
    <m/>
    <m/>
    <m/>
    <m/>
    <m/>
    <m/>
    <m/>
    <m/>
    <m/>
    <m/>
    <m/>
    <m/>
    <m/>
    <m/>
    <m/>
    <m/>
    <m/>
    <m/>
    <m/>
    <n v="15100"/>
    <n v="15100"/>
    <n v="15100"/>
    <n v="15100"/>
    <n v="15100"/>
    <n v="15100"/>
    <n v="15100"/>
    <n v="15100"/>
    <n v="14500"/>
    <n v="14500"/>
    <n v="14500"/>
    <n v="14500"/>
    <n v="14500"/>
    <n v="14500"/>
    <m/>
    <m/>
    <m/>
    <m/>
    <m/>
    <m/>
    <m/>
    <m/>
    <m/>
    <m/>
    <m/>
    <x v="116"/>
    <x v="2"/>
    <x v="1"/>
    <n v="14.5"/>
    <n v="10.875"/>
    <n v="1.11958"/>
    <n v="1.5225000000000002"/>
    <n v="0"/>
    <n v="9.1999999999999998E-2"/>
    <x v="136"/>
    <x v="171"/>
    <n v="120"/>
    <n v="90"/>
    <x v="1"/>
    <n v="0.20413619999999888"/>
    <x v="146"/>
    <x v="175"/>
  </r>
  <r>
    <n v="18412"/>
    <x v="4"/>
    <x v="1"/>
    <x v="4"/>
    <s v="IP"/>
    <x v="10"/>
    <s v="SUNSHINE YG002PW"/>
    <s v="white"/>
    <s v="YG002PW"/>
    <m/>
    <m/>
    <s v="CN"/>
    <x v="0"/>
    <x v="2"/>
    <m/>
    <m/>
    <m/>
    <x v="0"/>
    <m/>
    <m/>
    <m/>
    <s v="ton"/>
    <x v="1"/>
    <x v="0"/>
    <m/>
    <m/>
    <m/>
    <m/>
    <m/>
    <m/>
    <n v="2070"/>
    <n v="2070"/>
    <n v="2070"/>
    <n v="2070"/>
    <n v="2070"/>
    <n v="2070"/>
    <n v="2070"/>
    <n v="2070"/>
    <n v="2070"/>
    <n v="2070"/>
    <n v="2070"/>
    <n v="2070"/>
    <n v="2000"/>
    <n v="2000"/>
    <n v="2000"/>
    <n v="2000"/>
    <n v="2000"/>
    <n v="2000"/>
    <n v="1950"/>
    <n v="1950"/>
    <n v="1950"/>
    <n v="1950"/>
    <n v="1950"/>
    <n v="1950"/>
    <n v="1950"/>
    <m/>
    <m/>
    <m/>
    <m/>
    <m/>
    <m/>
    <m/>
    <m/>
    <m/>
    <m/>
    <m/>
    <m/>
    <m/>
    <m/>
    <m/>
    <m/>
    <m/>
    <x v="81"/>
    <x v="17"/>
    <x v="0"/>
    <n v="1.95"/>
    <n v="11.505000000000001"/>
    <n v="1.11958"/>
    <n v="1.6107000000000002"/>
    <n v="0"/>
    <n v="9.1999999999999998E-2"/>
    <x v="137"/>
    <x v="172"/>
    <n v="120"/>
    <n v="90"/>
    <x v="1"/>
    <n v="0.21490919999999925"/>
    <x v="147"/>
    <x v="176"/>
  </r>
  <r>
    <n v="18424"/>
    <x v="37"/>
    <x v="7"/>
    <x v="8"/>
    <m/>
    <x v="10"/>
    <s v="SUNSHINE 308"/>
    <s v="white"/>
    <m/>
    <m/>
    <m/>
    <s v="CN"/>
    <x v="0"/>
    <x v="2"/>
    <m/>
    <m/>
    <m/>
    <x v="0"/>
    <m/>
    <m/>
    <m/>
    <s v="ton"/>
    <x v="1"/>
    <x v="0"/>
    <n v="1600"/>
    <n v="1600"/>
    <n v="1600"/>
    <n v="1600"/>
    <n v="1600"/>
    <n v="1600"/>
    <n v="1600"/>
    <n v="1600"/>
    <n v="1600"/>
    <n v="1600"/>
    <n v="1600"/>
    <n v="1600"/>
    <m/>
    <m/>
    <m/>
    <m/>
    <m/>
    <m/>
    <m/>
    <m/>
    <m/>
    <m/>
    <m/>
    <m/>
    <m/>
    <m/>
    <m/>
    <m/>
    <m/>
    <m/>
    <m/>
    <m/>
    <m/>
    <m/>
    <m/>
    <m/>
    <m/>
    <m/>
    <m/>
    <m/>
    <m/>
    <m/>
    <m/>
    <m/>
    <m/>
    <m/>
    <m/>
    <m/>
    <x v="21"/>
    <x v="11"/>
    <x v="0"/>
    <n v="1.6"/>
    <n v="9.4400000000000013"/>
    <n v="1.11958"/>
    <n v="1.3216000000000003"/>
    <n v="0"/>
    <n v="9.1999999999999998E-2"/>
    <x v="21"/>
    <x v="173"/>
    <n v="120"/>
    <n v="90"/>
    <x v="1"/>
    <n v="0.17959769999999864"/>
    <x v="21"/>
    <x v="177"/>
  </r>
  <r>
    <n v="18437"/>
    <x v="14"/>
    <x v="4"/>
    <x v="8"/>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6999999999999993"/>
    <n v="1.11958"/>
    <n v="1.218"/>
    <n v="0"/>
    <n v="9.1999999999999998E-2"/>
    <x v="27"/>
    <x v="32"/>
    <n v="120"/>
    <n v="90"/>
    <x v="1"/>
    <n v="0.16694369999999914"/>
    <x v="27"/>
    <x v="32"/>
  </r>
  <r>
    <n v="18437"/>
    <x v="14"/>
    <x v="4"/>
    <x v="8"/>
    <s v="IP"/>
    <x v="10"/>
    <s v="SUNSHINE YG0086PW"/>
    <s v="white"/>
    <s v="YG086PW"/>
    <m/>
    <m/>
    <s v="CN"/>
    <x v="0"/>
    <x v="2"/>
    <m/>
    <m/>
    <m/>
    <x v="0"/>
    <m/>
    <m/>
    <m/>
    <s v="ton"/>
    <x v="1"/>
    <x v="0"/>
    <m/>
    <m/>
    <m/>
    <m/>
    <m/>
    <m/>
    <n v="1920"/>
    <n v="1920"/>
    <n v="1920"/>
    <n v="1920"/>
    <n v="1920"/>
    <n v="1920"/>
    <m/>
    <m/>
    <m/>
    <m/>
    <m/>
    <m/>
    <m/>
    <m/>
    <n v="1723"/>
    <m/>
    <m/>
    <m/>
    <n v="1570"/>
    <n v="1570"/>
    <n v="1570"/>
    <m/>
    <m/>
    <m/>
    <m/>
    <n v="1380"/>
    <n v="1380"/>
    <n v="1380"/>
    <m/>
    <m/>
    <m/>
    <m/>
    <m/>
    <m/>
    <m/>
    <m/>
    <m/>
    <m/>
    <m/>
    <m/>
    <m/>
    <m/>
    <x v="117"/>
    <x v="18"/>
    <x v="0"/>
    <n v="1.38"/>
    <n v="8.1419999999999995"/>
    <n v="1.11958"/>
    <n v="1.13988"/>
    <n v="0"/>
    <n v="9.1999999999999998E-2"/>
    <x v="138"/>
    <x v="174"/>
    <n v="120"/>
    <n v="90"/>
    <x v="1"/>
    <n v="0.15740189999999821"/>
    <x v="148"/>
    <x v="178"/>
  </r>
  <r>
    <n v="18423"/>
    <x v="8"/>
    <x v="5"/>
    <x v="6"/>
    <s v="DP"/>
    <x v="10"/>
    <s v="SUNSHINE 0128 ECO"/>
    <s v="white"/>
    <m/>
    <m/>
    <m/>
    <s v="CN"/>
    <x v="0"/>
    <x v="1"/>
    <m/>
    <m/>
    <m/>
    <x v="0"/>
    <m/>
    <m/>
    <m/>
    <s v="ton"/>
    <x v="1"/>
    <x v="1"/>
    <m/>
    <m/>
    <m/>
    <m/>
    <m/>
    <m/>
    <m/>
    <m/>
    <m/>
    <m/>
    <m/>
    <m/>
    <m/>
    <m/>
    <m/>
    <m/>
    <m/>
    <m/>
    <m/>
    <m/>
    <m/>
    <m/>
    <m/>
    <m/>
    <m/>
    <m/>
    <m/>
    <m/>
    <m/>
    <m/>
    <n v="12500"/>
    <n v="11900"/>
    <n v="11900"/>
    <n v="11900"/>
    <n v="10950"/>
    <n v="10950"/>
    <n v="10950"/>
    <m/>
    <m/>
    <m/>
    <m/>
    <m/>
    <m/>
    <m/>
    <m/>
    <m/>
    <m/>
    <m/>
    <x v="114"/>
    <x v="2"/>
    <x v="1"/>
    <n v="10.95"/>
    <n v="8.2124999999999986"/>
    <n v="1.11958"/>
    <n v="1.1497499999999998"/>
    <n v="0"/>
    <n v="9.1999999999999998E-2"/>
    <x v="134"/>
    <x v="169"/>
    <n v="120"/>
    <n v="90"/>
    <x v="1"/>
    <n v="0.1586074499999981"/>
    <x v="144"/>
    <x v="173"/>
  </r>
  <r>
    <n v="18426"/>
    <x v="14"/>
    <x v="4"/>
    <x v="20"/>
    <s v="IP"/>
    <x v="10"/>
    <s v="SUNSHINE YG0086PW"/>
    <s v="white"/>
    <s v="YG086PW"/>
    <m/>
    <m/>
    <s v="CN"/>
    <x v="0"/>
    <x v="1"/>
    <m/>
    <m/>
    <m/>
    <x v="0"/>
    <m/>
    <m/>
    <m/>
    <s v="ton"/>
    <x v="1"/>
    <x v="1"/>
    <m/>
    <m/>
    <m/>
    <m/>
    <m/>
    <m/>
    <m/>
    <m/>
    <m/>
    <m/>
    <m/>
    <m/>
    <m/>
    <m/>
    <m/>
    <m/>
    <m/>
    <m/>
    <m/>
    <m/>
    <m/>
    <m/>
    <m/>
    <n v="12100"/>
    <n v="12100"/>
    <n v="12100"/>
    <n v="12100"/>
    <n v="12100"/>
    <n v="12100"/>
    <n v="12100"/>
    <n v="12100"/>
    <n v="11600"/>
    <n v="11600"/>
    <m/>
    <n v="11600"/>
    <n v="11600"/>
    <n v="11600"/>
    <m/>
    <m/>
    <m/>
    <m/>
    <m/>
    <m/>
    <m/>
    <m/>
    <m/>
    <m/>
    <m/>
    <x v="27"/>
    <x v="2"/>
    <x v="1"/>
    <n v="11.6"/>
    <n v="8.6999999999999993"/>
    <n v="1.11958"/>
    <n v="1.218"/>
    <n v="0"/>
    <n v="9.1999999999999998E-2"/>
    <x v="27"/>
    <x v="32"/>
    <n v="120"/>
    <n v="90"/>
    <x v="1"/>
    <n v="0.16694369999999914"/>
    <x v="27"/>
    <x v="32"/>
  </r>
  <r>
    <n v="18427"/>
    <x v="4"/>
    <x v="1"/>
    <x v="17"/>
    <s v="IP"/>
    <x v="10"/>
    <s v="SUNSHINE YG002PW"/>
    <s v="white"/>
    <s v="YG002PW"/>
    <m/>
    <m/>
    <s v="CN"/>
    <x v="0"/>
    <x v="1"/>
    <m/>
    <m/>
    <m/>
    <x v="0"/>
    <m/>
    <m/>
    <m/>
    <s v="ton"/>
    <x v="1"/>
    <x v="1"/>
    <m/>
    <m/>
    <m/>
    <m/>
    <m/>
    <m/>
    <m/>
    <m/>
    <m/>
    <m/>
    <m/>
    <m/>
    <m/>
    <m/>
    <m/>
    <m/>
    <m/>
    <m/>
    <m/>
    <m/>
    <m/>
    <m/>
    <m/>
    <n v="15100"/>
    <n v="15100"/>
    <n v="15100"/>
    <n v="15100"/>
    <n v="15100"/>
    <n v="15100"/>
    <n v="15100"/>
    <m/>
    <m/>
    <m/>
    <m/>
    <n v="14500"/>
    <n v="14500"/>
    <n v="14500"/>
    <m/>
    <m/>
    <m/>
    <m/>
    <m/>
    <m/>
    <m/>
    <m/>
    <m/>
    <m/>
    <m/>
    <x v="116"/>
    <x v="2"/>
    <x v="1"/>
    <n v="14.5"/>
    <n v="10.875"/>
    <n v="1.11958"/>
    <n v="1.5225000000000002"/>
    <n v="0"/>
    <n v="9.1999999999999998E-2"/>
    <x v="136"/>
    <x v="171"/>
    <n v="120"/>
    <n v="90"/>
    <x v="1"/>
    <n v="0.20413619999999888"/>
    <x v="146"/>
    <x v="175"/>
  </r>
  <r>
    <n v="18427"/>
    <x v="4"/>
    <x v="1"/>
    <x v="17"/>
    <s v="IP"/>
    <x v="10"/>
    <s v="SUNSHINE YG002PW"/>
    <s v="white"/>
    <s v="YG002PW"/>
    <m/>
    <m/>
    <s v="CN"/>
    <x v="0"/>
    <x v="2"/>
    <m/>
    <m/>
    <m/>
    <x v="0"/>
    <m/>
    <m/>
    <m/>
    <s v="ton"/>
    <x v="1"/>
    <x v="0"/>
    <m/>
    <m/>
    <m/>
    <m/>
    <m/>
    <m/>
    <n v="2070"/>
    <n v="2070"/>
    <n v="2070"/>
    <n v="2070"/>
    <n v="2070"/>
    <n v="2070"/>
    <n v="2070"/>
    <n v="2070"/>
    <n v="2070"/>
    <n v="2070"/>
    <n v="2070"/>
    <n v="2070"/>
    <n v="2000"/>
    <n v="2000"/>
    <m/>
    <m/>
    <m/>
    <m/>
    <n v="1950"/>
    <n v="1950"/>
    <n v="1950"/>
    <n v="1950"/>
    <n v="1950"/>
    <n v="1950"/>
    <n v="1950"/>
    <m/>
    <m/>
    <m/>
    <m/>
    <m/>
    <m/>
    <m/>
    <m/>
    <m/>
    <m/>
    <m/>
    <m/>
    <m/>
    <m/>
    <m/>
    <m/>
    <m/>
    <x v="81"/>
    <x v="17"/>
    <x v="0"/>
    <n v="1.95"/>
    <n v="11.505000000000001"/>
    <n v="1.11958"/>
    <n v="1.6107000000000002"/>
    <n v="0"/>
    <n v="9.1999999999999998E-2"/>
    <x v="137"/>
    <x v="172"/>
    <n v="120"/>
    <n v="90"/>
    <x v="1"/>
    <n v="0.21490919999999925"/>
    <x v="147"/>
    <x v="176"/>
  </r>
  <r>
    <n v="18430"/>
    <x v="38"/>
    <x v="4"/>
    <x v="0"/>
    <s v="IP"/>
    <x v="10"/>
    <s v="SUNSHINE YG006PW"/>
    <s v="white"/>
    <s v="YG002PW"/>
    <m/>
    <m/>
    <s v="CN"/>
    <x v="0"/>
    <x v="1"/>
    <m/>
    <m/>
    <m/>
    <x v="0"/>
    <m/>
    <m/>
    <m/>
    <s v="ton"/>
    <x v="1"/>
    <x v="1"/>
    <m/>
    <m/>
    <m/>
    <m/>
    <m/>
    <m/>
    <m/>
    <m/>
    <m/>
    <m/>
    <m/>
    <m/>
    <m/>
    <m/>
    <m/>
    <m/>
    <m/>
    <m/>
    <m/>
    <m/>
    <m/>
    <m/>
    <m/>
    <n v="10300"/>
    <n v="10300"/>
    <n v="10300"/>
    <n v="10300"/>
    <n v="10300"/>
    <n v="10300"/>
    <n v="10300"/>
    <m/>
    <m/>
    <m/>
    <m/>
    <n v="10300"/>
    <n v="10300"/>
    <n v="10300"/>
    <m/>
    <m/>
    <m/>
    <m/>
    <m/>
    <m/>
    <m/>
    <m/>
    <m/>
    <m/>
    <m/>
    <x v="118"/>
    <x v="2"/>
    <x v="1"/>
    <n v="10.3"/>
    <n v="7.7250000000000005"/>
    <n v="1.11958"/>
    <n v="1.0815000000000001"/>
    <n v="0"/>
    <n v="9.1999999999999998E-2"/>
    <x v="139"/>
    <x v="175"/>
    <n v="120"/>
    <n v="90"/>
    <x v="1"/>
    <n v="0.15027119999999883"/>
    <x v="149"/>
    <x v="179"/>
  </r>
  <r>
    <n v="18430"/>
    <x v="38"/>
    <x v="4"/>
    <x v="0"/>
    <s v="IP"/>
    <x v="10"/>
    <s v="SUNSHINE YG006PW"/>
    <s v="white"/>
    <s v="YG002PW"/>
    <m/>
    <m/>
    <s v="CN"/>
    <x v="0"/>
    <x v="2"/>
    <m/>
    <m/>
    <m/>
    <x v="0"/>
    <m/>
    <m/>
    <m/>
    <s v="ton"/>
    <x v="1"/>
    <x v="0"/>
    <m/>
    <m/>
    <m/>
    <m/>
    <m/>
    <m/>
    <m/>
    <m/>
    <m/>
    <m/>
    <m/>
    <m/>
    <m/>
    <m/>
    <m/>
    <m/>
    <m/>
    <m/>
    <m/>
    <m/>
    <n v="1337"/>
    <m/>
    <m/>
    <m/>
    <n v="1337"/>
    <n v="1337"/>
    <n v="1337"/>
    <m/>
    <m/>
    <m/>
    <m/>
    <m/>
    <m/>
    <m/>
    <m/>
    <m/>
    <m/>
    <m/>
    <m/>
    <m/>
    <m/>
    <m/>
    <m/>
    <m/>
    <m/>
    <m/>
    <m/>
    <m/>
    <x v="119"/>
    <x v="16"/>
    <x v="0"/>
    <n v="1.337"/>
    <n v="7.8883000000000001"/>
    <n v="1.11958"/>
    <n v="1.1043620000000001"/>
    <n v="0"/>
    <n v="9.1999999999999998E-2"/>
    <x v="140"/>
    <x v="176"/>
    <n v="120"/>
    <n v="90"/>
    <x v="1"/>
    <n v="0.15306362999999834"/>
    <x v="150"/>
    <x v="180"/>
  </r>
  <r>
    <n v="18433"/>
    <x v="10"/>
    <x v="5"/>
    <x v="0"/>
    <s v="DP"/>
    <x v="10"/>
    <s v="SUNSHINE 0248"/>
    <s v="gray"/>
    <m/>
    <m/>
    <m/>
    <s v="CN"/>
    <x v="0"/>
    <x v="2"/>
    <m/>
    <m/>
    <m/>
    <x v="0"/>
    <m/>
    <m/>
    <m/>
    <s v="ton"/>
    <x v="1"/>
    <x v="0"/>
    <m/>
    <m/>
    <m/>
    <m/>
    <m/>
    <m/>
    <m/>
    <m/>
    <m/>
    <m/>
    <m/>
    <m/>
    <m/>
    <m/>
    <m/>
    <m/>
    <m/>
    <m/>
    <m/>
    <m/>
    <m/>
    <m/>
    <m/>
    <m/>
    <n v="1800"/>
    <n v="1800"/>
    <n v="1800"/>
    <m/>
    <m/>
    <m/>
    <n v="1800"/>
    <n v="1800"/>
    <n v="1800"/>
    <m/>
    <m/>
    <m/>
    <m/>
    <m/>
    <m/>
    <m/>
    <m/>
    <m/>
    <m/>
    <m/>
    <m/>
    <m/>
    <m/>
    <m/>
    <x v="17"/>
    <x v="15"/>
    <x v="0"/>
    <n v="1.8"/>
    <n v="10.620000000000001"/>
    <n v="1.11958"/>
    <n v="1.4868000000000003"/>
    <n v="0"/>
    <n v="9.1999999999999998E-2"/>
    <x v="17"/>
    <x v="18"/>
    <n v="120"/>
    <n v="90"/>
    <x v="1"/>
    <n v="0.19977569999999822"/>
    <x v="17"/>
    <x v="18"/>
  </r>
  <r>
    <n v="18434"/>
    <x v="14"/>
    <x v="4"/>
    <x v="0"/>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6999999999999993"/>
    <n v="1.11958"/>
    <n v="1.218"/>
    <n v="0"/>
    <n v="9.1999999999999998E-2"/>
    <x v="27"/>
    <x v="32"/>
    <n v="120"/>
    <n v="90"/>
    <x v="1"/>
    <n v="0.16694369999999914"/>
    <x v="27"/>
    <x v="32"/>
  </r>
  <r>
    <n v="18435"/>
    <x v="24"/>
    <x v="5"/>
    <x v="0"/>
    <s v="DP"/>
    <x v="10"/>
    <s v="SUNSHINE 0128K"/>
    <s v="white"/>
    <m/>
    <m/>
    <m/>
    <s v="CN"/>
    <x v="0"/>
    <x v="1"/>
    <m/>
    <m/>
    <m/>
    <x v="0"/>
    <m/>
    <m/>
    <m/>
    <s v="ton"/>
    <x v="1"/>
    <x v="1"/>
    <m/>
    <m/>
    <m/>
    <m/>
    <m/>
    <m/>
    <m/>
    <m/>
    <m/>
    <m/>
    <m/>
    <m/>
    <m/>
    <m/>
    <m/>
    <m/>
    <m/>
    <m/>
    <m/>
    <m/>
    <m/>
    <m/>
    <m/>
    <m/>
    <m/>
    <m/>
    <m/>
    <m/>
    <m/>
    <m/>
    <n v="12500"/>
    <n v="11900"/>
    <n v="11900"/>
    <n v="11900"/>
    <n v="10950"/>
    <n v="10950"/>
    <n v="10950"/>
    <m/>
    <m/>
    <m/>
    <m/>
    <m/>
    <m/>
    <m/>
    <m/>
    <m/>
    <m/>
    <m/>
    <x v="114"/>
    <x v="2"/>
    <x v="1"/>
    <n v="10.95"/>
    <n v="8.2124999999999986"/>
    <n v="1.11958"/>
    <n v="1.1497499999999998"/>
    <n v="0"/>
    <n v="9.1999999999999998E-2"/>
    <x v="134"/>
    <x v="169"/>
    <n v="120"/>
    <n v="90"/>
    <x v="1"/>
    <n v="0.1586074499999981"/>
    <x v="144"/>
    <x v="173"/>
  </r>
  <r>
    <n v="18436"/>
    <x v="4"/>
    <x v="1"/>
    <x v="1"/>
    <s v="IP"/>
    <x v="10"/>
    <s v="SUNSHINE YG002PW"/>
    <s v="white"/>
    <s v="YG002PW"/>
    <m/>
    <m/>
    <s v="CN"/>
    <x v="0"/>
    <x v="1"/>
    <m/>
    <m/>
    <m/>
    <x v="0"/>
    <m/>
    <m/>
    <m/>
    <s v="ton"/>
    <x v="1"/>
    <x v="1"/>
    <m/>
    <m/>
    <m/>
    <m/>
    <m/>
    <m/>
    <m/>
    <m/>
    <m/>
    <m/>
    <m/>
    <m/>
    <m/>
    <m/>
    <m/>
    <m/>
    <m/>
    <m/>
    <m/>
    <m/>
    <m/>
    <m/>
    <m/>
    <n v="15100"/>
    <n v="15100"/>
    <n v="15100"/>
    <n v="15100"/>
    <n v="15100"/>
    <n v="15100"/>
    <n v="15100"/>
    <n v="15100"/>
    <n v="14500"/>
    <m/>
    <m/>
    <n v="14500"/>
    <n v="14500"/>
    <n v="14500"/>
    <m/>
    <m/>
    <m/>
    <m/>
    <m/>
    <m/>
    <m/>
    <m/>
    <m/>
    <m/>
    <m/>
    <x v="116"/>
    <x v="2"/>
    <x v="1"/>
    <n v="14.5"/>
    <n v="10.875"/>
    <n v="1.11958"/>
    <n v="1.5225000000000002"/>
    <n v="0"/>
    <n v="9.1999999999999998E-2"/>
    <x v="136"/>
    <x v="171"/>
    <n v="120"/>
    <n v="90"/>
    <x v="1"/>
    <n v="0.20413619999999888"/>
    <x v="146"/>
    <x v="175"/>
  </r>
  <r>
    <m/>
    <x v="29"/>
    <x v="0"/>
    <x v="0"/>
    <s v="DP"/>
    <x v="10"/>
    <s v="SUNSHINE BEIGE 752"/>
    <s v="beige"/>
    <n v="752"/>
    <m/>
    <m/>
    <s v="CN"/>
    <x v="0"/>
    <x v="1"/>
    <m/>
    <m/>
    <m/>
    <x v="0"/>
    <m/>
    <m/>
    <m/>
    <s v="ton"/>
    <x v="1"/>
    <x v="1"/>
    <m/>
    <m/>
    <m/>
    <m/>
    <m/>
    <m/>
    <m/>
    <m/>
    <m/>
    <m/>
    <m/>
    <m/>
    <m/>
    <m/>
    <m/>
    <m/>
    <m/>
    <m/>
    <m/>
    <m/>
    <m/>
    <m/>
    <m/>
    <n v="13900"/>
    <n v="13900"/>
    <n v="13900"/>
    <n v="13900"/>
    <n v="13900"/>
    <n v="13900"/>
    <n v="13900"/>
    <n v="13900"/>
    <n v="13900"/>
    <n v="13900"/>
    <n v="13900"/>
    <n v="13900"/>
    <n v="13900"/>
    <n v="13900"/>
    <m/>
    <m/>
    <m/>
    <m/>
    <m/>
    <m/>
    <m/>
    <m/>
    <m/>
    <m/>
    <m/>
    <x v="120"/>
    <x v="2"/>
    <x v="1"/>
    <n v="13.9"/>
    <n v="10.425000000000001"/>
    <n v="1.11958"/>
    <n v="1.4595000000000002"/>
    <n v="0"/>
    <n v="9.1999999999999998E-2"/>
    <x v="141"/>
    <x v="177"/>
    <n v="120"/>
    <n v="90"/>
    <x v="1"/>
    <n v="0.19644119999999887"/>
    <x v="151"/>
    <x v="181"/>
  </r>
  <r>
    <m/>
    <x v="29"/>
    <x v="0"/>
    <x v="0"/>
    <s v="DP"/>
    <x v="10"/>
    <s v="SUNSHINE BEIGE 752"/>
    <s v="beige"/>
    <n v="752"/>
    <m/>
    <m/>
    <s v="CN"/>
    <x v="0"/>
    <x v="2"/>
    <m/>
    <m/>
    <m/>
    <x v="0"/>
    <m/>
    <m/>
    <m/>
    <s v="ton"/>
    <x v="1"/>
    <x v="0"/>
    <m/>
    <m/>
    <m/>
    <m/>
    <m/>
    <m/>
    <m/>
    <m/>
    <m/>
    <m/>
    <m/>
    <m/>
    <m/>
    <m/>
    <m/>
    <m/>
    <m/>
    <m/>
    <m/>
    <m/>
    <m/>
    <m/>
    <m/>
    <m/>
    <n v="1797"/>
    <n v="1797"/>
    <n v="1797"/>
    <m/>
    <m/>
    <m/>
    <m/>
    <m/>
    <m/>
    <m/>
    <m/>
    <m/>
    <m/>
    <m/>
    <m/>
    <m/>
    <m/>
    <m/>
    <m/>
    <m/>
    <m/>
    <m/>
    <m/>
    <m/>
    <x v="121"/>
    <x v="16"/>
    <x v="0"/>
    <n v="1.7969999999999999"/>
    <n v="10.6023"/>
    <n v="1.11958"/>
    <n v="1.4843220000000001"/>
    <n v="0"/>
    <n v="9.1999999999999998E-2"/>
    <x v="142"/>
    <x v="178"/>
    <n v="120"/>
    <n v="90"/>
    <x v="1"/>
    <n v="0.19947302999999827"/>
    <x v="152"/>
    <x v="182"/>
  </r>
  <r>
    <m/>
    <x v="6"/>
    <x v="0"/>
    <x v="0"/>
    <s v="DP"/>
    <x v="10"/>
    <s v="SUNSHINE 0689"/>
    <s v="gray"/>
    <m/>
    <m/>
    <m/>
    <s v="CN"/>
    <x v="0"/>
    <x v="1"/>
    <m/>
    <m/>
    <m/>
    <x v="0"/>
    <m/>
    <m/>
    <m/>
    <s v="ton"/>
    <x v="1"/>
    <x v="1"/>
    <m/>
    <m/>
    <m/>
    <m/>
    <m/>
    <m/>
    <m/>
    <m/>
    <m/>
    <m/>
    <m/>
    <m/>
    <m/>
    <m/>
    <m/>
    <m/>
    <m/>
    <m/>
    <m/>
    <m/>
    <m/>
    <m/>
    <m/>
    <m/>
    <m/>
    <m/>
    <m/>
    <m/>
    <m/>
    <m/>
    <m/>
    <m/>
    <m/>
    <m/>
    <n v="11900"/>
    <n v="11900"/>
    <n v="11900"/>
    <m/>
    <m/>
    <m/>
    <m/>
    <m/>
    <m/>
    <m/>
    <m/>
    <m/>
    <m/>
    <m/>
    <x v="122"/>
    <x v="2"/>
    <x v="1"/>
    <n v="11.9"/>
    <n v="8.9250000000000007"/>
    <n v="1.11958"/>
    <n v="1.2495000000000003"/>
    <n v="0"/>
    <n v="9.1999999999999998E-2"/>
    <x v="143"/>
    <x v="179"/>
    <n v="120"/>
    <n v="90"/>
    <x v="1"/>
    <n v="0.17079119999999826"/>
    <x v="153"/>
    <x v="183"/>
  </r>
  <r>
    <n v="18431"/>
    <x v="5"/>
    <x v="0"/>
    <x v="0"/>
    <s v="DP"/>
    <x v="10"/>
    <s v="SUNSHINE 0483"/>
    <s v="gray"/>
    <n v="483"/>
    <m/>
    <m/>
    <s v="CN"/>
    <x v="0"/>
    <x v="1"/>
    <m/>
    <m/>
    <m/>
    <x v="0"/>
    <m/>
    <m/>
    <m/>
    <s v="ton"/>
    <x v="1"/>
    <x v="1"/>
    <m/>
    <m/>
    <m/>
    <m/>
    <m/>
    <m/>
    <m/>
    <m/>
    <m/>
    <m/>
    <m/>
    <m/>
    <m/>
    <m/>
    <m/>
    <m/>
    <m/>
    <m/>
    <m/>
    <m/>
    <m/>
    <m/>
    <m/>
    <n v="12400"/>
    <n v="12400"/>
    <n v="12400"/>
    <n v="12400"/>
    <n v="12400"/>
    <n v="12400"/>
    <n v="12400"/>
    <n v="12400"/>
    <n v="12400"/>
    <n v="12400"/>
    <n v="12400"/>
    <n v="11900"/>
    <n v="11900"/>
    <n v="11900"/>
    <m/>
    <m/>
    <m/>
    <m/>
    <m/>
    <m/>
    <m/>
    <m/>
    <m/>
    <m/>
    <m/>
    <x v="122"/>
    <x v="2"/>
    <x v="1"/>
    <n v="11.9"/>
    <n v="8.9250000000000007"/>
    <n v="1.11958"/>
    <n v="1.2495000000000003"/>
    <n v="0"/>
    <n v="9.1999999999999998E-2"/>
    <x v="143"/>
    <x v="179"/>
    <n v="120"/>
    <n v="90"/>
    <x v="1"/>
    <n v="0.17079119999999826"/>
    <x v="153"/>
    <x v="183"/>
  </r>
  <r>
    <n v="18431"/>
    <x v="5"/>
    <x v="0"/>
    <x v="0"/>
    <s v="DP"/>
    <x v="10"/>
    <s v="SUNSHINE 0483"/>
    <s v="gray"/>
    <n v="483"/>
    <m/>
    <m/>
    <s v="CN"/>
    <x v="0"/>
    <x v="2"/>
    <m/>
    <m/>
    <m/>
    <x v="0"/>
    <m/>
    <m/>
    <m/>
    <s v="ton"/>
    <x v="1"/>
    <x v="0"/>
    <m/>
    <m/>
    <m/>
    <m/>
    <m/>
    <m/>
    <m/>
    <m/>
    <m/>
    <m/>
    <m/>
    <m/>
    <m/>
    <m/>
    <m/>
    <m/>
    <m/>
    <m/>
    <m/>
    <m/>
    <m/>
    <m/>
    <m/>
    <m/>
    <n v="1600"/>
    <n v="1600"/>
    <n v="1600"/>
    <m/>
    <m/>
    <m/>
    <m/>
    <m/>
    <m/>
    <m/>
    <m/>
    <m/>
    <m/>
    <m/>
    <m/>
    <m/>
    <m/>
    <m/>
    <m/>
    <m/>
    <m/>
    <m/>
    <m/>
    <m/>
    <x v="21"/>
    <x v="16"/>
    <x v="0"/>
    <n v="1.6"/>
    <n v="9.4400000000000013"/>
    <n v="1.11958"/>
    <n v="1.3216000000000003"/>
    <n v="0"/>
    <n v="9.1999999999999998E-2"/>
    <x v="21"/>
    <x v="180"/>
    <n v="120"/>
    <n v="90"/>
    <x v="1"/>
    <n v="0.17959769999999864"/>
    <x v="21"/>
    <x v="184"/>
  </r>
  <r>
    <n v="18443"/>
    <x v="7"/>
    <x v="5"/>
    <x v="0"/>
    <s v="DP"/>
    <x v="10"/>
    <s v="SUNSHINE 0244"/>
    <s v="gray"/>
    <m/>
    <m/>
    <m/>
    <s v="CN"/>
    <x v="0"/>
    <x v="1"/>
    <m/>
    <m/>
    <m/>
    <x v="0"/>
    <m/>
    <m/>
    <m/>
    <s v="ton"/>
    <x v="1"/>
    <x v="1"/>
    <m/>
    <m/>
    <m/>
    <m/>
    <m/>
    <m/>
    <m/>
    <m/>
    <m/>
    <m/>
    <m/>
    <m/>
    <m/>
    <m/>
    <m/>
    <m/>
    <m/>
    <m/>
    <m/>
    <m/>
    <m/>
    <m/>
    <m/>
    <m/>
    <m/>
    <m/>
    <m/>
    <m/>
    <m/>
    <n v="13800"/>
    <n v="13800"/>
    <n v="13800"/>
    <n v="13800"/>
    <m/>
    <n v="13000"/>
    <n v="13000"/>
    <m/>
    <m/>
    <m/>
    <m/>
    <m/>
    <m/>
    <m/>
    <m/>
    <m/>
    <m/>
    <m/>
    <m/>
    <x v="34"/>
    <x v="7"/>
    <x v="1"/>
    <n v="13"/>
    <n v="9.75"/>
    <n v="1.11958"/>
    <n v="1.3650000000000002"/>
    <n v="0"/>
    <n v="9.1999999999999998E-2"/>
    <x v="35"/>
    <x v="181"/>
    <n v="120"/>
    <n v="90"/>
    <x v="1"/>
    <n v="0.18489869999999797"/>
    <x v="35"/>
    <x v="185"/>
  </r>
  <r>
    <n v="18444"/>
    <x v="24"/>
    <x v="5"/>
    <x v="6"/>
    <s v="DP"/>
    <x v="10"/>
    <s v="SUNSHINE 0128K ECO"/>
    <s v="white"/>
    <m/>
    <m/>
    <m/>
    <s v="CN"/>
    <x v="0"/>
    <x v="1"/>
    <m/>
    <m/>
    <m/>
    <x v="0"/>
    <m/>
    <m/>
    <m/>
    <s v="ton"/>
    <x v="1"/>
    <x v="1"/>
    <m/>
    <m/>
    <m/>
    <m/>
    <m/>
    <m/>
    <m/>
    <m/>
    <m/>
    <m/>
    <m/>
    <m/>
    <m/>
    <m/>
    <m/>
    <m/>
    <m/>
    <m/>
    <m/>
    <m/>
    <m/>
    <m/>
    <m/>
    <m/>
    <m/>
    <m/>
    <m/>
    <m/>
    <m/>
    <m/>
    <n v="12500"/>
    <n v="11900"/>
    <n v="11900"/>
    <n v="11900"/>
    <n v="10950"/>
    <n v="10950"/>
    <n v="10950"/>
    <m/>
    <m/>
    <m/>
    <m/>
    <m/>
    <m/>
    <m/>
    <m/>
    <m/>
    <m/>
    <m/>
    <x v="114"/>
    <x v="2"/>
    <x v="1"/>
    <n v="10.95"/>
    <n v="8.2124999999999986"/>
    <n v="1.11958"/>
    <n v="1.1497499999999998"/>
    <n v="0"/>
    <n v="9.1999999999999998E-2"/>
    <x v="134"/>
    <x v="169"/>
    <n v="120"/>
    <n v="90"/>
    <x v="1"/>
    <n v="0.1586074499999981"/>
    <x v="144"/>
    <x v="173"/>
  </r>
  <r>
    <n v="17011"/>
    <x v="0"/>
    <x v="0"/>
    <x v="6"/>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3"/>
    <x v="8"/>
    <x v="98"/>
    <n v="2.64"/>
    <n v="15.576000000000002"/>
    <n v="0.14176320000000001"/>
    <n v="2.0248800000000005"/>
    <n v="0"/>
    <n v="9.1999999999999998E-2"/>
    <x v="144"/>
    <x v="182"/>
    <n v="105"/>
    <n v="120"/>
    <x v="3"/>
    <n v="-0.13227359236201863"/>
    <x v="154"/>
    <x v="186"/>
  </r>
  <r>
    <n v="17011"/>
    <x v="0"/>
    <x v="0"/>
    <x v="6"/>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4"/>
    <x v="8"/>
    <x v="99"/>
    <n v="2.69"/>
    <n v="15.871"/>
    <n v="0.14176320000000001"/>
    <n v="2.0632300000000003"/>
    <n v="0"/>
    <n v="9.1999999999999998E-2"/>
    <x v="74"/>
    <x v="183"/>
    <n v="105"/>
    <n v="120"/>
    <x v="3"/>
    <n v="-0.1347459379828102"/>
    <x v="155"/>
    <x v="187"/>
  </r>
  <r>
    <n v="17011"/>
    <x v="0"/>
    <x v="0"/>
    <x v="6"/>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4"/>
    <x v="8"/>
    <x v="100"/>
    <n v="2.74"/>
    <n v="16.166000000000004"/>
    <n v="0.14176320000000001"/>
    <n v="2.1015800000000007"/>
    <n v="0"/>
    <n v="9.1999999999999998E-2"/>
    <x v="145"/>
    <x v="184"/>
    <n v="105"/>
    <n v="120"/>
    <x v="3"/>
    <n v="-0.13721828360360178"/>
    <x v="156"/>
    <x v="188"/>
  </r>
  <r>
    <n v="17011"/>
    <x v="0"/>
    <x v="0"/>
    <x v="6"/>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5"/>
    <x v="8"/>
    <x v="101"/>
    <n v="2.82"/>
    <n v="16.638000000000002"/>
    <n v="0.14176320000000001"/>
    <n v="2.1629400000000003"/>
    <n v="0"/>
    <n v="9.1999999999999998E-2"/>
    <x v="146"/>
    <x v="185"/>
    <n v="105"/>
    <n v="120"/>
    <x v="3"/>
    <n v="-0.14117403659686545"/>
    <x v="157"/>
    <x v="189"/>
  </r>
  <r>
    <n v="17024"/>
    <x v="0"/>
    <x v="0"/>
    <x v="0"/>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3"/>
    <x v="8"/>
    <x v="98"/>
    <n v="2.64"/>
    <n v="15.576000000000002"/>
    <n v="0.14176320000000001"/>
    <n v="2.0248800000000005"/>
    <n v="0"/>
    <n v="9.1999999999999998E-2"/>
    <x v="144"/>
    <x v="182"/>
    <n v="105"/>
    <n v="120"/>
    <x v="3"/>
    <n v="-0.13227359236201863"/>
    <x v="154"/>
    <x v="186"/>
  </r>
  <r>
    <n v="17024"/>
    <x v="0"/>
    <x v="0"/>
    <x v="0"/>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4"/>
    <x v="8"/>
    <x v="99"/>
    <n v="2.69"/>
    <n v="15.871"/>
    <n v="0.14176320000000001"/>
    <n v="2.0632300000000003"/>
    <n v="0"/>
    <n v="9.1999999999999998E-2"/>
    <x v="74"/>
    <x v="183"/>
    <n v="105"/>
    <n v="120"/>
    <x v="3"/>
    <n v="-0.1347459379828102"/>
    <x v="155"/>
    <x v="187"/>
  </r>
  <r>
    <n v="17024"/>
    <x v="0"/>
    <x v="0"/>
    <x v="0"/>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4"/>
    <x v="8"/>
    <x v="100"/>
    <n v="2.74"/>
    <n v="16.166000000000004"/>
    <n v="0.14176320000000001"/>
    <n v="2.1015800000000007"/>
    <n v="0"/>
    <n v="9.1999999999999998E-2"/>
    <x v="145"/>
    <x v="184"/>
    <n v="105"/>
    <n v="120"/>
    <x v="3"/>
    <n v="-0.13721828360360178"/>
    <x v="156"/>
    <x v="188"/>
  </r>
  <r>
    <n v="17024"/>
    <x v="0"/>
    <x v="0"/>
    <x v="0"/>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5"/>
    <x v="8"/>
    <x v="101"/>
    <n v="2.82"/>
    <n v="16.638000000000002"/>
    <n v="0.14176320000000001"/>
    <n v="2.1629400000000003"/>
    <n v="0"/>
    <n v="9.1999999999999998E-2"/>
    <x v="146"/>
    <x v="185"/>
    <n v="105"/>
    <n v="120"/>
    <x v="3"/>
    <n v="-0.14117403659686545"/>
    <x v="157"/>
    <x v="189"/>
  </r>
  <r>
    <n v="17050"/>
    <x v="0"/>
    <x v="0"/>
    <x v="5"/>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3"/>
    <x v="8"/>
    <x v="98"/>
    <n v="2.64"/>
    <n v="15.576000000000002"/>
    <n v="0.14176320000000001"/>
    <n v="2.0248800000000005"/>
    <n v="0"/>
    <n v="9.1999999999999998E-2"/>
    <x v="144"/>
    <x v="182"/>
    <n v="105"/>
    <n v="120"/>
    <x v="3"/>
    <n v="-0.13227359236201863"/>
    <x v="154"/>
    <x v="186"/>
  </r>
  <r>
    <n v="17050"/>
    <x v="0"/>
    <x v="0"/>
    <x v="5"/>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64"/>
    <x v="8"/>
    <x v="99"/>
    <n v="2.69"/>
    <n v="15.871"/>
    <n v="0.14176320000000001"/>
    <n v="2.0632300000000003"/>
    <n v="0"/>
    <n v="9.1999999999999998E-2"/>
    <x v="74"/>
    <x v="183"/>
    <n v="105"/>
    <n v="120"/>
    <x v="3"/>
    <n v="-0.1347459379828102"/>
    <x v="155"/>
    <x v="187"/>
  </r>
  <r>
    <n v="17050"/>
    <x v="0"/>
    <x v="0"/>
    <x v="5"/>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124"/>
    <x v="8"/>
    <x v="100"/>
    <n v="2.74"/>
    <n v="16.166000000000004"/>
    <n v="0.14176320000000001"/>
    <n v="2.1015800000000007"/>
    <n v="0"/>
    <n v="9.1999999999999998E-2"/>
    <x v="145"/>
    <x v="184"/>
    <n v="105"/>
    <n v="120"/>
    <x v="3"/>
    <n v="-0.13721828360360178"/>
    <x v="156"/>
    <x v="188"/>
  </r>
  <r>
    <n v="17050"/>
    <x v="0"/>
    <x v="0"/>
    <x v="5"/>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5"/>
    <x v="8"/>
    <x v="101"/>
    <n v="2.82"/>
    <n v="16.638000000000002"/>
    <n v="0.14176320000000001"/>
    <n v="2.1629400000000003"/>
    <n v="0"/>
    <n v="9.1999999999999998E-2"/>
    <x v="146"/>
    <x v="185"/>
    <n v="105"/>
    <n v="120"/>
    <x v="3"/>
    <n v="-0.14117403659686545"/>
    <x v="157"/>
    <x v="189"/>
  </r>
  <r>
    <m/>
    <x v="39"/>
    <x v="12"/>
    <x v="15"/>
    <m/>
    <x v="11"/>
    <s v="TECHNOCELL 6424"/>
    <s v="white"/>
    <n v="6424"/>
    <m/>
    <m/>
    <s v="EU"/>
    <x v="2"/>
    <x v="4"/>
    <m/>
    <m/>
    <m/>
    <x v="0"/>
    <m/>
    <m/>
    <m/>
    <s v="ton"/>
    <x v="0"/>
    <x v="0"/>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m/>
    <m/>
    <m/>
    <m/>
    <m/>
    <m/>
    <x v="126"/>
    <x v="8"/>
    <x v="102"/>
    <n v="2.94"/>
    <n v="17.346"/>
    <n v="0.14176320000000001"/>
    <n v="2.2549800000000002"/>
    <n v="0"/>
    <n v="9.1999999999999998E-2"/>
    <x v="147"/>
    <x v="186"/>
    <n v="105"/>
    <n v="120"/>
    <x v="3"/>
    <n v="-0.14710766608676096"/>
    <x v="158"/>
    <x v="190"/>
  </r>
  <r>
    <m/>
    <x v="39"/>
    <x v="12"/>
    <x v="15"/>
    <m/>
    <x v="11"/>
    <s v="TECHNOCELL 6424"/>
    <s v="white"/>
    <n v="6424"/>
    <m/>
    <m/>
    <s v="EU"/>
    <x v="2"/>
    <x v="4"/>
    <m/>
    <m/>
    <m/>
    <x v="0"/>
    <m/>
    <m/>
    <m/>
    <s v="ton"/>
    <x v="12"/>
    <x v="0"/>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m/>
    <m/>
    <m/>
    <m/>
    <m/>
    <m/>
    <x v="127"/>
    <x v="8"/>
    <x v="103"/>
    <n v="2.99"/>
    <n v="17.641000000000002"/>
    <n v="0.14176320000000001"/>
    <n v="2.2933300000000001"/>
    <n v="0"/>
    <n v="9.1999999999999998E-2"/>
    <x v="148"/>
    <x v="187"/>
    <n v="105"/>
    <n v="120"/>
    <x v="3"/>
    <n v="-0.14958001170755253"/>
    <x v="159"/>
    <x v="191"/>
  </r>
  <r>
    <m/>
    <x v="39"/>
    <x v="12"/>
    <x v="15"/>
    <m/>
    <x v="11"/>
    <s v="TECHNOCELL 6424"/>
    <s v="white"/>
    <n v="6424"/>
    <m/>
    <m/>
    <s v="EU"/>
    <x v="2"/>
    <x v="4"/>
    <m/>
    <m/>
    <m/>
    <x v="0"/>
    <m/>
    <m/>
    <m/>
    <s v="ton"/>
    <x v="14"/>
    <x v="0"/>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m/>
    <m/>
    <m/>
    <m/>
    <m/>
    <m/>
    <x v="128"/>
    <x v="8"/>
    <x v="104"/>
    <n v="3.04"/>
    <n v="17.936"/>
    <n v="0.14176320000000001"/>
    <n v="2.33168"/>
    <n v="0"/>
    <n v="9.1999999999999998E-2"/>
    <x v="149"/>
    <x v="188"/>
    <n v="105"/>
    <n v="120"/>
    <x v="3"/>
    <n v="-0.1520523573283441"/>
    <x v="160"/>
    <x v="192"/>
  </r>
  <r>
    <m/>
    <x v="39"/>
    <x v="12"/>
    <x v="15"/>
    <m/>
    <x v="11"/>
    <s v="TECHNOCELL 6424"/>
    <s v="white"/>
    <n v="6424"/>
    <m/>
    <m/>
    <s v="EU"/>
    <x v="2"/>
    <x v="4"/>
    <m/>
    <m/>
    <m/>
    <x v="0"/>
    <m/>
    <m/>
    <m/>
    <s v="ton"/>
    <x v="15"/>
    <x v="0"/>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m/>
    <m/>
    <m/>
    <m/>
    <m/>
    <m/>
    <x v="129"/>
    <x v="8"/>
    <x v="105"/>
    <n v="3.12"/>
    <n v="18.408000000000001"/>
    <n v="0.14176320000000001"/>
    <n v="2.3930400000000001"/>
    <n v="0"/>
    <n v="9.1999999999999998E-2"/>
    <x v="150"/>
    <x v="189"/>
    <n v="105"/>
    <n v="120"/>
    <x v="3"/>
    <n v="-0.15600811032160777"/>
    <x v="161"/>
    <x v="193"/>
  </r>
  <r>
    <n v="17027"/>
    <x v="18"/>
    <x v="4"/>
    <x v="11"/>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0"/>
    <x v="8"/>
    <x v="106"/>
    <n v="2.33"/>
    <n v="13.747000000000002"/>
    <n v="0.14176320000000001"/>
    <n v="1.7871100000000002"/>
    <n v="0"/>
    <n v="9.1999999999999998E-2"/>
    <x v="151"/>
    <x v="190"/>
    <n v="105"/>
    <n v="120"/>
    <x v="3"/>
    <n v="-0.11694504951312013"/>
    <x v="162"/>
    <x v="194"/>
  </r>
  <r>
    <n v="17027"/>
    <x v="18"/>
    <x v="4"/>
    <x v="11"/>
    <s v="DP"/>
    <x v="11"/>
    <s v="TECHNOCELL 6552 STD"/>
    <s v="beige"/>
    <n v="6552"/>
    <m/>
    <m/>
    <s v="EU"/>
    <x v="2"/>
    <x v="4"/>
    <m/>
    <m/>
    <m/>
    <x v="0"/>
    <m/>
    <m/>
    <m/>
    <s v="ton"/>
    <x v="12"/>
    <x v="0"/>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27"/>
    <x v="18"/>
    <x v="4"/>
    <x v="11"/>
    <s v="DP"/>
    <x v="11"/>
    <s v="TECHNOCELL 6552 STD"/>
    <s v="beige"/>
    <n v="6552"/>
    <m/>
    <m/>
    <s v="EU"/>
    <x v="2"/>
    <x v="4"/>
    <m/>
    <m/>
    <m/>
    <x v="0"/>
    <m/>
    <m/>
    <m/>
    <s v="ton"/>
    <x v="14"/>
    <x v="0"/>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27"/>
    <x v="18"/>
    <x v="4"/>
    <x v="11"/>
    <s v="DP"/>
    <x v="11"/>
    <s v="TECHNOCELL 6552 STD"/>
    <s v="beige"/>
    <n v="6552"/>
    <m/>
    <m/>
    <s v="EU"/>
    <x v="2"/>
    <x v="4"/>
    <m/>
    <m/>
    <m/>
    <x v="0"/>
    <m/>
    <m/>
    <m/>
    <s v="ton"/>
    <x v="15"/>
    <x v="0"/>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m/>
    <m/>
    <m/>
    <m/>
    <m/>
    <m/>
    <x v="133"/>
    <x v="8"/>
    <x v="109"/>
    <n v="2.5099999999999998"/>
    <n v="14.808999999999999"/>
    <n v="0.14176320000000001"/>
    <n v="1.92517"/>
    <n v="0"/>
    <n v="9.1999999999999998E-2"/>
    <x v="154"/>
    <x v="193"/>
    <n v="105"/>
    <n v="120"/>
    <x v="3"/>
    <n v="-0.12584549374796339"/>
    <x v="165"/>
    <x v="197"/>
  </r>
  <r>
    <n v="17027"/>
    <x v="18"/>
    <x v="4"/>
    <x v="11"/>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6"/>
    <x v="198"/>
  </r>
  <r>
    <n v="17012"/>
    <x v="18"/>
    <x v="4"/>
    <x v="0"/>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0"/>
    <x v="8"/>
    <x v="106"/>
    <n v="2.33"/>
    <n v="13.747000000000002"/>
    <n v="0.14176320000000001"/>
    <n v="1.7871100000000002"/>
    <n v="0"/>
    <n v="9.1999999999999998E-2"/>
    <x v="151"/>
    <x v="190"/>
    <n v="105"/>
    <n v="120"/>
    <x v="3"/>
    <n v="-0.11694504951312013"/>
    <x v="162"/>
    <x v="194"/>
  </r>
  <r>
    <n v="17012"/>
    <x v="18"/>
    <x v="4"/>
    <x v="0"/>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12"/>
    <x v="18"/>
    <x v="4"/>
    <x v="0"/>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12"/>
    <x v="18"/>
    <x v="4"/>
    <x v="0"/>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3"/>
    <x v="8"/>
    <x v="109"/>
    <n v="2.5099999999999998"/>
    <n v="14.808999999999999"/>
    <n v="0.14176320000000001"/>
    <n v="1.92517"/>
    <n v="0"/>
    <n v="9.1999999999999998E-2"/>
    <x v="154"/>
    <x v="193"/>
    <n v="105"/>
    <n v="120"/>
    <x v="3"/>
    <n v="-0.12584549374796339"/>
    <x v="165"/>
    <x v="197"/>
  </r>
  <r>
    <n v="17012"/>
    <x v="18"/>
    <x v="4"/>
    <x v="0"/>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6"/>
    <x v="198"/>
  </r>
  <r>
    <n v="17028"/>
    <x v="18"/>
    <x v="4"/>
    <x v="5"/>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130"/>
    <x v="8"/>
    <x v="106"/>
    <n v="2.33"/>
    <n v="13.747000000000002"/>
    <n v="0.14176320000000001"/>
    <n v="1.7871100000000002"/>
    <n v="0"/>
    <n v="9.1999999999999998E-2"/>
    <x v="151"/>
    <x v="190"/>
    <n v="105"/>
    <n v="120"/>
    <x v="3"/>
    <n v="-0.11694504951312013"/>
    <x v="162"/>
    <x v="194"/>
  </r>
  <r>
    <n v="17028"/>
    <x v="18"/>
    <x v="4"/>
    <x v="5"/>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28"/>
    <x v="18"/>
    <x v="4"/>
    <x v="5"/>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28"/>
    <x v="18"/>
    <x v="4"/>
    <x v="5"/>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3"/>
    <x v="8"/>
    <x v="109"/>
    <n v="2.5099999999999998"/>
    <n v="14.808999999999999"/>
    <n v="0.14176320000000001"/>
    <n v="1.92517"/>
    <n v="0"/>
    <n v="9.1999999999999998E-2"/>
    <x v="154"/>
    <x v="193"/>
    <n v="105"/>
    <n v="120"/>
    <x v="3"/>
    <n v="-0.12584549374796339"/>
    <x v="165"/>
    <x v="197"/>
  </r>
  <r>
    <n v="17028"/>
    <x v="18"/>
    <x v="4"/>
    <x v="5"/>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6"/>
    <x v="198"/>
  </r>
  <r>
    <n v="17051"/>
    <x v="19"/>
    <x v="13"/>
    <x v="0"/>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4"/>
    <x v="8"/>
    <x v="110"/>
    <n v="2.3199999999999998"/>
    <n v="13.688000000000001"/>
    <n v="0.14176320000000001"/>
    <n v="1.7794400000000001"/>
    <n v="0"/>
    <n v="9.1999999999999998E-2"/>
    <x v="155"/>
    <x v="194"/>
    <n v="105"/>
    <n v="120"/>
    <x v="3"/>
    <n v="-0.11645058038896217"/>
    <x v="167"/>
    <x v="199"/>
  </r>
  <r>
    <n v="17051"/>
    <x v="19"/>
    <x v="13"/>
    <x v="0"/>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8"/>
    <x v="111"/>
    <n v="2.37"/>
    <n v="13.983000000000002"/>
    <n v="0.14176320000000001"/>
    <n v="1.8177900000000005"/>
    <n v="0"/>
    <n v="9.1999999999999998E-2"/>
    <x v="1"/>
    <x v="195"/>
    <n v="105"/>
    <n v="120"/>
    <x v="3"/>
    <n v="-0.11892292600975196"/>
    <x v="168"/>
    <x v="200"/>
  </r>
  <r>
    <n v="17051"/>
    <x v="19"/>
    <x v="13"/>
    <x v="0"/>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5"/>
    <x v="8"/>
    <x v="112"/>
    <n v="2.42"/>
    <n v="14.278"/>
    <n v="0.14176320000000001"/>
    <n v="1.8561400000000001"/>
    <n v="0"/>
    <n v="9.1999999999999998E-2"/>
    <x v="156"/>
    <x v="196"/>
    <n v="105"/>
    <n v="120"/>
    <x v="3"/>
    <n v="-0.12139527163054353"/>
    <x v="169"/>
    <x v="201"/>
  </r>
  <r>
    <n v="17051"/>
    <x v="19"/>
    <x v="13"/>
    <x v="0"/>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59"/>
    <x v="8"/>
    <x v="113"/>
    <n v="2.5"/>
    <n v="14.75"/>
    <n v="0.14176320000000001"/>
    <n v="1.9175"/>
    <n v="0"/>
    <n v="9.1999999999999998E-2"/>
    <x v="66"/>
    <x v="197"/>
    <n v="105"/>
    <n v="120"/>
    <x v="3"/>
    <n v="-0.12535102462380721"/>
    <x v="170"/>
    <x v="202"/>
  </r>
  <r>
    <n v="17054"/>
    <x v="19"/>
    <x v="13"/>
    <x v="21"/>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134"/>
    <x v="8"/>
    <x v="110"/>
    <n v="2.3199999999999998"/>
    <n v="13.688000000000001"/>
    <n v="0.14176320000000001"/>
    <n v="1.7794400000000001"/>
    <n v="0"/>
    <n v="9.1999999999999998E-2"/>
    <x v="155"/>
    <x v="194"/>
    <n v="105"/>
    <n v="120"/>
    <x v="3"/>
    <n v="-0.11645058038896217"/>
    <x v="167"/>
    <x v="199"/>
  </r>
  <r>
    <n v="17054"/>
    <x v="19"/>
    <x v="13"/>
    <x v="21"/>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8"/>
    <x v="111"/>
    <n v="2.37"/>
    <n v="13.983000000000002"/>
    <n v="0.14176320000000001"/>
    <n v="1.8177900000000005"/>
    <n v="0"/>
    <n v="9.1999999999999998E-2"/>
    <x v="1"/>
    <x v="195"/>
    <n v="105"/>
    <n v="120"/>
    <x v="3"/>
    <n v="-0.11892292600975196"/>
    <x v="168"/>
    <x v="200"/>
  </r>
  <r>
    <n v="17054"/>
    <x v="19"/>
    <x v="13"/>
    <x v="21"/>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5"/>
    <x v="8"/>
    <x v="112"/>
    <n v="2.42"/>
    <n v="14.278"/>
    <n v="0.14176320000000001"/>
    <n v="1.8561400000000001"/>
    <n v="0"/>
    <n v="9.1999999999999998E-2"/>
    <x v="156"/>
    <x v="196"/>
    <n v="105"/>
    <n v="120"/>
    <x v="3"/>
    <n v="-0.12139527163054353"/>
    <x v="169"/>
    <x v="201"/>
  </r>
  <r>
    <n v="17054"/>
    <x v="19"/>
    <x v="13"/>
    <x v="21"/>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59"/>
    <x v="8"/>
    <x v="113"/>
    <n v="2.5"/>
    <n v="14.75"/>
    <n v="0.14176320000000001"/>
    <n v="1.9175"/>
    <n v="0"/>
    <n v="9.1999999999999998E-2"/>
    <x v="66"/>
    <x v="197"/>
    <n v="105"/>
    <n v="120"/>
    <x v="3"/>
    <n v="-0.12535102462380721"/>
    <x v="170"/>
    <x v="202"/>
  </r>
  <r>
    <n v="17042"/>
    <x v="40"/>
    <x v="4"/>
    <x v="0"/>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8"/>
    <x v="114"/>
    <n v="2.4500000000000002"/>
    <n v="14.455000000000002"/>
    <n v="0.14176320000000001"/>
    <n v="1.8791500000000003"/>
    <n v="0"/>
    <n v="9.1999999999999998E-2"/>
    <x v="0"/>
    <x v="198"/>
    <n v="105"/>
    <n v="120"/>
    <x v="3"/>
    <n v="-0.12287867900301563"/>
    <x v="171"/>
    <x v="203"/>
  </r>
  <r>
    <n v="17042"/>
    <x v="40"/>
    <x v="4"/>
    <x v="0"/>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983000000000002"/>
    <n v="0.14176320000000001"/>
    <n v="1.8177900000000005"/>
    <n v="0"/>
    <n v="9.1999999999999998E-2"/>
    <x v="1"/>
    <x v="199"/>
    <n v="105"/>
    <n v="120"/>
    <x v="3"/>
    <n v="-0.11892292600975196"/>
    <x v="168"/>
    <x v="204"/>
  </r>
  <r>
    <n v="17042"/>
    <x v="40"/>
    <x v="4"/>
    <x v="0"/>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5"/>
    <x v="7"/>
    <x v="1"/>
    <n v="2.42"/>
    <n v="14.278"/>
    <n v="0.14176320000000001"/>
    <n v="1.8561400000000001"/>
    <n v="0"/>
    <n v="9.1999999999999998E-2"/>
    <x v="156"/>
    <x v="200"/>
    <n v="105"/>
    <n v="120"/>
    <x v="3"/>
    <n v="-0.12139527163054353"/>
    <x v="169"/>
    <x v="205"/>
  </r>
  <r>
    <n v="17042"/>
    <x v="40"/>
    <x v="4"/>
    <x v="0"/>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59"/>
    <x v="7"/>
    <x v="1"/>
    <n v="2.5"/>
    <n v="14.75"/>
    <n v="0.14176320000000001"/>
    <n v="1.9175"/>
    <n v="0"/>
    <n v="9.1999999999999998E-2"/>
    <x v="66"/>
    <x v="201"/>
    <n v="105"/>
    <n v="120"/>
    <x v="3"/>
    <n v="-0.12535102462380721"/>
    <x v="170"/>
    <x v="206"/>
  </r>
  <r>
    <n v="17045"/>
    <x v="40"/>
    <x v="4"/>
    <x v="22"/>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8"/>
    <x v="114"/>
    <n v="2.4500000000000002"/>
    <n v="14.455000000000002"/>
    <n v="0.14176320000000001"/>
    <n v="1.8791500000000003"/>
    <n v="0"/>
    <n v="9.1999999999999998E-2"/>
    <x v="0"/>
    <x v="198"/>
    <n v="105"/>
    <n v="120"/>
    <x v="3"/>
    <n v="-0.12287867900301563"/>
    <x v="171"/>
    <x v="203"/>
  </r>
  <r>
    <n v="17045"/>
    <x v="40"/>
    <x v="4"/>
    <x v="22"/>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983000000000002"/>
    <n v="0.14176320000000001"/>
    <n v="1.8177900000000005"/>
    <n v="0"/>
    <n v="9.1999999999999998E-2"/>
    <x v="1"/>
    <x v="199"/>
    <n v="105"/>
    <n v="120"/>
    <x v="3"/>
    <n v="-0.11892292600975196"/>
    <x v="168"/>
    <x v="204"/>
  </r>
  <r>
    <n v="17045"/>
    <x v="40"/>
    <x v="4"/>
    <x v="22"/>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5"/>
    <x v="7"/>
    <x v="1"/>
    <n v="2.42"/>
    <n v="14.278"/>
    <n v="0.14176320000000001"/>
    <n v="1.8561400000000001"/>
    <n v="0"/>
    <n v="9.1999999999999998E-2"/>
    <x v="156"/>
    <x v="200"/>
    <n v="105"/>
    <n v="120"/>
    <x v="3"/>
    <n v="-0.12139527163054353"/>
    <x v="169"/>
    <x v="205"/>
  </r>
  <r>
    <n v="17045"/>
    <x v="40"/>
    <x v="4"/>
    <x v="22"/>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59"/>
    <x v="7"/>
    <x v="1"/>
    <n v="2.5"/>
    <n v="14.75"/>
    <n v="0.14176320000000001"/>
    <n v="1.9175"/>
    <n v="0"/>
    <n v="9.1999999999999998E-2"/>
    <x v="66"/>
    <x v="201"/>
    <n v="105"/>
    <n v="120"/>
    <x v="3"/>
    <n v="-0.12535102462380721"/>
    <x v="170"/>
    <x v="206"/>
  </r>
  <r>
    <n v="17002"/>
    <x v="11"/>
    <x v="4"/>
    <x v="0"/>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02"/>
    <x v="11"/>
    <x v="4"/>
    <x v="0"/>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02"/>
    <x v="11"/>
    <x v="4"/>
    <x v="0"/>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6"/>
    <x v="8"/>
    <x v="115"/>
    <n v="2.48"/>
    <n v="14.632000000000001"/>
    <n v="0.14176320000000001"/>
    <n v="1.9021600000000003"/>
    <n v="0"/>
    <n v="9.1999999999999998E-2"/>
    <x v="157"/>
    <x v="202"/>
    <n v="105"/>
    <n v="120"/>
    <x v="3"/>
    <n v="-0.12436208637549129"/>
    <x v="172"/>
    <x v="207"/>
  </r>
  <r>
    <n v="17002"/>
    <x v="11"/>
    <x v="4"/>
    <x v="0"/>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7"/>
    <x v="8"/>
    <x v="116"/>
    <n v="2.56"/>
    <n v="15.104000000000001"/>
    <n v="0.14176320000000001"/>
    <n v="1.9635200000000002"/>
    <n v="0"/>
    <n v="9.1999999999999998E-2"/>
    <x v="158"/>
    <x v="203"/>
    <n v="105"/>
    <n v="120"/>
    <x v="3"/>
    <n v="-0.12831783936875496"/>
    <x v="173"/>
    <x v="208"/>
  </r>
  <r>
    <n v="17036"/>
    <x v="11"/>
    <x v="4"/>
    <x v="6"/>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36"/>
    <x v="11"/>
    <x v="4"/>
    <x v="6"/>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36"/>
    <x v="11"/>
    <x v="4"/>
    <x v="6"/>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6"/>
    <x v="8"/>
    <x v="115"/>
    <n v="2.48"/>
    <n v="14.632000000000001"/>
    <n v="0.14176320000000001"/>
    <n v="1.9021600000000003"/>
    <n v="0"/>
    <n v="9.1999999999999998E-2"/>
    <x v="157"/>
    <x v="202"/>
    <n v="105"/>
    <n v="120"/>
    <x v="3"/>
    <n v="-0.12436208637549129"/>
    <x v="172"/>
    <x v="207"/>
  </r>
  <r>
    <n v="17036"/>
    <x v="11"/>
    <x v="4"/>
    <x v="6"/>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7"/>
    <x v="8"/>
    <x v="116"/>
    <n v="2.56"/>
    <n v="15.104000000000001"/>
    <n v="0.14176320000000001"/>
    <n v="1.9635200000000002"/>
    <n v="0"/>
    <n v="9.1999999999999998E-2"/>
    <x v="158"/>
    <x v="203"/>
    <n v="105"/>
    <n v="120"/>
    <x v="3"/>
    <n v="-0.12831783936875496"/>
    <x v="173"/>
    <x v="208"/>
  </r>
  <r>
    <n v="17039"/>
    <x v="11"/>
    <x v="4"/>
    <x v="5"/>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131"/>
    <x v="8"/>
    <x v="107"/>
    <n v="2.38"/>
    <n v="14.042"/>
    <n v="0.14176320000000001"/>
    <n v="1.8254600000000001"/>
    <n v="0"/>
    <n v="9.1999999999999998E-2"/>
    <x v="152"/>
    <x v="191"/>
    <n v="105"/>
    <n v="120"/>
    <x v="3"/>
    <n v="-0.11941739513390992"/>
    <x v="163"/>
    <x v="195"/>
  </r>
  <r>
    <n v="17039"/>
    <x v="11"/>
    <x v="4"/>
    <x v="5"/>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132"/>
    <x v="8"/>
    <x v="108"/>
    <n v="2.4300000000000002"/>
    <n v="14.337000000000002"/>
    <n v="0.14176320000000001"/>
    <n v="1.8638100000000002"/>
    <n v="0"/>
    <n v="9.1999999999999998E-2"/>
    <x v="153"/>
    <x v="192"/>
    <n v="105"/>
    <n v="120"/>
    <x v="3"/>
    <n v="-0.12188974075469972"/>
    <x v="164"/>
    <x v="196"/>
  </r>
  <r>
    <n v="17039"/>
    <x v="11"/>
    <x v="4"/>
    <x v="5"/>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6"/>
    <x v="8"/>
    <x v="115"/>
    <n v="2.48"/>
    <n v="14.632000000000001"/>
    <n v="0.14176320000000001"/>
    <n v="1.9021600000000003"/>
    <n v="0"/>
    <n v="9.1999999999999998E-2"/>
    <x v="157"/>
    <x v="202"/>
    <n v="105"/>
    <n v="120"/>
    <x v="3"/>
    <n v="-0.12436208637549129"/>
    <x v="172"/>
    <x v="207"/>
  </r>
  <r>
    <n v="17039"/>
    <x v="11"/>
    <x v="4"/>
    <x v="5"/>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7"/>
    <x v="8"/>
    <x v="116"/>
    <n v="2.56"/>
    <n v="15.104000000000001"/>
    <n v="0.14176320000000001"/>
    <n v="1.9635200000000002"/>
    <n v="0"/>
    <n v="9.1999999999999998E-2"/>
    <x v="158"/>
    <x v="203"/>
    <n v="105"/>
    <n v="120"/>
    <x v="3"/>
    <n v="-0.12831783936875496"/>
    <x v="173"/>
    <x v="208"/>
  </r>
  <r>
    <n v="17048"/>
    <x v="41"/>
    <x v="0"/>
    <x v="0"/>
    <s v="DP"/>
    <x v="11"/>
    <s v="TECHNOCELL 6412F EIR"/>
    <s v="white"/>
    <s v="6412F"/>
    <m/>
    <m/>
    <s v="EU"/>
    <x v="2"/>
    <x v="4"/>
    <m/>
    <m/>
    <m/>
    <x v="0"/>
    <m/>
    <m/>
    <m/>
    <s v="ton"/>
    <x v="1"/>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m/>
    <m/>
    <m/>
    <m/>
    <m/>
    <m/>
    <x v="56"/>
    <x v="8"/>
    <x v="105"/>
    <n v="2.4"/>
    <n v="14.16"/>
    <n v="0.14176320000000001"/>
    <n v="1.8408"/>
    <n v="0"/>
    <n v="9.1999999999999998E-2"/>
    <x v="159"/>
    <x v="204"/>
    <n v="105"/>
    <n v="120"/>
    <x v="3"/>
    <n v="-0.12040633338222761"/>
    <x v="174"/>
    <x v="209"/>
  </r>
  <r>
    <n v="17048"/>
    <x v="41"/>
    <x v="0"/>
    <x v="0"/>
    <s v="DP"/>
    <x v="11"/>
    <s v="TECHNOCELL 6412F EIR"/>
    <s v="white"/>
    <s v="6412F"/>
    <m/>
    <m/>
    <s v="EU"/>
    <x v="2"/>
    <x v="4"/>
    <m/>
    <m/>
    <m/>
    <x v="0"/>
    <m/>
    <m/>
    <m/>
    <s v="ton"/>
    <x v="0"/>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m/>
    <m/>
    <m/>
    <m/>
    <m/>
    <m/>
    <x v="135"/>
    <x v="8"/>
    <x v="112"/>
    <n v="2.42"/>
    <n v="14.278"/>
    <n v="0.14176320000000001"/>
    <n v="1.8561400000000001"/>
    <n v="0"/>
    <n v="9.1999999999999998E-2"/>
    <x v="156"/>
    <x v="205"/>
    <n v="105"/>
    <n v="120"/>
    <x v="3"/>
    <n v="-0.12139527163054353"/>
    <x v="169"/>
    <x v="210"/>
  </r>
  <r>
    <n v="17048"/>
    <x v="41"/>
    <x v="0"/>
    <x v="0"/>
    <s v="DP"/>
    <x v="11"/>
    <s v="TECHNOCELL 6412F EIR"/>
    <s v="white"/>
    <s v="6412F"/>
    <m/>
    <m/>
    <s v="EU"/>
    <x v="2"/>
    <x v="4"/>
    <m/>
    <m/>
    <m/>
    <x v="0"/>
    <m/>
    <m/>
    <m/>
    <s v="ton"/>
    <x v="12"/>
    <x v="0"/>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m/>
    <m/>
    <m/>
    <m/>
    <m/>
    <m/>
    <x v="58"/>
    <x v="8"/>
    <x v="117"/>
    <n v="2.4700000000000002"/>
    <n v="14.573000000000002"/>
    <n v="0.14176320000000001"/>
    <n v="1.8944900000000005"/>
    <n v="0"/>
    <n v="9.1999999999999998E-2"/>
    <x v="65"/>
    <x v="206"/>
    <n v="105"/>
    <n v="120"/>
    <x v="3"/>
    <n v="-0.12386761725133155"/>
    <x v="175"/>
    <x v="211"/>
  </r>
  <r>
    <n v="17048"/>
    <x v="41"/>
    <x v="0"/>
    <x v="0"/>
    <s v="DP"/>
    <x v="11"/>
    <s v="TECHNOCELL 6412F EIR"/>
    <s v="white"/>
    <s v="6412F"/>
    <m/>
    <m/>
    <s v="EU"/>
    <x v="2"/>
    <x v="4"/>
    <m/>
    <m/>
    <m/>
    <x v="0"/>
    <m/>
    <m/>
    <m/>
    <s v="ton"/>
    <x v="14"/>
    <x v="0"/>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m/>
    <m/>
    <m/>
    <m/>
    <m/>
    <m/>
    <x v="138"/>
    <x v="8"/>
    <x v="118"/>
    <n v="2.52"/>
    <n v="14.868"/>
    <n v="0.14176320000000001"/>
    <n v="1.9328400000000001"/>
    <n v="0"/>
    <n v="9.1999999999999998E-2"/>
    <x v="160"/>
    <x v="207"/>
    <n v="105"/>
    <n v="120"/>
    <x v="3"/>
    <n v="-0.12633996287212312"/>
    <x v="176"/>
    <x v="212"/>
  </r>
  <r>
    <n v="17048"/>
    <x v="41"/>
    <x v="0"/>
    <x v="0"/>
    <s v="DP"/>
    <x v="11"/>
    <s v="TECHNOCELL 6412F EIR"/>
    <s v="white"/>
    <s v="6412F"/>
    <m/>
    <m/>
    <s v="EU"/>
    <x v="2"/>
    <x v="4"/>
    <m/>
    <m/>
    <m/>
    <x v="0"/>
    <m/>
    <m/>
    <m/>
    <s v="ton"/>
    <x v="15"/>
    <x v="0"/>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m/>
    <m/>
    <m/>
    <m/>
    <m/>
    <m/>
    <x v="30"/>
    <x v="8"/>
    <x v="119"/>
    <n v="2.6"/>
    <n v="15.340000000000002"/>
    <n v="0.14176320000000001"/>
    <n v="1.9942000000000002"/>
    <n v="0"/>
    <n v="9.1999999999999998E-2"/>
    <x v="161"/>
    <x v="208"/>
    <n v="105"/>
    <n v="120"/>
    <x v="3"/>
    <n v="-0.1302957158653868"/>
    <x v="177"/>
    <x v="213"/>
  </r>
  <r>
    <n v="17057"/>
    <x v="29"/>
    <x v="0"/>
    <x v="0"/>
    <m/>
    <x v="11"/>
    <s v="TECHNOCELL 5532"/>
    <s v="beige"/>
    <n v="2638"/>
    <m/>
    <m/>
    <s v="EU"/>
    <x v="2"/>
    <x v="4"/>
    <m/>
    <m/>
    <m/>
    <x v="0"/>
    <m/>
    <m/>
    <m/>
    <s v="ton"/>
    <x v="0"/>
    <x v="0"/>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m/>
    <m/>
    <m/>
    <m/>
    <m/>
    <m/>
    <x v="137"/>
    <x v="8"/>
    <x v="116"/>
    <n v="2.56"/>
    <n v="15.104000000000001"/>
    <n v="0.14176320000000001"/>
    <n v="1.9635200000000002"/>
    <n v="0"/>
    <n v="9.1999999999999998E-2"/>
    <x v="158"/>
    <x v="209"/>
    <n v="105"/>
    <n v="120"/>
    <x v="3"/>
    <n v="-0.12831783936875496"/>
    <x v="173"/>
    <x v="214"/>
  </r>
  <r>
    <n v="17057"/>
    <x v="29"/>
    <x v="0"/>
    <x v="0"/>
    <m/>
    <x v="11"/>
    <s v="TECHNOCELL 5532"/>
    <s v="beige"/>
    <n v="2638"/>
    <m/>
    <m/>
    <s v="EU"/>
    <x v="2"/>
    <x v="4"/>
    <m/>
    <m/>
    <m/>
    <x v="0"/>
    <m/>
    <m/>
    <m/>
    <s v="ton"/>
    <x v="12"/>
    <x v="0"/>
    <m/>
    <m/>
    <m/>
    <m/>
    <m/>
    <m/>
    <m/>
    <m/>
    <m/>
    <m/>
    <m/>
    <m/>
    <n v="2210"/>
    <n v="2210"/>
    <n v="2210"/>
    <n v="2390"/>
    <n v="2390"/>
    <n v="2390"/>
    <n v="2540"/>
    <n v="2540"/>
    <n v="2540"/>
    <n v="2540"/>
    <n v="2540"/>
    <n v="2540"/>
    <n v="2460"/>
    <n v="2460"/>
    <n v="2460"/>
    <n v="2260"/>
    <n v="2260"/>
    <n v="2560"/>
    <n v="2560"/>
    <n v="2560"/>
    <n v="2560"/>
    <n v="2480"/>
    <n v="2480"/>
    <n v="2480"/>
    <n v="2510"/>
    <n v="2510"/>
    <n v="2510"/>
    <n v="2610"/>
    <n v="2610"/>
    <n v="2610"/>
    <m/>
    <m/>
    <m/>
    <m/>
    <m/>
    <m/>
    <x v="139"/>
    <x v="8"/>
    <x v="120"/>
    <n v="2.61"/>
    <n v="15.399000000000001"/>
    <n v="0.14176320000000001"/>
    <n v="2.0018700000000003"/>
    <n v="0"/>
    <n v="9.1999999999999998E-2"/>
    <x v="162"/>
    <x v="210"/>
    <n v="105"/>
    <n v="120"/>
    <x v="3"/>
    <n v="-0.13079018498954653"/>
    <x v="178"/>
    <x v="215"/>
  </r>
  <r>
    <n v="17057"/>
    <x v="29"/>
    <x v="0"/>
    <x v="0"/>
    <m/>
    <x v="11"/>
    <s v="TECHNOCELL 5532"/>
    <s v="beige"/>
    <n v="2638"/>
    <m/>
    <m/>
    <s v="EU"/>
    <x v="2"/>
    <x v="4"/>
    <m/>
    <m/>
    <m/>
    <x v="0"/>
    <m/>
    <m/>
    <m/>
    <s v="ton"/>
    <x v="14"/>
    <x v="0"/>
    <m/>
    <m/>
    <m/>
    <m/>
    <m/>
    <m/>
    <m/>
    <m/>
    <m/>
    <m/>
    <m/>
    <m/>
    <n v="2210"/>
    <n v="2210"/>
    <n v="2210"/>
    <n v="2440"/>
    <n v="2440"/>
    <n v="2440"/>
    <n v="2590"/>
    <n v="2590"/>
    <n v="2590"/>
    <n v="2590"/>
    <n v="2590"/>
    <n v="2590"/>
    <n v="2510"/>
    <n v="2510"/>
    <n v="2510"/>
    <n v="2310"/>
    <n v="2310"/>
    <n v="2610"/>
    <n v="2610"/>
    <n v="2610"/>
    <n v="2610"/>
    <n v="2530"/>
    <n v="2530"/>
    <n v="2530"/>
    <n v="2560"/>
    <n v="2560"/>
    <n v="2560"/>
    <n v="2660"/>
    <n v="2660"/>
    <n v="2660"/>
    <m/>
    <m/>
    <m/>
    <m/>
    <m/>
    <m/>
    <x v="140"/>
    <x v="8"/>
    <x v="121"/>
    <n v="2.66"/>
    <n v="15.694000000000003"/>
    <n v="0.14176320000000001"/>
    <n v="2.0402200000000006"/>
    <n v="0"/>
    <n v="9.1999999999999998E-2"/>
    <x v="163"/>
    <x v="211"/>
    <n v="105"/>
    <n v="120"/>
    <x v="3"/>
    <n v="-0.13326253061033455"/>
    <x v="179"/>
    <x v="216"/>
  </r>
  <r>
    <n v="17057"/>
    <x v="29"/>
    <x v="0"/>
    <x v="0"/>
    <m/>
    <x v="11"/>
    <s v="TECHNOCELL 5532"/>
    <s v="beige"/>
    <n v="2638"/>
    <m/>
    <m/>
    <s v="EU"/>
    <x v="2"/>
    <x v="4"/>
    <m/>
    <m/>
    <m/>
    <x v="0"/>
    <m/>
    <m/>
    <m/>
    <s v="ton"/>
    <x v="15"/>
    <x v="0"/>
    <m/>
    <m/>
    <m/>
    <m/>
    <m/>
    <m/>
    <m/>
    <m/>
    <m/>
    <m/>
    <m/>
    <m/>
    <n v="2210"/>
    <n v="2210"/>
    <n v="2210"/>
    <n v="2520"/>
    <n v="2520"/>
    <n v="2520"/>
    <n v="2670"/>
    <n v="2670"/>
    <n v="2670"/>
    <n v="2670"/>
    <n v="2670"/>
    <n v="2670"/>
    <n v="2590"/>
    <n v="2590"/>
    <n v="2590"/>
    <n v="2390"/>
    <n v="2390"/>
    <n v="2690"/>
    <n v="2690"/>
    <n v="2690"/>
    <n v="2690"/>
    <n v="2610"/>
    <n v="2610"/>
    <n v="2610"/>
    <n v="2640"/>
    <n v="2640"/>
    <n v="2640"/>
    <n v="2740"/>
    <n v="2740"/>
    <n v="2740"/>
    <m/>
    <m/>
    <m/>
    <m/>
    <m/>
    <m/>
    <x v="124"/>
    <x v="8"/>
    <x v="100"/>
    <n v="2.74"/>
    <n v="16.166000000000004"/>
    <n v="0.14176320000000001"/>
    <n v="2.1015800000000007"/>
    <n v="0"/>
    <n v="9.1999999999999998E-2"/>
    <x v="145"/>
    <x v="184"/>
    <n v="105"/>
    <n v="120"/>
    <x v="3"/>
    <n v="-0.13721828360360178"/>
    <x v="156"/>
    <x v="188"/>
  </r>
  <r>
    <n v="17058"/>
    <x v="42"/>
    <x v="4"/>
    <x v="0"/>
    <m/>
    <x v="11"/>
    <s v="TECHNOCELL 6287"/>
    <s v="brown"/>
    <n v="6287"/>
    <m/>
    <m/>
    <s v="EU"/>
    <x v="2"/>
    <x v="4"/>
    <m/>
    <m/>
    <m/>
    <x v="0"/>
    <m/>
    <m/>
    <m/>
    <s v="ton"/>
    <x v="0"/>
    <x v="0"/>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m/>
    <m/>
    <m/>
    <m/>
    <m/>
    <m/>
    <x v="141"/>
    <x v="8"/>
    <x v="122"/>
    <n v="2.5299999999999998"/>
    <n v="14.927"/>
    <n v="0.14176320000000001"/>
    <n v="1.94051"/>
    <n v="0"/>
    <n v="9.1999999999999998E-2"/>
    <x v="164"/>
    <x v="212"/>
    <n v="105"/>
    <n v="120"/>
    <x v="3"/>
    <n v="-0.12683443199628286"/>
    <x v="180"/>
    <x v="217"/>
  </r>
  <r>
    <n v="17058"/>
    <x v="42"/>
    <x v="4"/>
    <x v="0"/>
    <m/>
    <x v="11"/>
    <s v="TECHNOCELL 6287"/>
    <s v="brown"/>
    <n v="6287"/>
    <m/>
    <m/>
    <s v="EU"/>
    <x v="2"/>
    <x v="4"/>
    <m/>
    <m/>
    <m/>
    <x v="0"/>
    <m/>
    <m/>
    <m/>
    <s v="ton"/>
    <x v="12"/>
    <x v="0"/>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m/>
    <m/>
    <m/>
    <m/>
    <m/>
    <m/>
    <x v="142"/>
    <x v="8"/>
    <x v="123"/>
    <n v="2.58"/>
    <n v="15.222000000000001"/>
    <n v="0.14176320000000001"/>
    <n v="1.9788600000000003"/>
    <n v="0"/>
    <n v="9.1999999999999998E-2"/>
    <x v="165"/>
    <x v="213"/>
    <n v="105"/>
    <n v="120"/>
    <x v="3"/>
    <n v="-0.12930677761707088"/>
    <x v="181"/>
    <x v="218"/>
  </r>
  <r>
    <n v="17058"/>
    <x v="42"/>
    <x v="4"/>
    <x v="0"/>
    <m/>
    <x v="11"/>
    <s v="TECHNOCELL 6287"/>
    <s v="brown"/>
    <n v="6287"/>
    <m/>
    <m/>
    <s v="EU"/>
    <x v="2"/>
    <x v="4"/>
    <m/>
    <m/>
    <m/>
    <x v="0"/>
    <m/>
    <m/>
    <m/>
    <s v="ton"/>
    <x v="14"/>
    <x v="0"/>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m/>
    <m/>
    <m/>
    <m/>
    <m/>
    <m/>
    <x v="5"/>
    <x v="8"/>
    <x v="124"/>
    <n v="2.63"/>
    <n v="15.516999999999999"/>
    <n v="0.14176320000000001"/>
    <n v="2.0172099999999999"/>
    <n v="0"/>
    <n v="9.1999999999999998E-2"/>
    <x v="5"/>
    <x v="214"/>
    <n v="105"/>
    <n v="120"/>
    <x v="3"/>
    <n v="-0.13177912323786245"/>
    <x v="182"/>
    <x v="219"/>
  </r>
  <r>
    <n v="17058"/>
    <x v="42"/>
    <x v="4"/>
    <x v="0"/>
    <m/>
    <x v="11"/>
    <s v="TECHNOCELL 6287"/>
    <s v="brown"/>
    <n v="6287"/>
    <m/>
    <m/>
    <s v="EU"/>
    <x v="2"/>
    <x v="4"/>
    <m/>
    <m/>
    <m/>
    <x v="0"/>
    <m/>
    <m/>
    <m/>
    <s v="ton"/>
    <x v="15"/>
    <x v="0"/>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m/>
    <m/>
    <m/>
    <m/>
    <m/>
    <m/>
    <x v="65"/>
    <x v="8"/>
    <x v="125"/>
    <n v="2.71"/>
    <n v="15.989000000000001"/>
    <n v="0.14176320000000001"/>
    <n v="2.07857"/>
    <n v="0"/>
    <n v="9.1999999999999998E-2"/>
    <x v="75"/>
    <x v="99"/>
    <n v="105"/>
    <n v="120"/>
    <x v="3"/>
    <n v="-0.13573487623112612"/>
    <x v="183"/>
    <x v="220"/>
  </r>
  <r>
    <n v="17059"/>
    <x v="42"/>
    <x v="5"/>
    <x v="0"/>
    <m/>
    <x v="11"/>
    <s v="TECHNOCELL 6287"/>
    <s v="brown"/>
    <n v="6287"/>
    <m/>
    <m/>
    <s v="EU"/>
    <x v="2"/>
    <x v="4"/>
    <m/>
    <m/>
    <m/>
    <x v="0"/>
    <m/>
    <m/>
    <m/>
    <s v="ton"/>
    <x v="0"/>
    <x v="0"/>
    <m/>
    <m/>
    <m/>
    <m/>
    <m/>
    <m/>
    <m/>
    <m/>
    <m/>
    <m/>
    <m/>
    <m/>
    <m/>
    <m/>
    <m/>
    <n v="2340"/>
    <n v="2340"/>
    <n v="2340"/>
    <n v="2490"/>
    <n v="2490"/>
    <n v="2490"/>
    <n v="2490"/>
    <n v="2490"/>
    <n v="2490"/>
    <n v="2410"/>
    <n v="2410"/>
    <n v="2410"/>
    <n v="2210"/>
    <n v="2210"/>
    <n v="2510"/>
    <n v="2510"/>
    <n v="2510"/>
    <n v="2510"/>
    <n v="2430"/>
    <n v="2430"/>
    <n v="2430"/>
    <n v="2480"/>
    <n v="2480"/>
    <n v="2480"/>
    <n v="2580"/>
    <n v="2580"/>
    <n v="2580"/>
    <m/>
    <m/>
    <m/>
    <m/>
    <m/>
    <m/>
    <x v="142"/>
    <x v="8"/>
    <x v="123"/>
    <n v="2.58"/>
    <n v="15.222000000000001"/>
    <n v="0.14176320000000001"/>
    <n v="1.9788600000000003"/>
    <n v="0"/>
    <n v="9.1999999999999998E-2"/>
    <x v="165"/>
    <x v="215"/>
    <n v="105"/>
    <n v="120"/>
    <x v="3"/>
    <n v="-0.12930677761707088"/>
    <x v="181"/>
    <x v="221"/>
  </r>
  <r>
    <n v="17059"/>
    <x v="42"/>
    <x v="5"/>
    <x v="0"/>
    <m/>
    <x v="11"/>
    <s v="TECHNOCELL 6287"/>
    <s v="brown"/>
    <n v="6287"/>
    <m/>
    <m/>
    <s v="EU"/>
    <x v="2"/>
    <x v="4"/>
    <m/>
    <m/>
    <m/>
    <x v="0"/>
    <m/>
    <m/>
    <m/>
    <s v="ton"/>
    <x v="12"/>
    <x v="0"/>
    <m/>
    <m/>
    <m/>
    <m/>
    <m/>
    <m/>
    <m/>
    <m/>
    <m/>
    <m/>
    <m/>
    <m/>
    <m/>
    <m/>
    <m/>
    <n v="2390"/>
    <n v="2390"/>
    <n v="2390"/>
    <n v="2540"/>
    <n v="2540"/>
    <n v="2540"/>
    <n v="2540"/>
    <n v="2540"/>
    <n v="2540"/>
    <n v="2460"/>
    <n v="2460"/>
    <n v="2460"/>
    <n v="2260"/>
    <n v="2260"/>
    <n v="2560"/>
    <n v="2560"/>
    <n v="2560"/>
    <n v="2560"/>
    <n v="2480"/>
    <n v="2480"/>
    <n v="2480"/>
    <n v="2530"/>
    <n v="2530"/>
    <n v="2530"/>
    <n v="2630"/>
    <n v="2630"/>
    <n v="2630"/>
    <m/>
    <m/>
    <m/>
    <m/>
    <m/>
    <m/>
    <x v="5"/>
    <x v="8"/>
    <x v="124"/>
    <n v="2.63"/>
    <n v="15.516999999999999"/>
    <n v="0.14176320000000001"/>
    <n v="2.0172099999999999"/>
    <n v="0"/>
    <n v="9.1999999999999998E-2"/>
    <x v="5"/>
    <x v="216"/>
    <n v="105"/>
    <n v="120"/>
    <x v="3"/>
    <n v="-0.13177912323786245"/>
    <x v="182"/>
    <x v="222"/>
  </r>
  <r>
    <n v="17059"/>
    <x v="42"/>
    <x v="5"/>
    <x v="0"/>
    <m/>
    <x v="11"/>
    <s v="TECHNOCELL 6287"/>
    <s v="brown"/>
    <n v="6287"/>
    <m/>
    <m/>
    <s v="EU"/>
    <x v="2"/>
    <x v="4"/>
    <m/>
    <m/>
    <m/>
    <x v="0"/>
    <m/>
    <m/>
    <m/>
    <s v="ton"/>
    <x v="14"/>
    <x v="0"/>
    <m/>
    <m/>
    <m/>
    <m/>
    <m/>
    <m/>
    <m/>
    <m/>
    <m/>
    <m/>
    <m/>
    <m/>
    <m/>
    <m/>
    <m/>
    <n v="2440"/>
    <n v="2440"/>
    <n v="2440"/>
    <n v="2590"/>
    <n v="2590"/>
    <n v="2590"/>
    <n v="2590"/>
    <n v="2590"/>
    <n v="2590"/>
    <n v="2510"/>
    <n v="2510"/>
    <n v="2510"/>
    <n v="2310"/>
    <n v="2310"/>
    <n v="2610"/>
    <n v="2610"/>
    <n v="2610"/>
    <n v="2610"/>
    <n v="2530"/>
    <n v="2530"/>
    <n v="2530"/>
    <n v="2580"/>
    <n v="2580"/>
    <n v="2580"/>
    <n v="2680"/>
    <n v="2680"/>
    <n v="2680"/>
    <m/>
    <m/>
    <m/>
    <m/>
    <m/>
    <m/>
    <x v="143"/>
    <x v="8"/>
    <x v="126"/>
    <n v="2.68"/>
    <n v="15.812000000000001"/>
    <n v="0.14176320000000001"/>
    <n v="2.0555600000000003"/>
    <n v="0"/>
    <n v="9.1999999999999998E-2"/>
    <x v="166"/>
    <x v="217"/>
    <n v="105"/>
    <n v="120"/>
    <x v="3"/>
    <n v="-0.13425146885865402"/>
    <x v="184"/>
    <x v="223"/>
  </r>
  <r>
    <n v="17059"/>
    <x v="42"/>
    <x v="5"/>
    <x v="0"/>
    <m/>
    <x v="11"/>
    <s v="TECHNOCELL 6287"/>
    <s v="brown"/>
    <n v="6287"/>
    <m/>
    <m/>
    <s v="EU"/>
    <x v="2"/>
    <x v="4"/>
    <m/>
    <m/>
    <m/>
    <x v="0"/>
    <m/>
    <m/>
    <m/>
    <s v="ton"/>
    <x v="15"/>
    <x v="0"/>
    <m/>
    <m/>
    <m/>
    <m/>
    <m/>
    <m/>
    <m/>
    <m/>
    <m/>
    <m/>
    <m/>
    <m/>
    <m/>
    <m/>
    <m/>
    <n v="2520"/>
    <n v="2520"/>
    <n v="2520"/>
    <n v="2670"/>
    <n v="2670"/>
    <n v="2670"/>
    <n v="2670"/>
    <n v="2670"/>
    <n v="2670"/>
    <n v="2590"/>
    <n v="2590"/>
    <n v="2590"/>
    <n v="2390"/>
    <n v="2390"/>
    <n v="2690"/>
    <n v="2690"/>
    <n v="2690"/>
    <n v="2690"/>
    <n v="2610"/>
    <n v="2610"/>
    <n v="2610"/>
    <n v="2660"/>
    <n v="2660"/>
    <n v="2660"/>
    <n v="2760"/>
    <n v="2760"/>
    <n v="2760"/>
    <m/>
    <m/>
    <m/>
    <m/>
    <m/>
    <m/>
    <x v="66"/>
    <x v="8"/>
    <x v="127"/>
    <n v="2.76"/>
    <n v="16.283999999999999"/>
    <n v="0.14176320000000001"/>
    <n v="2.1169199999999999"/>
    <n v="0"/>
    <n v="9.1999999999999998E-2"/>
    <x v="76"/>
    <x v="218"/>
    <n v="105"/>
    <n v="120"/>
    <x v="3"/>
    <n v="-0.13820722185191769"/>
    <x v="185"/>
    <x v="224"/>
  </r>
  <r>
    <n v="17062"/>
    <x v="43"/>
    <x v="4"/>
    <x v="0"/>
    <m/>
    <x v="11"/>
    <s v="TECHNOCELL 7936"/>
    <s v="beige"/>
    <n v="7936"/>
    <m/>
    <m/>
    <s v="EU"/>
    <x v="2"/>
    <x v="4"/>
    <m/>
    <m/>
    <m/>
    <x v="0"/>
    <m/>
    <m/>
    <m/>
    <s v="ton"/>
    <x v="0"/>
    <x v="0"/>
    <m/>
    <m/>
    <m/>
    <m/>
    <m/>
    <m/>
    <m/>
    <m/>
    <m/>
    <m/>
    <m/>
    <m/>
    <m/>
    <m/>
    <m/>
    <m/>
    <m/>
    <m/>
    <m/>
    <m/>
    <m/>
    <m/>
    <m/>
    <m/>
    <m/>
    <m/>
    <m/>
    <m/>
    <m/>
    <n v="2680"/>
    <n v="2680"/>
    <n v="2680"/>
    <n v="2680"/>
    <m/>
    <m/>
    <m/>
    <m/>
    <m/>
    <m/>
    <m/>
    <m/>
    <m/>
    <m/>
    <m/>
    <m/>
    <m/>
    <m/>
    <m/>
    <x v="143"/>
    <x v="15"/>
    <x v="0"/>
    <n v="2.68"/>
    <n v="15.812000000000001"/>
    <n v="0.14176320000000001"/>
    <n v="2.0555600000000003"/>
    <n v="0"/>
    <n v="9.1999999999999998E-2"/>
    <x v="166"/>
    <x v="219"/>
    <n v="105"/>
    <n v="120"/>
    <x v="3"/>
    <n v="-0.13425146885865402"/>
    <x v="184"/>
    <x v="225"/>
  </r>
  <r>
    <n v="17063"/>
    <x v="44"/>
    <x v="4"/>
    <x v="0"/>
    <m/>
    <x v="11"/>
    <s v="TECHNOCELL 8522"/>
    <s v="gray"/>
    <n v="8522"/>
    <m/>
    <m/>
    <s v="EU"/>
    <x v="2"/>
    <x v="4"/>
    <m/>
    <m/>
    <m/>
    <x v="0"/>
    <m/>
    <m/>
    <m/>
    <s v="ton"/>
    <x v="0"/>
    <x v="0"/>
    <m/>
    <m/>
    <m/>
    <m/>
    <m/>
    <m/>
    <m/>
    <m/>
    <m/>
    <m/>
    <m/>
    <m/>
    <m/>
    <m/>
    <m/>
    <m/>
    <m/>
    <m/>
    <m/>
    <m/>
    <m/>
    <m/>
    <m/>
    <m/>
    <m/>
    <m/>
    <m/>
    <m/>
    <m/>
    <n v="2680"/>
    <n v="2680"/>
    <n v="2680"/>
    <n v="2680"/>
    <m/>
    <m/>
    <m/>
    <m/>
    <m/>
    <m/>
    <m/>
    <m/>
    <m/>
    <m/>
    <m/>
    <m/>
    <m/>
    <m/>
    <m/>
    <x v="143"/>
    <x v="15"/>
    <x v="0"/>
    <n v="2.68"/>
    <n v="15.812000000000001"/>
    <n v="0.14176320000000001"/>
    <n v="2.0555600000000003"/>
    <n v="0"/>
    <n v="9.1999999999999998E-2"/>
    <x v="166"/>
    <x v="219"/>
    <n v="105"/>
    <n v="120"/>
    <x v="3"/>
    <n v="-0.13425146885865402"/>
    <x v="184"/>
    <x v="225"/>
  </r>
  <r>
    <n v="17023"/>
    <x v="45"/>
    <x v="7"/>
    <x v="0"/>
    <m/>
    <x v="11"/>
    <s v="TECHNOCELL 6723 LOP"/>
    <s v="white"/>
    <n v="6723"/>
    <m/>
    <m/>
    <s v="EU"/>
    <x v="2"/>
    <x v="4"/>
    <m/>
    <m/>
    <m/>
    <x v="0"/>
    <m/>
    <m/>
    <m/>
    <s v="ton"/>
    <x v="0"/>
    <x v="0"/>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m/>
    <m/>
    <m/>
    <m/>
    <m/>
    <m/>
    <x v="57"/>
    <x v="8"/>
    <x v="128"/>
    <n v="2.41"/>
    <n v="14.219000000000001"/>
    <n v="0.14176320000000001"/>
    <n v="1.8484700000000003"/>
    <n v="0"/>
    <n v="9.1999999999999998E-2"/>
    <x v="167"/>
    <x v="220"/>
    <n v="105"/>
    <n v="120"/>
    <x v="3"/>
    <n v="-0.1209008025063838"/>
    <x v="186"/>
    <x v="226"/>
  </r>
  <r>
    <n v="17023"/>
    <x v="45"/>
    <x v="7"/>
    <x v="0"/>
    <m/>
    <x v="11"/>
    <s v="TECHNOCELL 6723 LOP"/>
    <s v="white"/>
    <n v="6723"/>
    <m/>
    <m/>
    <s v="EU"/>
    <x v="2"/>
    <x v="4"/>
    <m/>
    <m/>
    <m/>
    <x v="0"/>
    <m/>
    <m/>
    <m/>
    <s v="ton"/>
    <x v="12"/>
    <x v="0"/>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130"/>
    <x v="7"/>
    <x v="1"/>
    <n v="2.33"/>
    <n v="13.747000000000002"/>
    <n v="0.14176320000000001"/>
    <n v="1.7871100000000002"/>
    <n v="0"/>
    <n v="9.1999999999999998E-2"/>
    <x v="151"/>
    <x v="221"/>
    <n v="105"/>
    <n v="120"/>
    <x v="3"/>
    <n v="-0.11694504951312013"/>
    <x v="162"/>
    <x v="227"/>
  </r>
  <r>
    <n v="17023"/>
    <x v="45"/>
    <x v="7"/>
    <x v="0"/>
    <m/>
    <x v="11"/>
    <s v="TECHNOCELL 6723 LOP"/>
    <s v="white"/>
    <n v="6723"/>
    <m/>
    <m/>
    <s v="EU"/>
    <x v="2"/>
    <x v="4"/>
    <m/>
    <m/>
    <m/>
    <x v="0"/>
    <m/>
    <m/>
    <m/>
    <s v="ton"/>
    <x v="14"/>
    <x v="0"/>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131"/>
    <x v="7"/>
    <x v="1"/>
    <n v="2.38"/>
    <n v="14.042"/>
    <n v="0.14176320000000001"/>
    <n v="1.8254600000000001"/>
    <n v="0"/>
    <n v="9.1999999999999998E-2"/>
    <x v="152"/>
    <x v="222"/>
    <n v="105"/>
    <n v="120"/>
    <x v="3"/>
    <n v="-0.11941739513390992"/>
    <x v="163"/>
    <x v="228"/>
  </r>
  <r>
    <n v="17023"/>
    <x v="45"/>
    <x v="7"/>
    <x v="0"/>
    <m/>
    <x v="11"/>
    <s v="TECHNOCELL 6723 LOP"/>
    <s v="white"/>
    <n v="6723"/>
    <m/>
    <m/>
    <s v="EU"/>
    <x v="2"/>
    <x v="4"/>
    <m/>
    <m/>
    <m/>
    <x v="0"/>
    <m/>
    <m/>
    <m/>
    <s v="ton"/>
    <x v="15"/>
    <x v="0"/>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144"/>
    <x v="7"/>
    <x v="1"/>
    <n v="2.46"/>
    <n v="14.514000000000001"/>
    <n v="0.14176320000000001"/>
    <n v="1.8868200000000002"/>
    <n v="0"/>
    <n v="9.1999999999999998E-2"/>
    <x v="168"/>
    <x v="223"/>
    <n v="105"/>
    <n v="120"/>
    <x v="3"/>
    <n v="-0.12337314812717537"/>
    <x v="187"/>
    <x v="229"/>
  </r>
  <r>
    <n v="11205"/>
    <x v="12"/>
    <x v="1"/>
    <x v="7"/>
    <s v="IP"/>
    <x v="11"/>
    <s v="TECHNOCELL 3222"/>
    <s v="black"/>
    <n v="3222"/>
    <m/>
    <m/>
    <s v="EU"/>
    <x v="2"/>
    <x v="4"/>
    <m/>
    <m/>
    <m/>
    <x v="0"/>
    <m/>
    <m/>
    <m/>
    <s v="ton"/>
    <x v="7"/>
    <x v="0"/>
    <m/>
    <m/>
    <m/>
    <n v="2680"/>
    <n v="2680"/>
    <n v="2680"/>
    <m/>
    <m/>
    <m/>
    <n v="2110"/>
    <n v="2110"/>
    <n v="2110"/>
    <m/>
    <m/>
    <m/>
    <m/>
    <m/>
    <n v="2330"/>
    <m/>
    <m/>
    <m/>
    <n v="2540"/>
    <n v="2540"/>
    <n v="2540"/>
    <n v="2540"/>
    <n v="2540"/>
    <n v="2540"/>
    <n v="2320"/>
    <n v="2320"/>
    <n v="2320"/>
    <m/>
    <m/>
    <m/>
    <m/>
    <m/>
    <m/>
    <m/>
    <m/>
    <m/>
    <m/>
    <m/>
    <m/>
    <m/>
    <m/>
    <m/>
    <m/>
    <m/>
    <m/>
    <x v="134"/>
    <x v="3"/>
    <x v="0"/>
    <n v="2.3199999999999998"/>
    <n v="13.688000000000001"/>
    <n v="0.14176320000000001"/>
    <n v="1.7794400000000001"/>
    <n v="0"/>
    <n v="9.1999999999999998E-2"/>
    <x v="155"/>
    <x v="224"/>
    <n v="105"/>
    <n v="120"/>
    <x v="3"/>
    <n v="-0.11645058038896217"/>
    <x v="167"/>
    <x v="230"/>
  </r>
  <r>
    <n v="11207"/>
    <x v="12"/>
    <x v="4"/>
    <x v="2"/>
    <s v="IP"/>
    <x v="11"/>
    <s v="TECHNOCELL 3222"/>
    <s v="black"/>
    <n v="3222"/>
    <m/>
    <m/>
    <s v="EU"/>
    <x v="2"/>
    <x v="4"/>
    <m/>
    <m/>
    <m/>
    <x v="0"/>
    <m/>
    <m/>
    <m/>
    <s v="ton"/>
    <x v="7"/>
    <x v="0"/>
    <m/>
    <m/>
    <m/>
    <m/>
    <m/>
    <m/>
    <m/>
    <m/>
    <m/>
    <n v="2210"/>
    <n v="2210"/>
    <n v="2210"/>
    <m/>
    <m/>
    <m/>
    <m/>
    <m/>
    <m/>
    <m/>
    <m/>
    <m/>
    <m/>
    <m/>
    <m/>
    <m/>
    <m/>
    <m/>
    <m/>
    <m/>
    <m/>
    <m/>
    <m/>
    <m/>
    <m/>
    <m/>
    <m/>
    <m/>
    <m/>
    <m/>
    <m/>
    <m/>
    <m/>
    <m/>
    <m/>
    <m/>
    <m/>
    <m/>
    <m/>
    <x v="38"/>
    <x v="11"/>
    <x v="0"/>
    <n v="2.21"/>
    <n v="13.039"/>
    <n v="0.14176320000000001"/>
    <n v="1.6950700000000001"/>
    <n v="0"/>
    <n v="9.1999999999999998E-2"/>
    <x v="88"/>
    <x v="225"/>
    <n v="105"/>
    <n v="120"/>
    <x v="3"/>
    <n v="-0.11101142002322284"/>
    <x v="188"/>
    <x v="231"/>
  </r>
  <r>
    <n v="11305"/>
    <x v="2"/>
    <x v="1"/>
    <x v="2"/>
    <m/>
    <x v="11"/>
    <s v="TECHNOCELL MPK8222"/>
    <s v="black"/>
    <n v="8222"/>
    <m/>
    <m/>
    <s v="EU"/>
    <x v="2"/>
    <x v="4"/>
    <m/>
    <m/>
    <m/>
    <x v="0"/>
    <m/>
    <m/>
    <m/>
    <s v="ton"/>
    <x v="1"/>
    <x v="0"/>
    <m/>
    <m/>
    <m/>
    <m/>
    <m/>
    <m/>
    <m/>
    <m/>
    <m/>
    <m/>
    <m/>
    <m/>
    <m/>
    <m/>
    <m/>
    <m/>
    <m/>
    <m/>
    <m/>
    <m/>
    <m/>
    <m/>
    <m/>
    <m/>
    <m/>
    <m/>
    <m/>
    <n v="2470"/>
    <n v="2470"/>
    <n v="2470"/>
    <m/>
    <m/>
    <m/>
    <m/>
    <m/>
    <m/>
    <m/>
    <m/>
    <m/>
    <m/>
    <m/>
    <m/>
    <m/>
    <m/>
    <m/>
    <m/>
    <m/>
    <m/>
    <x v="58"/>
    <x v="3"/>
    <x v="0"/>
    <n v="2.4700000000000002"/>
    <n v="14.573000000000002"/>
    <n v="0.14176320000000001"/>
    <n v="1.8944900000000005"/>
    <n v="0"/>
    <n v="9.1999999999999998E-2"/>
    <x v="65"/>
    <x v="226"/>
    <n v="105"/>
    <n v="120"/>
    <x v="3"/>
    <n v="-0.12386761725133155"/>
    <x v="175"/>
    <x v="232"/>
  </r>
  <r>
    <n v="11214"/>
    <x v="46"/>
    <x v="1"/>
    <x v="7"/>
    <m/>
    <x v="11"/>
    <s v="TECHNOCELL 5481"/>
    <s v="white"/>
    <n v="5481"/>
    <m/>
    <m/>
    <s v="EU"/>
    <x v="2"/>
    <x v="4"/>
    <m/>
    <m/>
    <m/>
    <x v="0"/>
    <m/>
    <m/>
    <m/>
    <s v="ton"/>
    <x v="7"/>
    <x v="0"/>
    <m/>
    <m/>
    <m/>
    <n v="3010"/>
    <n v="3010"/>
    <n v="3010"/>
    <m/>
    <m/>
    <m/>
    <m/>
    <m/>
    <m/>
    <m/>
    <m/>
    <m/>
    <m/>
    <m/>
    <m/>
    <m/>
    <m/>
    <m/>
    <m/>
    <m/>
    <m/>
    <m/>
    <m/>
    <m/>
    <m/>
    <m/>
    <m/>
    <m/>
    <m/>
    <m/>
    <m/>
    <m/>
    <m/>
    <m/>
    <m/>
    <m/>
    <m/>
    <m/>
    <m/>
    <m/>
    <m/>
    <m/>
    <m/>
    <m/>
    <m/>
    <x v="94"/>
    <x v="19"/>
    <x v="0"/>
    <n v="3.01"/>
    <n v="17.759"/>
    <n v="0.14176320000000001"/>
    <n v="2.3086700000000002"/>
    <n v="0"/>
    <n v="9.1999999999999998E-2"/>
    <x v="113"/>
    <x v="144"/>
    <n v="105"/>
    <n v="120"/>
    <x v="3"/>
    <n v="-0.15056894995586845"/>
    <x v="189"/>
    <x v="233"/>
  </r>
  <r>
    <n v="11301"/>
    <x v="47"/>
    <x v="0"/>
    <x v="0"/>
    <s v="DP"/>
    <x v="11"/>
    <s v="TECHNOCELL 4478"/>
    <s v="gray"/>
    <n v="4478"/>
    <m/>
    <m/>
    <s v="EU"/>
    <x v="2"/>
    <x v="4"/>
    <m/>
    <m/>
    <m/>
    <x v="0"/>
    <m/>
    <m/>
    <m/>
    <s v="ton"/>
    <x v="0"/>
    <x v="0"/>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m/>
    <m/>
    <m/>
    <m/>
    <m/>
    <m/>
    <x v="1"/>
    <x v="8"/>
    <x v="111"/>
    <n v="2.37"/>
    <n v="13.983000000000002"/>
    <n v="0.14176320000000001"/>
    <n v="1.8177900000000005"/>
    <n v="0"/>
    <n v="9.1999999999999998E-2"/>
    <x v="1"/>
    <x v="1"/>
    <n v="105"/>
    <n v="120"/>
    <x v="3"/>
    <n v="-0.11892292600975196"/>
    <x v="168"/>
    <x v="234"/>
  </r>
  <r>
    <n v="11301"/>
    <x v="47"/>
    <x v="0"/>
    <x v="0"/>
    <s v="DP"/>
    <x v="11"/>
    <s v="TECHNOCELL 4478"/>
    <s v="gray"/>
    <n v="4478"/>
    <m/>
    <m/>
    <s v="EU"/>
    <x v="2"/>
    <x v="4"/>
    <m/>
    <m/>
    <m/>
    <x v="0"/>
    <m/>
    <m/>
    <m/>
    <s v="ton"/>
    <x v="12"/>
    <x v="0"/>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m/>
    <m/>
    <m/>
    <m/>
    <m/>
    <m/>
    <x v="135"/>
    <x v="8"/>
    <x v="112"/>
    <n v="2.42"/>
    <n v="14.278"/>
    <n v="0.14176320000000001"/>
    <n v="1.8561400000000001"/>
    <n v="0"/>
    <n v="9.1999999999999998E-2"/>
    <x v="156"/>
    <x v="205"/>
    <n v="105"/>
    <n v="120"/>
    <x v="3"/>
    <n v="-0.12139527163054353"/>
    <x v="169"/>
    <x v="210"/>
  </r>
  <r>
    <n v="11301"/>
    <x v="47"/>
    <x v="0"/>
    <x v="0"/>
    <s v="DP"/>
    <x v="11"/>
    <s v="TECHNOCELL 4478"/>
    <s v="gray"/>
    <n v="4478"/>
    <m/>
    <m/>
    <s v="EU"/>
    <x v="2"/>
    <x v="4"/>
    <m/>
    <m/>
    <m/>
    <x v="0"/>
    <m/>
    <m/>
    <m/>
    <s v="ton"/>
    <x v="14"/>
    <x v="0"/>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m/>
    <m/>
    <m/>
    <m/>
    <m/>
    <m/>
    <x v="58"/>
    <x v="8"/>
    <x v="117"/>
    <n v="2.4700000000000002"/>
    <n v="14.573000000000002"/>
    <n v="0.14176320000000001"/>
    <n v="1.8944900000000005"/>
    <n v="0"/>
    <n v="9.1999999999999998E-2"/>
    <x v="65"/>
    <x v="206"/>
    <n v="105"/>
    <n v="120"/>
    <x v="3"/>
    <n v="-0.12386761725133155"/>
    <x v="175"/>
    <x v="211"/>
  </r>
  <r>
    <n v="11301"/>
    <x v="47"/>
    <x v="0"/>
    <x v="0"/>
    <s v="DP"/>
    <x v="11"/>
    <s v="TECHNOCELL 4478"/>
    <s v="gray"/>
    <n v="4478"/>
    <m/>
    <m/>
    <s v="EU"/>
    <x v="2"/>
    <x v="4"/>
    <m/>
    <m/>
    <m/>
    <x v="0"/>
    <m/>
    <m/>
    <m/>
    <s v="ton"/>
    <x v="15"/>
    <x v="0"/>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m/>
    <m/>
    <m/>
    <m/>
    <m/>
    <m/>
    <x v="4"/>
    <x v="8"/>
    <x v="129"/>
    <n v="2.5499999999999998"/>
    <n v="15.045"/>
    <n v="0.14176320000000001"/>
    <n v="1.9558500000000001"/>
    <n v="0"/>
    <n v="9.1999999999999998E-2"/>
    <x v="4"/>
    <x v="227"/>
    <n v="105"/>
    <n v="120"/>
    <x v="3"/>
    <n v="-0.12782337024459878"/>
    <x v="190"/>
    <x v="235"/>
  </r>
  <r>
    <n v="11304"/>
    <x v="3"/>
    <x v="2"/>
    <x v="3"/>
    <s v="IP"/>
    <x v="11"/>
    <s v="TECHNOCELL 4108"/>
    <s v="brown"/>
    <m/>
    <m/>
    <m/>
    <s v="EU"/>
    <x v="2"/>
    <x v="4"/>
    <m/>
    <m/>
    <m/>
    <x v="0"/>
    <m/>
    <m/>
    <m/>
    <s v="ton"/>
    <x v="7"/>
    <x v="0"/>
    <m/>
    <m/>
    <m/>
    <m/>
    <m/>
    <m/>
    <m/>
    <m/>
    <m/>
    <m/>
    <m/>
    <m/>
    <m/>
    <m/>
    <m/>
    <m/>
    <m/>
    <m/>
    <m/>
    <m/>
    <m/>
    <m/>
    <m/>
    <n v="1350"/>
    <m/>
    <m/>
    <m/>
    <m/>
    <m/>
    <m/>
    <m/>
    <m/>
    <m/>
    <m/>
    <m/>
    <m/>
    <m/>
    <m/>
    <m/>
    <m/>
    <m/>
    <m/>
    <m/>
    <m/>
    <m/>
    <m/>
    <m/>
    <m/>
    <x v="145"/>
    <x v="13"/>
    <x v="0"/>
    <n v="1.35"/>
    <n v="7.9650000000000007"/>
    <n v="0.14176320000000001"/>
    <n v="1.0354500000000002"/>
    <n v="0"/>
    <n v="9.1999999999999998E-2"/>
    <x v="169"/>
    <x v="228"/>
    <n v="105"/>
    <n v="120"/>
    <x v="3"/>
    <n v="-6.8487075345627701E-2"/>
    <x v="191"/>
    <x v="236"/>
  </r>
  <r>
    <n v="17064"/>
    <x v="16"/>
    <x v="4"/>
    <x v="9"/>
    <s v="FF"/>
    <x v="11"/>
    <s v="TECHNOCELL 9370-070 New White PO"/>
    <s v="white"/>
    <s v="9370-070"/>
    <m/>
    <m/>
    <s v="EU"/>
    <x v="2"/>
    <x v="4"/>
    <m/>
    <m/>
    <m/>
    <x v="0"/>
    <m/>
    <m/>
    <m/>
    <s v="ton"/>
    <x v="14"/>
    <x v="0"/>
    <m/>
    <m/>
    <m/>
    <m/>
    <m/>
    <m/>
    <m/>
    <m/>
    <m/>
    <m/>
    <m/>
    <m/>
    <m/>
    <m/>
    <m/>
    <m/>
    <m/>
    <m/>
    <m/>
    <m/>
    <m/>
    <m/>
    <m/>
    <m/>
    <m/>
    <m/>
    <m/>
    <n v="2800"/>
    <n v="2800"/>
    <n v="2800"/>
    <n v="2800"/>
    <n v="2800"/>
    <n v="2800"/>
    <m/>
    <m/>
    <m/>
    <m/>
    <m/>
    <m/>
    <m/>
    <m/>
    <m/>
    <m/>
    <m/>
    <m/>
    <m/>
    <m/>
    <m/>
    <x v="146"/>
    <x v="15"/>
    <x v="0"/>
    <n v="2.8"/>
    <n v="16.52"/>
    <n v="0.14176320000000001"/>
    <n v="2.1476000000000002"/>
    <n v="0"/>
    <n v="9.1999999999999998E-2"/>
    <x v="170"/>
    <x v="229"/>
    <n v="105"/>
    <n v="120"/>
    <x v="3"/>
    <n v="-0.14018509834854953"/>
    <x v="192"/>
    <x v="237"/>
  </r>
  <r>
    <n v="10251"/>
    <x v="36"/>
    <x v="6"/>
    <x v="9"/>
    <s v="FF"/>
    <x v="12"/>
    <s v="TENTOK OPAC"/>
    <s v="white"/>
    <m/>
    <m/>
    <m/>
    <s v="JP"/>
    <x v="0"/>
    <x v="0"/>
    <m/>
    <m/>
    <m/>
    <x v="0"/>
    <m/>
    <m/>
    <m/>
    <s v="ton"/>
    <x v="7"/>
    <x v="3"/>
    <m/>
    <m/>
    <m/>
    <m/>
    <m/>
    <m/>
    <m/>
    <m/>
    <m/>
    <m/>
    <m/>
    <m/>
    <m/>
    <m/>
    <m/>
    <m/>
    <n v="2198"/>
    <n v="2198"/>
    <m/>
    <m/>
    <m/>
    <m/>
    <m/>
    <m/>
    <m/>
    <m/>
    <m/>
    <m/>
    <m/>
    <m/>
    <m/>
    <m/>
    <m/>
    <m/>
    <m/>
    <m/>
    <m/>
    <m/>
    <m/>
    <m/>
    <m/>
    <m/>
    <m/>
    <m/>
    <m/>
    <m/>
    <m/>
    <m/>
    <x v="147"/>
    <x v="5"/>
    <x v="0"/>
    <n v="2.198"/>
    <n v="10.99"/>
    <n v="1.8659666666666668"/>
    <n v="1.6485000000000001"/>
    <n v="0"/>
    <n v="9.1999999999999998E-2"/>
    <x v="171"/>
    <x v="230"/>
    <n v="120"/>
    <n v="90"/>
    <x v="1"/>
    <n v="0.21894699999999823"/>
    <x v="193"/>
    <x v="238"/>
  </r>
  <r>
    <n v="10223"/>
    <x v="15"/>
    <x v="6"/>
    <x v="9"/>
    <s v="FF"/>
    <x v="12"/>
    <s v="TENTOK CHPS"/>
    <s v="light brown"/>
    <m/>
    <m/>
    <m/>
    <s v="JP"/>
    <x v="0"/>
    <x v="0"/>
    <m/>
    <m/>
    <m/>
    <x v="0"/>
    <m/>
    <m/>
    <m/>
    <s v="ton"/>
    <x v="7"/>
    <x v="3"/>
    <m/>
    <m/>
    <m/>
    <m/>
    <m/>
    <m/>
    <m/>
    <m/>
    <m/>
    <m/>
    <m/>
    <m/>
    <m/>
    <m/>
    <m/>
    <m/>
    <n v="2153"/>
    <n v="2153"/>
    <m/>
    <m/>
    <m/>
    <m/>
    <m/>
    <m/>
    <m/>
    <m/>
    <m/>
    <m/>
    <m/>
    <m/>
    <m/>
    <m/>
    <m/>
    <m/>
    <m/>
    <m/>
    <m/>
    <m/>
    <m/>
    <m/>
    <m/>
    <m/>
    <m/>
    <m/>
    <m/>
    <m/>
    <m/>
    <m/>
    <x v="148"/>
    <x v="5"/>
    <x v="0"/>
    <n v="2.153"/>
    <n v="10.765000000000001"/>
    <n v="1.8659666666666668"/>
    <n v="1.6147500000000001"/>
    <n v="0"/>
    <n v="9.1999999999999998E-2"/>
    <x v="172"/>
    <x v="231"/>
    <n v="120"/>
    <n v="90"/>
    <x v="1"/>
    <n v="0.21506574999999906"/>
    <x v="194"/>
    <x v="239"/>
  </r>
  <r>
    <m/>
    <x v="36"/>
    <x v="10"/>
    <x v="9"/>
    <s v="FF"/>
    <x v="12"/>
    <s v="TENTOK OPAC"/>
    <s v="white"/>
    <m/>
    <m/>
    <m/>
    <s v="JP"/>
    <x v="0"/>
    <x v="0"/>
    <m/>
    <m/>
    <m/>
    <x v="0"/>
    <m/>
    <m/>
    <m/>
    <s v="ton"/>
    <x v="7"/>
    <x v="3"/>
    <m/>
    <m/>
    <m/>
    <m/>
    <m/>
    <m/>
    <m/>
    <m/>
    <m/>
    <m/>
    <m/>
    <m/>
    <m/>
    <m/>
    <m/>
    <m/>
    <m/>
    <m/>
    <m/>
    <m/>
    <m/>
    <m/>
    <m/>
    <m/>
    <m/>
    <m/>
    <m/>
    <m/>
    <n v="1990"/>
    <m/>
    <m/>
    <m/>
    <m/>
    <m/>
    <m/>
    <m/>
    <m/>
    <m/>
    <m/>
    <m/>
    <m/>
    <m/>
    <m/>
    <m/>
    <m/>
    <m/>
    <m/>
    <m/>
    <x v="76"/>
    <x v="12"/>
    <x v="0"/>
    <n v="1.99"/>
    <n v="9.9499999999999993"/>
    <n v="1.8659666666666668"/>
    <n v="1.4924999999999999"/>
    <n v="0"/>
    <n v="9.1999999999999998E-2"/>
    <x v="173"/>
    <x v="232"/>
    <n v="120"/>
    <n v="90"/>
    <x v="1"/>
    <n v="0.20100699999999883"/>
    <x v="195"/>
    <x v="240"/>
  </r>
  <r>
    <m/>
    <x v="15"/>
    <x v="10"/>
    <x v="9"/>
    <s v="FF"/>
    <x v="12"/>
    <s v="TENTOK CHPS"/>
    <s v="light brown"/>
    <m/>
    <m/>
    <m/>
    <s v="JP"/>
    <x v="0"/>
    <x v="0"/>
    <m/>
    <m/>
    <m/>
    <x v="0"/>
    <m/>
    <m/>
    <m/>
    <s v="ton"/>
    <x v="7"/>
    <x v="3"/>
    <m/>
    <m/>
    <m/>
    <m/>
    <m/>
    <m/>
    <m/>
    <m/>
    <m/>
    <m/>
    <m/>
    <m/>
    <m/>
    <m/>
    <m/>
    <m/>
    <m/>
    <m/>
    <m/>
    <m/>
    <m/>
    <m/>
    <m/>
    <m/>
    <m/>
    <m/>
    <m/>
    <m/>
    <n v="1990"/>
    <m/>
    <m/>
    <m/>
    <m/>
    <m/>
    <m/>
    <m/>
    <m/>
    <m/>
    <m/>
    <m/>
    <m/>
    <m/>
    <m/>
    <m/>
    <m/>
    <m/>
    <m/>
    <m/>
    <x v="76"/>
    <x v="12"/>
    <x v="0"/>
    <n v="1.99"/>
    <n v="9.9499999999999993"/>
    <n v="1.8659666666666668"/>
    <n v="1.4924999999999999"/>
    <n v="0"/>
    <n v="9.1999999999999998E-2"/>
    <x v="173"/>
    <x v="232"/>
    <n v="120"/>
    <n v="90"/>
    <x v="1"/>
    <n v="0.20100699999999883"/>
    <x v="195"/>
    <x v="240"/>
  </r>
  <r>
    <n v="10801"/>
    <x v="36"/>
    <x v="6"/>
    <x v="9"/>
    <s v="FF"/>
    <x v="13"/>
    <s v="FF BRANCO"/>
    <s v="white"/>
    <m/>
    <m/>
    <m/>
    <s v="BR"/>
    <x v="5"/>
    <x v="0"/>
    <m/>
    <n v="0"/>
    <m/>
    <x v="0"/>
    <n v="0.12"/>
    <s v="Não"/>
    <n v="9.2499999999999999E-2"/>
    <s v="ton"/>
    <x v="7"/>
    <x v="2"/>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49"/>
    <x v="20"/>
    <x v="130"/>
    <n v="14.203200000000001"/>
    <n v="14.203200000000001"/>
    <n v="0"/>
    <n v="0"/>
    <n v="0"/>
    <n v="0.2"/>
    <x v="174"/>
    <x v="233"/>
    <n v="45"/>
    <n v="0"/>
    <x v="2"/>
    <n v="0.32528424878766948"/>
    <x v="196"/>
    <x v="241"/>
  </r>
  <r>
    <n v="10805"/>
    <x v="15"/>
    <x v="6"/>
    <x v="9"/>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0"/>
    <x v="20"/>
    <x v="131"/>
    <n v="12.38583"/>
    <n v="12.38583"/>
    <n v="0"/>
    <n v="0"/>
    <n v="0"/>
    <n v="0.2"/>
    <x v="175"/>
    <x v="234"/>
    <n v="45"/>
    <n v="0"/>
    <x v="2"/>
    <n v="0.28424046440508555"/>
    <x v="197"/>
    <x v="242"/>
  </r>
  <r>
    <n v="10831"/>
    <x v="48"/>
    <x v="6"/>
    <x v="9"/>
    <s v="FF"/>
    <x v="13"/>
    <s v="FF TABACO"/>
    <s v="dark brown"/>
    <m/>
    <m/>
    <m/>
    <s v="BR"/>
    <x v="5"/>
    <x v="0"/>
    <m/>
    <n v="0"/>
    <m/>
    <x v="0"/>
    <n v="0.12"/>
    <s v="Não"/>
    <n v="9.2499999999999999E-2"/>
    <s v="ton"/>
    <x v="7"/>
    <x v="2"/>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51"/>
    <x v="20"/>
    <x v="132"/>
    <n v="17.269860000000001"/>
    <n v="17.269860000000001"/>
    <n v="0"/>
    <n v="0"/>
    <n v="0"/>
    <n v="0.2"/>
    <x v="176"/>
    <x v="235"/>
    <n v="45"/>
    <n v="0"/>
    <x v="2"/>
    <n v="0.39454220496318726"/>
    <x v="198"/>
    <x v="243"/>
  </r>
  <r>
    <n v="10860"/>
    <x v="49"/>
    <x v="6"/>
    <x v="9"/>
    <s v="FF"/>
    <x v="13"/>
    <s v="FF BRANCO HO"/>
    <s v="white"/>
    <m/>
    <m/>
    <m/>
    <s v="BR"/>
    <x v="5"/>
    <x v="0"/>
    <m/>
    <n v="0"/>
    <m/>
    <x v="0"/>
    <n v="0.12"/>
    <s v="Não"/>
    <n v="9.2499999999999999E-2"/>
    <s v="ton"/>
    <x v="7"/>
    <x v="2"/>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52"/>
    <x v="20"/>
    <x v="133"/>
    <n v="19.23978"/>
    <n v="19.23978"/>
    <n v="0"/>
    <n v="0"/>
    <n v="0"/>
    <n v="0.2"/>
    <x v="177"/>
    <x v="236"/>
    <n v="45"/>
    <n v="0"/>
    <x v="2"/>
    <n v="0.43903120375316362"/>
    <x v="199"/>
    <x v="244"/>
  </r>
  <r>
    <n v="10862"/>
    <x v="15"/>
    <x v="6"/>
    <x v="23"/>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0"/>
    <x v="20"/>
    <x v="131"/>
    <n v="12.38583"/>
    <n v="12.38583"/>
    <n v="0"/>
    <n v="0"/>
    <n v="0"/>
    <n v="0.2"/>
    <x v="175"/>
    <x v="234"/>
    <n v="45"/>
    <n v="0"/>
    <x v="2"/>
    <n v="0.28424046440508555"/>
    <x v="197"/>
    <x v="242"/>
  </r>
  <r>
    <n v="10843"/>
    <x v="50"/>
    <x v="14"/>
    <x v="9"/>
    <s v="FF"/>
    <x v="13"/>
    <s v="FF PRETO"/>
    <s v="black"/>
    <m/>
    <m/>
    <m/>
    <s v="BR"/>
    <x v="5"/>
    <x v="0"/>
    <m/>
    <n v="0"/>
    <m/>
    <x v="0"/>
    <n v="0.12"/>
    <s v="Não"/>
    <n v="9.2499999999999999E-2"/>
    <s v="ton"/>
    <x v="7"/>
    <x v="2"/>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53"/>
    <x v="20"/>
    <x v="134"/>
    <n v="16.823400000000003"/>
    <n v="16.823400000000003"/>
    <n v="0"/>
    <n v="0"/>
    <n v="0"/>
    <n v="0.2"/>
    <x v="178"/>
    <x v="237"/>
    <n v="45"/>
    <n v="0"/>
    <x v="2"/>
    <n v="0.38445927855004669"/>
    <x v="200"/>
    <x v="245"/>
  </r>
  <r>
    <n v="10866"/>
    <x v="51"/>
    <x v="6"/>
    <x v="5"/>
    <s v="FF"/>
    <x v="13"/>
    <s v="MONOMAX"/>
    <s v="white"/>
    <m/>
    <m/>
    <m/>
    <s v="BR"/>
    <x v="5"/>
    <x v="0"/>
    <m/>
    <n v="0"/>
    <m/>
    <x v="0"/>
    <n v="0.12"/>
    <s v="Não"/>
    <n v="9.2499999999999999E-2"/>
    <s v="ton"/>
    <x v="7"/>
    <x v="2"/>
    <m/>
    <m/>
    <m/>
    <m/>
    <m/>
    <m/>
    <m/>
    <m/>
    <m/>
    <m/>
    <m/>
    <m/>
    <m/>
    <m/>
    <m/>
    <m/>
    <m/>
    <m/>
    <m/>
    <m/>
    <m/>
    <m/>
    <m/>
    <m/>
    <m/>
    <m/>
    <m/>
    <m/>
    <n v="9432"/>
    <n v="9432"/>
    <n v="9432"/>
    <n v="9432"/>
    <n v="9432"/>
    <n v="9432"/>
    <n v="9432"/>
    <n v="9432"/>
    <m/>
    <m/>
    <m/>
    <m/>
    <m/>
    <m/>
    <m/>
    <m/>
    <m/>
    <m/>
    <m/>
    <m/>
    <x v="154"/>
    <x v="7"/>
    <x v="1"/>
    <n v="9.4320000000000004"/>
    <n v="9.4320000000000004"/>
    <n v="0"/>
    <n v="0"/>
    <n v="0"/>
    <n v="0.2"/>
    <x v="179"/>
    <x v="238"/>
    <n v="45"/>
    <n v="0"/>
    <x v="2"/>
    <n v="0.21753067959362049"/>
    <x v="201"/>
    <x v="246"/>
  </r>
  <r>
    <n v="10865"/>
    <x v="3"/>
    <x v="2"/>
    <x v="3"/>
    <s v="IP"/>
    <x v="13"/>
    <s v="BACKING OS"/>
    <s v="brown"/>
    <m/>
    <m/>
    <m/>
    <s v="BR"/>
    <x v="5"/>
    <x v="0"/>
    <m/>
    <n v="0"/>
    <m/>
    <x v="0"/>
    <n v="0.12"/>
    <s v="Não"/>
    <n v="9.2499999999999999E-2"/>
    <s v="ton"/>
    <x v="7"/>
    <x v="2"/>
    <m/>
    <m/>
    <m/>
    <m/>
    <m/>
    <m/>
    <m/>
    <m/>
    <m/>
    <m/>
    <m/>
    <m/>
    <m/>
    <m/>
    <m/>
    <m/>
    <m/>
    <m/>
    <m/>
    <m/>
    <m/>
    <m/>
    <m/>
    <m/>
    <m/>
    <m/>
    <m/>
    <m/>
    <m/>
    <n v="10590"/>
    <n v="10590"/>
    <n v="10590"/>
    <n v="10590"/>
    <n v="10590"/>
    <n v="10590"/>
    <n v="10590"/>
    <m/>
    <m/>
    <m/>
    <m/>
    <m/>
    <m/>
    <m/>
    <m/>
    <m/>
    <m/>
    <m/>
    <m/>
    <x v="155"/>
    <x v="7"/>
    <x v="1"/>
    <n v="10.59"/>
    <n v="10.59"/>
    <n v="0"/>
    <n v="0"/>
    <n v="0"/>
    <n v="0.2"/>
    <x v="180"/>
    <x v="239"/>
    <n v="45"/>
    <n v="0"/>
    <x v="2"/>
    <n v="0.24368314294177296"/>
    <x v="202"/>
    <x v="247"/>
  </r>
  <r>
    <m/>
    <x v="36"/>
    <x v="6"/>
    <x v="9"/>
    <s v="FF"/>
    <x v="14"/>
    <s v="FF PARDO"/>
    <s v="white"/>
    <m/>
    <m/>
    <m/>
    <s v="CN"/>
    <x v="5"/>
    <x v="0"/>
    <m/>
    <m/>
    <m/>
    <x v="0"/>
    <m/>
    <m/>
    <m/>
    <s v="ton"/>
    <x v="14"/>
    <x v="0"/>
    <m/>
    <m/>
    <m/>
    <m/>
    <m/>
    <m/>
    <m/>
    <m/>
    <m/>
    <m/>
    <m/>
    <m/>
    <m/>
    <m/>
    <m/>
    <m/>
    <m/>
    <m/>
    <m/>
    <m/>
    <m/>
    <m/>
    <m/>
    <m/>
    <m/>
    <m/>
    <m/>
    <m/>
    <m/>
    <m/>
    <m/>
    <m/>
    <m/>
    <m/>
    <m/>
    <m/>
    <m/>
    <m/>
    <m/>
    <m/>
    <n v="1750"/>
    <m/>
    <m/>
    <m/>
    <m/>
    <m/>
    <m/>
    <m/>
    <x v="10"/>
    <x v="21"/>
    <x v="1"/>
    <n v="1.75"/>
    <n v="10.325000000000001"/>
    <n v="1.11958"/>
    <n v="1.4455000000000002"/>
    <n v="0"/>
    <n v="9.1999999999999998E-2"/>
    <x v="181"/>
    <x v="240"/>
    <n v="120"/>
    <n v="0"/>
    <x v="5"/>
    <n v="0.79662652329779249"/>
    <x v="203"/>
    <x v="248"/>
  </r>
  <r>
    <m/>
    <x v="15"/>
    <x v="6"/>
    <x v="9"/>
    <s v="FF"/>
    <x v="14"/>
    <s v="FF PARDO"/>
    <s v="light brown"/>
    <m/>
    <m/>
    <m/>
    <s v="CN"/>
    <x v="5"/>
    <x v="0"/>
    <m/>
    <m/>
    <m/>
    <x v="0"/>
    <m/>
    <m/>
    <m/>
    <s v="ton"/>
    <x v="14"/>
    <x v="0"/>
    <m/>
    <m/>
    <m/>
    <m/>
    <m/>
    <m/>
    <m/>
    <m/>
    <m/>
    <m/>
    <m/>
    <m/>
    <m/>
    <m/>
    <m/>
    <m/>
    <m/>
    <m/>
    <m/>
    <m/>
    <m/>
    <m/>
    <m/>
    <m/>
    <m/>
    <m/>
    <m/>
    <m/>
    <m/>
    <m/>
    <m/>
    <m/>
    <m/>
    <m/>
    <m/>
    <m/>
    <m/>
    <m/>
    <m/>
    <m/>
    <n v="1750"/>
    <m/>
    <m/>
    <m/>
    <m/>
    <m/>
    <m/>
    <m/>
    <x v="10"/>
    <x v="21"/>
    <x v="1"/>
    <n v="1.75"/>
    <n v="10.325000000000001"/>
    <n v="1.11958"/>
    <n v="1.4455000000000002"/>
    <n v="0"/>
    <n v="9.1999999999999998E-2"/>
    <x v="181"/>
    <x v="240"/>
    <n v="120"/>
    <n v="0"/>
    <x v="5"/>
    <n v="0.79662652329779249"/>
    <x v="203"/>
    <x v="248"/>
  </r>
  <r>
    <n v="7000481"/>
    <x v="11"/>
    <x v="1"/>
    <x v="15"/>
    <s v="IP"/>
    <x v="10"/>
    <s v="SUNSHINE 0104 ECO"/>
    <s v="white"/>
    <m/>
    <m/>
    <m/>
    <s v="CN"/>
    <x v="0"/>
    <x v="1"/>
    <m/>
    <m/>
    <m/>
    <x v="0"/>
    <m/>
    <m/>
    <m/>
    <s v="ton"/>
    <x v="1"/>
    <x v="1"/>
    <m/>
    <m/>
    <m/>
    <m/>
    <m/>
    <m/>
    <m/>
    <m/>
    <m/>
    <m/>
    <m/>
    <m/>
    <m/>
    <m/>
    <m/>
    <m/>
    <m/>
    <m/>
    <m/>
    <m/>
    <m/>
    <m/>
    <m/>
    <m/>
    <m/>
    <m/>
    <m/>
    <m/>
    <m/>
    <m/>
    <m/>
    <m/>
    <m/>
    <m/>
    <m/>
    <m/>
    <n v="11650"/>
    <n v="11650"/>
    <n v="11650"/>
    <n v="11650"/>
    <n v="11650"/>
    <n v="11650"/>
    <m/>
    <m/>
    <m/>
    <m/>
    <m/>
    <m/>
    <x v="111"/>
    <x v="8"/>
    <x v="1"/>
    <n v="11.65"/>
    <n v="8.7375000000000007"/>
    <n v="1.11958"/>
    <n v="1.2232500000000002"/>
    <n v="0"/>
    <n v="9.1999999999999998E-2"/>
    <x v="131"/>
    <x v="167"/>
    <n v="120"/>
    <n v="90"/>
    <x v="1"/>
    <n v="0.1675849499999984"/>
    <x v="141"/>
    <x v="171"/>
  </r>
  <r>
    <n v="7000485"/>
    <x v="31"/>
    <x v="1"/>
    <x v="15"/>
    <s v="IP"/>
    <x v="8"/>
    <s v="DEKORPEL BEIGE 9080"/>
    <s v="beige"/>
    <n v="9080"/>
    <m/>
    <s v="yes"/>
    <s v="BR"/>
    <x v="5"/>
    <x v="0"/>
    <m/>
    <n v="3"/>
    <s v="monthly"/>
    <x v="0"/>
    <n v="0.12"/>
    <s v="Sim"/>
    <n v="9.2499999999999999E-2"/>
    <s v="ton"/>
    <x v="20"/>
    <x v="2"/>
    <m/>
    <m/>
    <m/>
    <m/>
    <m/>
    <m/>
    <m/>
    <m/>
    <m/>
    <m/>
    <m/>
    <m/>
    <m/>
    <m/>
    <m/>
    <m/>
    <m/>
    <m/>
    <m/>
    <m/>
    <m/>
    <m/>
    <m/>
    <m/>
    <m/>
    <m/>
    <m/>
    <m/>
    <m/>
    <m/>
    <m/>
    <m/>
    <m/>
    <m/>
    <m/>
    <m/>
    <n v="17941"/>
    <n v="17941"/>
    <n v="17941"/>
    <n v="18981"/>
    <n v="18981"/>
    <n v="18981"/>
    <m/>
    <m/>
    <m/>
    <m/>
    <m/>
    <m/>
    <x v="101"/>
    <x v="8"/>
    <x v="92"/>
    <n v="18.981000000000002"/>
    <n v="18.981000000000002"/>
    <n v="0"/>
    <n v="0"/>
    <n v="0"/>
    <n v="0.2"/>
    <x v="120"/>
    <x v="152"/>
    <n v="45"/>
    <n v="0"/>
    <x v="2"/>
    <n v="0.43318687347230522"/>
    <x v="130"/>
    <x v="156"/>
  </r>
  <r>
    <n v="7000479"/>
    <x v="11"/>
    <x v="1"/>
    <x v="15"/>
    <s v="IP"/>
    <x v="8"/>
    <s v="DEKORPEL WHITE 963"/>
    <s v="white"/>
    <n v="963"/>
    <m/>
    <s v="yes"/>
    <s v="BR"/>
    <x v="5"/>
    <x v="0"/>
    <m/>
    <n v="3"/>
    <s v="monthly"/>
    <x v="0"/>
    <n v="0.12"/>
    <s v="Sim"/>
    <n v="9.2499999999999999E-2"/>
    <s v="ton"/>
    <x v="20"/>
    <x v="2"/>
    <m/>
    <m/>
    <m/>
    <m/>
    <m/>
    <m/>
    <m/>
    <m/>
    <m/>
    <m/>
    <m/>
    <m/>
    <m/>
    <m/>
    <m/>
    <m/>
    <m/>
    <m/>
    <m/>
    <m/>
    <m/>
    <m/>
    <m/>
    <m/>
    <m/>
    <m/>
    <m/>
    <m/>
    <m/>
    <m/>
    <m/>
    <m/>
    <m/>
    <m/>
    <m/>
    <m/>
    <n v="13634"/>
    <n v="13634"/>
    <n v="13634"/>
    <n v="14425"/>
    <n v="14425"/>
    <n v="14425"/>
    <m/>
    <m/>
    <m/>
    <m/>
    <m/>
    <m/>
    <x v="107"/>
    <x v="8"/>
    <x v="97"/>
    <n v="14.425000000000001"/>
    <n v="14.425000000000001"/>
    <n v="0"/>
    <n v="0"/>
    <n v="0"/>
    <n v="0.2"/>
    <x v="126"/>
    <x v="158"/>
    <n v="45"/>
    <n v="0"/>
    <x v="2"/>
    <n v="0.33029341663794654"/>
    <x v="136"/>
    <x v="162"/>
  </r>
  <r>
    <n v="7000483"/>
    <x v="14"/>
    <x v="4"/>
    <x v="8"/>
    <s v="IP"/>
    <x v="10"/>
    <s v="SUNSHINE YG0086PW"/>
    <s v="white"/>
    <s v="YG086PW"/>
    <m/>
    <m/>
    <s v="CN"/>
    <x v="0"/>
    <x v="1"/>
    <m/>
    <m/>
    <m/>
    <x v="0"/>
    <m/>
    <m/>
    <m/>
    <s v="ton"/>
    <x v="1"/>
    <x v="1"/>
    <m/>
    <m/>
    <m/>
    <m/>
    <m/>
    <m/>
    <m/>
    <m/>
    <m/>
    <m/>
    <m/>
    <m/>
    <m/>
    <m/>
    <m/>
    <m/>
    <m/>
    <m/>
    <m/>
    <m/>
    <m/>
    <m/>
    <m/>
    <m/>
    <m/>
    <m/>
    <m/>
    <m/>
    <m/>
    <m/>
    <m/>
    <m/>
    <m/>
    <m/>
    <m/>
    <m/>
    <n v="11600"/>
    <n v="11600"/>
    <n v="11600"/>
    <n v="11600"/>
    <n v="11600"/>
    <n v="11600"/>
    <m/>
    <m/>
    <m/>
    <m/>
    <m/>
    <m/>
    <x v="27"/>
    <x v="8"/>
    <x v="1"/>
    <n v="11.6"/>
    <n v="8.6999999999999993"/>
    <n v="1.11958"/>
    <n v="1.218"/>
    <n v="0"/>
    <n v="9.1999999999999998E-2"/>
    <x v="27"/>
    <x v="32"/>
    <n v="120"/>
    <n v="90"/>
    <x v="1"/>
    <n v="0.16694369999999914"/>
    <x v="27"/>
    <x v="32"/>
  </r>
  <r>
    <n v="7000477"/>
    <x v="12"/>
    <x v="1"/>
    <x v="7"/>
    <s v="IP"/>
    <x v="11"/>
    <s v="TECHNOCELL 3222"/>
    <s v="black"/>
    <n v="3222"/>
    <m/>
    <m/>
    <s v="EU"/>
    <x v="2"/>
    <x v="4"/>
    <m/>
    <m/>
    <m/>
    <x v="0"/>
    <m/>
    <m/>
    <m/>
    <s v="ton"/>
    <x v="7"/>
    <x v="0"/>
    <m/>
    <m/>
    <m/>
    <m/>
    <m/>
    <m/>
    <m/>
    <m/>
    <m/>
    <m/>
    <m/>
    <m/>
    <m/>
    <m/>
    <m/>
    <m/>
    <m/>
    <m/>
    <m/>
    <m/>
    <m/>
    <m/>
    <m/>
    <m/>
    <m/>
    <m/>
    <m/>
    <m/>
    <m/>
    <m/>
    <m/>
    <m/>
    <m/>
    <m/>
    <m/>
    <m/>
    <m/>
    <m/>
    <m/>
    <m/>
    <m/>
    <m/>
    <m/>
    <m/>
    <m/>
    <m/>
    <m/>
    <m/>
    <x v="156"/>
    <x v="22"/>
    <x v="0"/>
    <e v="#N/A"/>
    <e v="#N/A"/>
    <n v="0.14176320000000001"/>
    <e v="#N/A"/>
    <n v="0"/>
    <n v="9.1999999999999998E-2"/>
    <x v="182"/>
    <x v="241"/>
    <n v="105"/>
    <n v="120"/>
    <x v="3"/>
    <e v="#N/A"/>
    <x v="204"/>
    <x v="249"/>
  </r>
  <r>
    <n v="7000484"/>
    <x v="4"/>
    <x v="1"/>
    <x v="15"/>
    <s v="IP"/>
    <x v="10"/>
    <s v="SUNSHINE YG002PW"/>
    <s v="white"/>
    <s v="YG002PW"/>
    <m/>
    <m/>
    <s v="CN"/>
    <x v="0"/>
    <x v="1"/>
    <m/>
    <m/>
    <m/>
    <x v="0"/>
    <m/>
    <m/>
    <m/>
    <s v="ton"/>
    <x v="1"/>
    <x v="1"/>
    <m/>
    <m/>
    <m/>
    <m/>
    <m/>
    <m/>
    <m/>
    <m/>
    <m/>
    <m/>
    <m/>
    <m/>
    <m/>
    <m/>
    <m/>
    <m/>
    <m/>
    <m/>
    <m/>
    <m/>
    <m/>
    <m/>
    <m/>
    <m/>
    <m/>
    <m/>
    <m/>
    <m/>
    <m/>
    <m/>
    <m/>
    <m/>
    <m/>
    <m/>
    <m/>
    <m/>
    <n v="14500"/>
    <n v="14500"/>
    <n v="14500"/>
    <n v="14500"/>
    <n v="14500"/>
    <n v="14500"/>
    <m/>
    <m/>
    <m/>
    <m/>
    <m/>
    <m/>
    <x v="116"/>
    <x v="8"/>
    <x v="1"/>
    <n v="14.5"/>
    <n v="10.875"/>
    <n v="1.11958"/>
    <n v="1.5225000000000002"/>
    <n v="0"/>
    <n v="9.1999999999999998E-2"/>
    <x v="136"/>
    <x v="171"/>
    <n v="120"/>
    <n v="90"/>
    <x v="1"/>
    <n v="0.20413619999999888"/>
    <x v="146"/>
    <x v="175"/>
  </r>
  <r>
    <n v="7002369"/>
    <x v="4"/>
    <x v="1"/>
    <x v="15"/>
    <s v="IP"/>
    <x v="0"/>
    <s v="CARTIERE SW0337"/>
    <s v="white"/>
    <s v="SW0337"/>
    <m/>
    <m/>
    <s v="EU"/>
    <x v="0"/>
    <x v="0"/>
    <m/>
    <m/>
    <m/>
    <x v="0"/>
    <m/>
    <m/>
    <m/>
    <s v="ton"/>
    <x v="1"/>
    <x v="0"/>
    <m/>
    <m/>
    <m/>
    <m/>
    <m/>
    <m/>
    <m/>
    <m/>
    <m/>
    <m/>
    <m/>
    <m/>
    <m/>
    <m/>
    <m/>
    <m/>
    <m/>
    <m/>
    <m/>
    <m/>
    <m/>
    <m/>
    <m/>
    <m/>
    <m/>
    <m/>
    <m/>
    <m/>
    <m/>
    <m/>
    <m/>
    <m/>
    <m/>
    <m/>
    <m/>
    <m/>
    <n v="2390"/>
    <n v="2390"/>
    <n v="2390"/>
    <n v="2500"/>
    <n v="2500"/>
    <n v="2500"/>
    <m/>
    <m/>
    <m/>
    <m/>
    <m/>
    <m/>
    <x v="59"/>
    <x v="8"/>
    <x v="135"/>
    <n v="2.5"/>
    <n v="14.75"/>
    <n v="0.14176320000000001"/>
    <n v="1.9175"/>
    <n v="0"/>
    <n v="9.1999999999999998E-2"/>
    <x v="66"/>
    <x v="242"/>
    <n v="105"/>
    <n v="90"/>
    <x v="0"/>
    <n v="0.12628765800683794"/>
    <x v="205"/>
    <x v="250"/>
  </r>
  <r>
    <n v="7000459"/>
    <x v="11"/>
    <x v="4"/>
    <x v="15"/>
    <s v="DP"/>
    <x v="10"/>
    <s v="SUNSHINE 0104 ECO"/>
    <s v="white"/>
    <m/>
    <m/>
    <m/>
    <s v="CN"/>
    <x v="0"/>
    <x v="1"/>
    <m/>
    <m/>
    <m/>
    <x v="0"/>
    <m/>
    <m/>
    <m/>
    <s v="ton"/>
    <x v="1"/>
    <x v="1"/>
    <m/>
    <m/>
    <m/>
    <m/>
    <m/>
    <m/>
    <m/>
    <m/>
    <m/>
    <m/>
    <m/>
    <m/>
    <m/>
    <m/>
    <m/>
    <m/>
    <m/>
    <m/>
    <m/>
    <m/>
    <m/>
    <m/>
    <m/>
    <m/>
    <m/>
    <m/>
    <m/>
    <m/>
    <m/>
    <m/>
    <m/>
    <m/>
    <m/>
    <m/>
    <m/>
    <m/>
    <n v="11650"/>
    <n v="11650"/>
    <n v="11650"/>
    <n v="11650"/>
    <n v="11650"/>
    <n v="11650"/>
    <m/>
    <m/>
    <m/>
    <m/>
    <m/>
    <m/>
    <x v="111"/>
    <x v="8"/>
    <x v="1"/>
    <n v="11.65"/>
    <n v="8.7375000000000007"/>
    <n v="1.11958"/>
    <n v="1.2232500000000002"/>
    <n v="0"/>
    <n v="9.1999999999999998E-2"/>
    <x v="131"/>
    <x v="165"/>
    <n v="120"/>
    <n v="90"/>
    <x v="1"/>
    <n v="0.1675849499999984"/>
    <x v="141"/>
    <x v="169"/>
  </r>
  <r>
    <n v="7000403"/>
    <x v="11"/>
    <x v="4"/>
    <x v="15"/>
    <s v="DP"/>
    <x v="8"/>
    <s v="DEKORPRINT WHITE 990"/>
    <s v="white"/>
    <n v="990"/>
    <m/>
    <s v="yes"/>
    <s v="BR"/>
    <x v="5"/>
    <x v="0"/>
    <m/>
    <n v="3"/>
    <s v="monthly"/>
    <x v="0"/>
    <n v="0.12"/>
    <s v="Sim"/>
    <n v="9.2499999999999999E-2"/>
    <s v="ton"/>
    <x v="11"/>
    <x v="2"/>
    <m/>
    <m/>
    <m/>
    <m/>
    <m/>
    <m/>
    <m/>
    <m/>
    <m/>
    <m/>
    <m/>
    <m/>
    <m/>
    <m/>
    <m/>
    <m/>
    <m/>
    <m/>
    <m/>
    <m/>
    <m/>
    <m/>
    <m/>
    <m/>
    <m/>
    <m/>
    <m/>
    <m/>
    <m/>
    <m/>
    <m/>
    <m/>
    <m/>
    <m/>
    <m/>
    <m/>
    <n v="13634"/>
    <n v="13634"/>
    <n v="13634"/>
    <n v="14425"/>
    <n v="14425"/>
    <n v="14425"/>
    <m/>
    <m/>
    <m/>
    <m/>
    <m/>
    <m/>
    <x v="107"/>
    <x v="8"/>
    <x v="97"/>
    <n v="14.425000000000001"/>
    <n v="14.425000000000001"/>
    <n v="0"/>
    <n v="0"/>
    <n v="0"/>
    <n v="0.2"/>
    <x v="126"/>
    <x v="159"/>
    <n v="45"/>
    <n v="0"/>
    <x v="2"/>
    <n v="0.33029341663794654"/>
    <x v="136"/>
    <x v="163"/>
  </r>
  <r>
    <n v="7002367"/>
    <x v="11"/>
    <x v="4"/>
    <x v="15"/>
    <s v="DP"/>
    <x v="2"/>
    <s v="KINGDECOR YH0021D"/>
    <s v="white"/>
    <s v="KD7002V"/>
    <m/>
    <m/>
    <s v="CN"/>
    <x v="0"/>
    <x v="1"/>
    <m/>
    <m/>
    <m/>
    <x v="0"/>
    <m/>
    <m/>
    <m/>
    <s v="ton"/>
    <x v="7"/>
    <x v="1"/>
    <m/>
    <m/>
    <m/>
    <m/>
    <m/>
    <m/>
    <m/>
    <m/>
    <m/>
    <m/>
    <m/>
    <m/>
    <m/>
    <m/>
    <m/>
    <m/>
    <m/>
    <m/>
    <m/>
    <m/>
    <m/>
    <m/>
    <m/>
    <m/>
    <m/>
    <m/>
    <m/>
    <m/>
    <m/>
    <m/>
    <m/>
    <m/>
    <m/>
    <m/>
    <m/>
    <m/>
    <n v="12000"/>
    <n v="12000"/>
    <n v="12000"/>
    <n v="12000"/>
    <n v="12000"/>
    <n v="12000"/>
    <m/>
    <m/>
    <m/>
    <m/>
    <m/>
    <m/>
    <x v="18"/>
    <x v="8"/>
    <x v="1"/>
    <n v="12"/>
    <n v="9"/>
    <n v="1.11958"/>
    <n v="1.2600000000000002"/>
    <n v="0"/>
    <n v="9.1999999999999998E-2"/>
    <x v="18"/>
    <x v="37"/>
    <n v="120"/>
    <n v="90"/>
    <x v="1"/>
    <n v="0.17207369999999855"/>
    <x v="18"/>
    <x v="37"/>
  </r>
  <r>
    <n v="7000444"/>
    <x v="0"/>
    <x v="0"/>
    <x v="15"/>
    <s v="DP"/>
    <x v="11"/>
    <s v="TECHNOCELL 6656"/>
    <s v="beige"/>
    <n v="6656"/>
    <m/>
    <m/>
    <s v="EU"/>
    <x v="2"/>
    <x v="4"/>
    <m/>
    <m/>
    <m/>
    <x v="0"/>
    <m/>
    <m/>
    <m/>
    <s v="ton"/>
    <x v="0"/>
    <x v="0"/>
    <m/>
    <m/>
    <m/>
    <m/>
    <m/>
    <m/>
    <m/>
    <m/>
    <m/>
    <m/>
    <m/>
    <m/>
    <m/>
    <m/>
    <m/>
    <m/>
    <m/>
    <m/>
    <m/>
    <m/>
    <m/>
    <m/>
    <m/>
    <m/>
    <m/>
    <m/>
    <m/>
    <m/>
    <m/>
    <m/>
    <m/>
    <m/>
    <m/>
    <m/>
    <m/>
    <m/>
    <n v="2540"/>
    <n v="2540"/>
    <n v="2540"/>
    <n v="2640"/>
    <n v="2640"/>
    <n v="2640"/>
    <m/>
    <m/>
    <m/>
    <m/>
    <m/>
    <m/>
    <x v="123"/>
    <x v="8"/>
    <x v="136"/>
    <n v="2.64"/>
    <n v="15.576000000000002"/>
    <n v="0.14176320000000001"/>
    <n v="2.0248800000000005"/>
    <n v="0"/>
    <n v="9.1999999999999998E-2"/>
    <x v="144"/>
    <x v="182"/>
    <n v="105"/>
    <n v="120"/>
    <x v="3"/>
    <n v="-0.13227359236201863"/>
    <x v="154"/>
    <x v="186"/>
  </r>
  <r>
    <n v="7000444"/>
    <x v="0"/>
    <x v="0"/>
    <x v="15"/>
    <s v="DP"/>
    <x v="11"/>
    <s v="TECHNOCELL 6656"/>
    <s v="beige"/>
    <n v="6656"/>
    <m/>
    <m/>
    <s v="EU"/>
    <x v="2"/>
    <x v="4"/>
    <m/>
    <m/>
    <m/>
    <x v="0"/>
    <m/>
    <m/>
    <m/>
    <s v="ton"/>
    <x v="12"/>
    <x v="0"/>
    <m/>
    <m/>
    <m/>
    <m/>
    <m/>
    <m/>
    <m/>
    <m/>
    <m/>
    <m/>
    <m/>
    <m/>
    <m/>
    <m/>
    <m/>
    <m/>
    <m/>
    <m/>
    <m/>
    <m/>
    <m/>
    <m/>
    <m/>
    <m/>
    <m/>
    <m/>
    <m/>
    <m/>
    <m/>
    <m/>
    <m/>
    <m/>
    <m/>
    <m/>
    <m/>
    <m/>
    <n v="2590"/>
    <n v="2590"/>
    <n v="2590"/>
    <n v="2690"/>
    <n v="2690"/>
    <n v="2690"/>
    <m/>
    <m/>
    <m/>
    <m/>
    <m/>
    <m/>
    <x v="64"/>
    <x v="8"/>
    <x v="137"/>
    <n v="2.69"/>
    <n v="15.871"/>
    <n v="0.14176320000000001"/>
    <n v="2.0632300000000003"/>
    <n v="0"/>
    <n v="9.1999999999999998E-2"/>
    <x v="74"/>
    <x v="183"/>
    <n v="105"/>
    <n v="120"/>
    <x v="3"/>
    <n v="-0.1347459379828102"/>
    <x v="155"/>
    <x v="187"/>
  </r>
  <r>
    <n v="7000444"/>
    <x v="0"/>
    <x v="0"/>
    <x v="15"/>
    <s v="DP"/>
    <x v="11"/>
    <s v="TECHNOCELL 6656"/>
    <s v="beige"/>
    <n v="6656"/>
    <m/>
    <m/>
    <s v="EU"/>
    <x v="2"/>
    <x v="4"/>
    <m/>
    <m/>
    <m/>
    <x v="0"/>
    <m/>
    <m/>
    <m/>
    <s v="ton"/>
    <x v="14"/>
    <x v="0"/>
    <m/>
    <m/>
    <m/>
    <m/>
    <m/>
    <m/>
    <m/>
    <m/>
    <m/>
    <m/>
    <m/>
    <m/>
    <m/>
    <m/>
    <m/>
    <m/>
    <m/>
    <m/>
    <m/>
    <m/>
    <m/>
    <m/>
    <m/>
    <m/>
    <m/>
    <m/>
    <m/>
    <m/>
    <m/>
    <m/>
    <m/>
    <m/>
    <m/>
    <m/>
    <m/>
    <m/>
    <n v="2640"/>
    <n v="2640"/>
    <n v="2640"/>
    <n v="2740"/>
    <n v="2740"/>
    <n v="2740"/>
    <m/>
    <m/>
    <m/>
    <m/>
    <m/>
    <m/>
    <x v="124"/>
    <x v="8"/>
    <x v="138"/>
    <n v="2.74"/>
    <n v="16.166000000000004"/>
    <n v="0.14176320000000001"/>
    <n v="2.1015800000000007"/>
    <n v="0"/>
    <n v="9.1999999999999998E-2"/>
    <x v="145"/>
    <x v="184"/>
    <n v="105"/>
    <n v="120"/>
    <x v="3"/>
    <n v="-0.13721828360360178"/>
    <x v="156"/>
    <x v="188"/>
  </r>
  <r>
    <n v="7000444"/>
    <x v="0"/>
    <x v="0"/>
    <x v="15"/>
    <s v="DP"/>
    <x v="11"/>
    <s v="TECHNOCELL 6656"/>
    <s v="beige"/>
    <n v="6656"/>
    <m/>
    <m/>
    <s v="EU"/>
    <x v="2"/>
    <x v="4"/>
    <m/>
    <m/>
    <m/>
    <x v="0"/>
    <m/>
    <m/>
    <m/>
    <s v="ton"/>
    <x v="15"/>
    <x v="0"/>
    <m/>
    <m/>
    <m/>
    <m/>
    <m/>
    <m/>
    <m/>
    <m/>
    <m/>
    <m/>
    <m/>
    <m/>
    <m/>
    <m/>
    <m/>
    <m/>
    <m/>
    <m/>
    <m/>
    <m/>
    <m/>
    <m/>
    <m/>
    <m/>
    <m/>
    <m/>
    <m/>
    <m/>
    <m/>
    <m/>
    <m/>
    <m/>
    <m/>
    <m/>
    <m/>
    <m/>
    <n v="2720"/>
    <n v="2720"/>
    <n v="2720"/>
    <n v="2820"/>
    <n v="2820"/>
    <n v="2820"/>
    <m/>
    <m/>
    <m/>
    <m/>
    <m/>
    <m/>
    <x v="125"/>
    <x v="8"/>
    <x v="139"/>
    <n v="2.82"/>
    <n v="16.638000000000002"/>
    <n v="0.14176320000000001"/>
    <n v="2.1629400000000003"/>
    <n v="0"/>
    <n v="9.1999999999999998E-2"/>
    <x v="146"/>
    <x v="185"/>
    <n v="105"/>
    <n v="120"/>
    <x v="3"/>
    <n v="-0.14117403659686545"/>
    <x v="157"/>
    <x v="189"/>
  </r>
  <r>
    <n v="7000456"/>
    <x v="6"/>
    <x v="0"/>
    <x v="0"/>
    <s v="DP"/>
    <x v="3"/>
    <s v="KOEHLER 689"/>
    <s v="gray"/>
    <n v="32166"/>
    <m/>
    <m/>
    <s v="EU"/>
    <x v="2"/>
    <x v="0"/>
    <m/>
    <m/>
    <m/>
    <x v="2"/>
    <m/>
    <m/>
    <m/>
    <s v="ton"/>
    <x v="0"/>
    <x v="0"/>
    <m/>
    <m/>
    <m/>
    <m/>
    <m/>
    <m/>
    <m/>
    <m/>
    <m/>
    <m/>
    <m/>
    <m/>
    <m/>
    <m/>
    <m/>
    <m/>
    <m/>
    <m/>
    <m/>
    <m/>
    <m/>
    <m/>
    <m/>
    <m/>
    <m/>
    <m/>
    <m/>
    <m/>
    <m/>
    <m/>
    <m/>
    <m/>
    <m/>
    <m/>
    <m/>
    <m/>
    <n v="1800"/>
    <n v="1800"/>
    <n v="1800"/>
    <n v="1880"/>
    <n v="1880"/>
    <n v="1770"/>
    <m/>
    <m/>
    <m/>
    <m/>
    <m/>
    <m/>
    <x v="53"/>
    <x v="8"/>
    <x v="140"/>
    <n v="1.77"/>
    <n v="10.443000000000001"/>
    <n v="0.14176320000000001"/>
    <n v="1.3575900000000003"/>
    <n v="-0.17699999999999999"/>
    <n v="9.1999999999999998E-2"/>
    <x v="58"/>
    <x v="68"/>
    <n v="105"/>
    <n v="120"/>
    <x v="3"/>
    <n v="-8.7942028673122508E-2"/>
    <x v="58"/>
    <x v="68"/>
  </r>
  <r>
    <n v="2090448"/>
    <x v="6"/>
    <x v="0"/>
    <x v="15"/>
    <s v="DP"/>
    <x v="1"/>
    <s v="HUAWON HG5089"/>
    <s v="gray"/>
    <s v="HG5089"/>
    <m/>
    <m/>
    <s v="CN"/>
    <x v="0"/>
    <x v="1"/>
    <m/>
    <n v="90"/>
    <m/>
    <x v="0"/>
    <m/>
    <m/>
    <m/>
    <s v="ton"/>
    <x v="1"/>
    <x v="1"/>
    <m/>
    <m/>
    <m/>
    <m/>
    <m/>
    <m/>
    <m/>
    <m/>
    <m/>
    <m/>
    <m/>
    <m/>
    <m/>
    <m/>
    <m/>
    <m/>
    <m/>
    <m/>
    <m/>
    <m/>
    <m/>
    <m/>
    <m/>
    <m/>
    <m/>
    <m/>
    <m/>
    <m/>
    <m/>
    <m/>
    <m/>
    <m/>
    <m/>
    <m/>
    <m/>
    <m/>
    <n v="12000"/>
    <n v="12000"/>
    <n v="12000"/>
    <n v="12000"/>
    <n v="12000"/>
    <n v="12000"/>
    <m/>
    <m/>
    <m/>
    <m/>
    <m/>
    <m/>
    <x v="18"/>
    <x v="8"/>
    <x v="1"/>
    <n v="12"/>
    <n v="9"/>
    <n v="1.11958"/>
    <n v="1.2600000000000002"/>
    <n v="0"/>
    <n v="9.1999999999999998E-2"/>
    <x v="18"/>
    <x v="19"/>
    <n v="120"/>
    <n v="90"/>
    <x v="1"/>
    <n v="0.17207369999999855"/>
    <x v="18"/>
    <x v="19"/>
  </r>
  <r>
    <n v="7004756"/>
    <x v="6"/>
    <x v="4"/>
    <x v="15"/>
    <s v="DP"/>
    <x v="0"/>
    <s v="CARTIERE 689"/>
    <s v="gray"/>
    <m/>
    <m/>
    <m/>
    <s v="EU"/>
    <x v="0"/>
    <x v="0"/>
    <m/>
    <m/>
    <m/>
    <x v="0"/>
    <m/>
    <m/>
    <m/>
    <s v="ton"/>
    <x v="1"/>
    <x v="0"/>
    <m/>
    <m/>
    <m/>
    <m/>
    <m/>
    <m/>
    <m/>
    <m/>
    <m/>
    <m/>
    <m/>
    <m/>
    <m/>
    <m/>
    <m/>
    <m/>
    <m/>
    <m/>
    <m/>
    <m/>
    <m/>
    <m/>
    <m/>
    <m/>
    <m/>
    <m/>
    <m/>
    <m/>
    <m/>
    <m/>
    <m/>
    <m/>
    <m/>
    <m/>
    <m/>
    <m/>
    <n v="1790"/>
    <n v="1790"/>
    <n v="1790"/>
    <n v="1920"/>
    <n v="1920"/>
    <n v="1920"/>
    <m/>
    <m/>
    <m/>
    <m/>
    <m/>
    <m/>
    <x v="48"/>
    <x v="8"/>
    <x v="141"/>
    <n v="1.92"/>
    <n v="11.327999999999999"/>
    <n v="0.14176320000000001"/>
    <n v="1.4726399999999999"/>
    <n v="0"/>
    <n v="9.1999999999999998E-2"/>
    <x v="183"/>
    <x v="243"/>
    <n v="105"/>
    <n v="90"/>
    <x v="0"/>
    <n v="9.7394155346023581E-2"/>
    <x v="206"/>
    <x v="251"/>
  </r>
  <r>
    <n v="2010899"/>
    <x v="5"/>
    <x v="0"/>
    <x v="0"/>
    <s v="DP"/>
    <x v="1"/>
    <s v="HUAWON HG5083"/>
    <s v="gray"/>
    <s v="HG5083"/>
    <m/>
    <m/>
    <s v="CN"/>
    <x v="0"/>
    <x v="1"/>
    <m/>
    <n v="90"/>
    <m/>
    <x v="0"/>
    <m/>
    <m/>
    <m/>
    <s v="ton"/>
    <x v="1"/>
    <x v="1"/>
    <m/>
    <m/>
    <m/>
    <m/>
    <m/>
    <m/>
    <m/>
    <m/>
    <m/>
    <m/>
    <m/>
    <m/>
    <m/>
    <m/>
    <m/>
    <m/>
    <m/>
    <m/>
    <m/>
    <m/>
    <m/>
    <m/>
    <m/>
    <m/>
    <m/>
    <m/>
    <m/>
    <m/>
    <m/>
    <m/>
    <m/>
    <m/>
    <m/>
    <m/>
    <m/>
    <m/>
    <n v="12000"/>
    <n v="12000"/>
    <n v="12000"/>
    <n v="12000"/>
    <n v="12000"/>
    <n v="12000"/>
    <m/>
    <m/>
    <m/>
    <m/>
    <m/>
    <m/>
    <x v="18"/>
    <x v="8"/>
    <x v="1"/>
    <n v="12"/>
    <n v="9"/>
    <n v="1.11958"/>
    <n v="1.2600000000000002"/>
    <n v="0"/>
    <n v="9.1999999999999998E-2"/>
    <x v="18"/>
    <x v="19"/>
    <n v="120"/>
    <n v="90"/>
    <x v="1"/>
    <n v="0.17207369999999855"/>
    <x v="18"/>
    <x v="19"/>
  </r>
  <r>
    <n v="7004755"/>
    <x v="5"/>
    <x v="4"/>
    <x v="0"/>
    <s v="DP"/>
    <x v="0"/>
    <s v="CARTIERE 0483"/>
    <s v="gray"/>
    <m/>
    <m/>
    <m/>
    <s v="EU"/>
    <x v="0"/>
    <x v="0"/>
    <m/>
    <m/>
    <m/>
    <x v="0"/>
    <m/>
    <m/>
    <m/>
    <s v="ton"/>
    <x v="4"/>
    <x v="0"/>
    <m/>
    <m/>
    <m/>
    <m/>
    <m/>
    <m/>
    <m/>
    <m/>
    <m/>
    <m/>
    <m/>
    <m/>
    <m/>
    <m/>
    <m/>
    <m/>
    <m/>
    <m/>
    <m/>
    <m/>
    <m/>
    <m/>
    <m/>
    <m/>
    <m/>
    <m/>
    <m/>
    <m/>
    <m/>
    <m/>
    <m/>
    <m/>
    <m/>
    <m/>
    <m/>
    <m/>
    <n v="1750"/>
    <n v="1750"/>
    <n v="1750"/>
    <n v="1850"/>
    <n v="1850"/>
    <n v="1850"/>
    <m/>
    <m/>
    <m/>
    <m/>
    <m/>
    <m/>
    <x v="52"/>
    <x v="8"/>
    <x v="142"/>
    <n v="1.85"/>
    <n v="10.915000000000001"/>
    <n v="0.14176320000000001"/>
    <n v="1.4189500000000002"/>
    <n v="0"/>
    <n v="9.1999999999999998E-2"/>
    <x v="83"/>
    <x v="244"/>
    <n v="105"/>
    <n v="90"/>
    <x v="0"/>
    <n v="9.3907008473166798E-2"/>
    <x v="207"/>
    <x v="252"/>
  </r>
  <r>
    <n v="7004755"/>
    <x v="5"/>
    <x v="4"/>
    <x v="0"/>
    <s v="DP"/>
    <x v="0"/>
    <s v="CARTIERE 0483"/>
    <s v="gray"/>
    <m/>
    <m/>
    <m/>
    <s v="EU"/>
    <x v="0"/>
    <x v="0"/>
    <m/>
    <m/>
    <m/>
    <x v="0"/>
    <m/>
    <m/>
    <m/>
    <s v="ton"/>
    <x v="5"/>
    <x v="0"/>
    <m/>
    <m/>
    <m/>
    <m/>
    <m/>
    <m/>
    <m/>
    <m/>
    <m/>
    <m/>
    <m/>
    <m/>
    <m/>
    <m/>
    <m/>
    <m/>
    <m/>
    <m/>
    <m/>
    <m/>
    <m/>
    <m/>
    <m/>
    <m/>
    <m/>
    <m/>
    <m/>
    <m/>
    <m/>
    <m/>
    <m/>
    <m/>
    <m/>
    <m/>
    <m/>
    <m/>
    <m/>
    <m/>
    <m/>
    <n v="2040"/>
    <n v="2040"/>
    <n v="2040"/>
    <m/>
    <m/>
    <m/>
    <m/>
    <m/>
    <m/>
    <x v="46"/>
    <x v="8"/>
    <x v="1"/>
    <n v="2.04"/>
    <n v="12.036000000000001"/>
    <n v="0.14176320000000001"/>
    <n v="1.5646800000000003"/>
    <n v="0"/>
    <n v="9.1999999999999998E-2"/>
    <x v="90"/>
    <x v="245"/>
    <n v="105"/>
    <n v="90"/>
    <x v="0"/>
    <n v="0.10337212141377705"/>
    <x v="208"/>
    <x v="253"/>
  </r>
  <r>
    <n v="7004755"/>
    <x v="5"/>
    <x v="4"/>
    <x v="0"/>
    <s v="DP"/>
    <x v="0"/>
    <s v="CARTIERE 0483"/>
    <s v="gray"/>
    <m/>
    <m/>
    <m/>
    <s v="EU"/>
    <x v="0"/>
    <x v="0"/>
    <m/>
    <m/>
    <m/>
    <x v="0"/>
    <m/>
    <m/>
    <m/>
    <s v="ton"/>
    <x v="1"/>
    <x v="0"/>
    <m/>
    <m/>
    <m/>
    <m/>
    <m/>
    <m/>
    <m/>
    <m/>
    <m/>
    <m/>
    <m/>
    <m/>
    <m/>
    <m/>
    <m/>
    <m/>
    <m/>
    <m/>
    <m/>
    <m/>
    <m/>
    <m/>
    <m/>
    <m/>
    <m/>
    <m/>
    <m/>
    <m/>
    <m/>
    <m/>
    <m/>
    <m/>
    <m/>
    <m/>
    <m/>
    <m/>
    <m/>
    <m/>
    <m/>
    <n v="2090"/>
    <n v="2090"/>
    <n v="2090"/>
    <m/>
    <m/>
    <m/>
    <m/>
    <m/>
    <m/>
    <x v="85"/>
    <x v="8"/>
    <x v="1"/>
    <n v="2.09"/>
    <n v="12.331"/>
    <n v="0.14176320000000001"/>
    <n v="1.60303"/>
    <n v="0"/>
    <n v="9.1999999999999998E-2"/>
    <x v="104"/>
    <x v="246"/>
    <n v="105"/>
    <n v="90"/>
    <x v="0"/>
    <n v="0.10586294060867552"/>
    <x v="209"/>
    <x v="254"/>
  </r>
  <r>
    <n v="7004755"/>
    <x v="5"/>
    <x v="4"/>
    <x v="0"/>
    <s v="DP"/>
    <x v="0"/>
    <s v="CARTIERE 0483"/>
    <s v="gray"/>
    <m/>
    <m/>
    <m/>
    <s v="EU"/>
    <x v="0"/>
    <x v="0"/>
    <m/>
    <m/>
    <m/>
    <x v="0"/>
    <m/>
    <m/>
    <m/>
    <s v="ton"/>
    <x v="0"/>
    <x v="0"/>
    <m/>
    <m/>
    <m/>
    <m/>
    <m/>
    <m/>
    <m/>
    <m/>
    <m/>
    <m/>
    <m/>
    <m/>
    <m/>
    <m/>
    <m/>
    <m/>
    <m/>
    <m/>
    <m/>
    <m/>
    <m/>
    <m/>
    <m/>
    <m/>
    <m/>
    <m/>
    <m/>
    <m/>
    <m/>
    <m/>
    <m/>
    <m/>
    <m/>
    <m/>
    <m/>
    <m/>
    <m/>
    <m/>
    <m/>
    <n v="2220"/>
    <n v="2220"/>
    <n v="2220"/>
    <m/>
    <m/>
    <m/>
    <m/>
    <m/>
    <m/>
    <x v="157"/>
    <x v="8"/>
    <x v="1"/>
    <n v="2.2200000000000002"/>
    <n v="13.098000000000003"/>
    <n v="0.14176320000000001"/>
    <n v="1.7027400000000004"/>
    <n v="0"/>
    <n v="9.1999999999999998E-2"/>
    <x v="184"/>
    <x v="247"/>
    <n v="105"/>
    <n v="90"/>
    <x v="0"/>
    <n v="0.11233907051540903"/>
    <x v="210"/>
    <x v="255"/>
  </r>
  <r>
    <n v="7004755"/>
    <x v="5"/>
    <x v="4"/>
    <x v="0"/>
    <s v="DP"/>
    <x v="0"/>
    <s v="CARTIERE 0483"/>
    <s v="gray"/>
    <m/>
    <m/>
    <m/>
    <s v="EU"/>
    <x v="0"/>
    <x v="0"/>
    <m/>
    <m/>
    <m/>
    <x v="0"/>
    <m/>
    <m/>
    <m/>
    <s v="ton"/>
    <x v="2"/>
    <x v="0"/>
    <m/>
    <m/>
    <m/>
    <m/>
    <m/>
    <m/>
    <m/>
    <m/>
    <m/>
    <m/>
    <m/>
    <m/>
    <m/>
    <m/>
    <m/>
    <m/>
    <m/>
    <m/>
    <m/>
    <m/>
    <m/>
    <m/>
    <m/>
    <m/>
    <m/>
    <m/>
    <m/>
    <m/>
    <m/>
    <m/>
    <m/>
    <m/>
    <m/>
    <m/>
    <m/>
    <m/>
    <m/>
    <m/>
    <m/>
    <n v="2590"/>
    <n v="2590"/>
    <n v="2590"/>
    <m/>
    <m/>
    <m/>
    <m/>
    <m/>
    <m/>
    <x v="158"/>
    <x v="8"/>
    <x v="1"/>
    <n v="2.59"/>
    <n v="15.281000000000001"/>
    <n v="0.14176320000000001"/>
    <n v="1.9865300000000001"/>
    <n v="0"/>
    <n v="9.1999999999999998E-2"/>
    <x v="185"/>
    <x v="248"/>
    <n v="105"/>
    <n v="90"/>
    <x v="0"/>
    <n v="0.13077113255765482"/>
    <x v="211"/>
    <x v="256"/>
  </r>
  <r>
    <n v="2032265"/>
    <x v="18"/>
    <x v="0"/>
    <x v="15"/>
    <s v="DP"/>
    <x v="3"/>
    <s v="KOEHLER 8269 ECO"/>
    <s v="beige"/>
    <n v="32102"/>
    <m/>
    <m/>
    <s v="EU"/>
    <x v="2"/>
    <x v="0"/>
    <m/>
    <m/>
    <m/>
    <x v="2"/>
    <m/>
    <m/>
    <m/>
    <s v="ton"/>
    <x v="1"/>
    <x v="0"/>
    <m/>
    <m/>
    <m/>
    <m/>
    <m/>
    <m/>
    <m/>
    <m/>
    <m/>
    <m/>
    <m/>
    <m/>
    <m/>
    <m/>
    <m/>
    <m/>
    <m/>
    <m/>
    <m/>
    <m/>
    <m/>
    <m/>
    <m/>
    <m/>
    <m/>
    <m/>
    <m/>
    <m/>
    <m/>
    <m/>
    <m/>
    <m/>
    <m/>
    <m/>
    <m/>
    <m/>
    <n v="2020"/>
    <n v="2020"/>
    <n v="2020"/>
    <n v="2100"/>
    <n v="2100"/>
    <n v="2100"/>
    <m/>
    <m/>
    <m/>
    <m/>
    <m/>
    <m/>
    <x v="42"/>
    <x v="8"/>
    <x v="10"/>
    <n v="2.1"/>
    <n v="12.39"/>
    <n v="0.14176320000000001"/>
    <n v="1.6107"/>
    <n v="-0.17699999999999999"/>
    <n v="9.1999999999999998E-2"/>
    <x v="44"/>
    <x v="53"/>
    <n v="105"/>
    <n v="120"/>
    <x v="3"/>
    <n v="-0.10425950977033871"/>
    <x v="44"/>
    <x v="53"/>
  </r>
  <r>
    <n v="2032265"/>
    <x v="18"/>
    <x v="0"/>
    <x v="15"/>
    <s v="DP"/>
    <x v="3"/>
    <s v="KOEHLER 8269 ECO"/>
    <s v="beige"/>
    <n v="32102"/>
    <m/>
    <m/>
    <s v="EU"/>
    <x v="2"/>
    <x v="0"/>
    <m/>
    <m/>
    <m/>
    <x v="2"/>
    <m/>
    <m/>
    <m/>
    <s v="ton"/>
    <x v="11"/>
    <x v="0"/>
    <m/>
    <m/>
    <m/>
    <m/>
    <m/>
    <m/>
    <m/>
    <m/>
    <m/>
    <m/>
    <m/>
    <m/>
    <m/>
    <m/>
    <m/>
    <m/>
    <m/>
    <m/>
    <m/>
    <m/>
    <m/>
    <m/>
    <m/>
    <m/>
    <m/>
    <m/>
    <m/>
    <m/>
    <m/>
    <m/>
    <m/>
    <m/>
    <m/>
    <m/>
    <m/>
    <m/>
    <n v="2040"/>
    <n v="2040"/>
    <n v="2040"/>
    <n v="2120"/>
    <n v="2120"/>
    <n v="2120"/>
    <m/>
    <m/>
    <m/>
    <m/>
    <m/>
    <m/>
    <x v="43"/>
    <x v="8"/>
    <x v="11"/>
    <n v="2.12"/>
    <n v="12.508000000000001"/>
    <n v="0.14176320000000001"/>
    <n v="1.6260400000000002"/>
    <n v="-0.17699999999999999"/>
    <n v="9.1999999999999998E-2"/>
    <x v="45"/>
    <x v="54"/>
    <n v="105"/>
    <n v="120"/>
    <x v="3"/>
    <n v="-0.10524844801865463"/>
    <x v="45"/>
    <x v="54"/>
  </r>
  <r>
    <n v="2032265"/>
    <x v="18"/>
    <x v="0"/>
    <x v="15"/>
    <s v="DP"/>
    <x v="3"/>
    <s v="KOEHLER 8269 ECO"/>
    <s v="beige"/>
    <n v="32102"/>
    <m/>
    <m/>
    <s v="EU"/>
    <x v="2"/>
    <x v="0"/>
    <m/>
    <m/>
    <m/>
    <x v="2"/>
    <m/>
    <m/>
    <m/>
    <s v="ton"/>
    <x v="0"/>
    <x v="0"/>
    <m/>
    <m/>
    <m/>
    <m/>
    <m/>
    <m/>
    <m/>
    <m/>
    <m/>
    <m/>
    <m/>
    <m/>
    <m/>
    <m/>
    <m/>
    <m/>
    <m/>
    <m/>
    <m/>
    <m/>
    <m/>
    <m/>
    <m/>
    <m/>
    <m/>
    <m/>
    <m/>
    <m/>
    <m/>
    <m/>
    <m/>
    <m/>
    <m/>
    <m/>
    <m/>
    <m/>
    <n v="2070"/>
    <n v="2070"/>
    <n v="2070"/>
    <n v="2150"/>
    <n v="2150"/>
    <n v="2150"/>
    <m/>
    <m/>
    <m/>
    <m/>
    <m/>
    <m/>
    <x v="44"/>
    <x v="8"/>
    <x v="12"/>
    <n v="2.15"/>
    <n v="12.685"/>
    <n v="0.14176320000000001"/>
    <n v="1.6490500000000001"/>
    <n v="-0.17699999999999999"/>
    <n v="9.1999999999999998E-2"/>
    <x v="46"/>
    <x v="55"/>
    <n v="105"/>
    <n v="120"/>
    <x v="3"/>
    <n v="-0.10673185539112851"/>
    <x v="46"/>
    <x v="55"/>
  </r>
  <r>
    <n v="2032265"/>
    <x v="18"/>
    <x v="0"/>
    <x v="15"/>
    <s v="DP"/>
    <x v="3"/>
    <s v="KOEHLER 8269 ECO"/>
    <s v="beige"/>
    <n v="32102"/>
    <m/>
    <m/>
    <s v="EU"/>
    <x v="2"/>
    <x v="0"/>
    <m/>
    <m/>
    <m/>
    <x v="2"/>
    <m/>
    <m/>
    <m/>
    <s v="ton"/>
    <x v="12"/>
    <x v="0"/>
    <m/>
    <m/>
    <m/>
    <m/>
    <m/>
    <m/>
    <m/>
    <m/>
    <m/>
    <m/>
    <m/>
    <m/>
    <m/>
    <m/>
    <m/>
    <m/>
    <m/>
    <m/>
    <m/>
    <m/>
    <m/>
    <m/>
    <m/>
    <m/>
    <m/>
    <m/>
    <m/>
    <m/>
    <m/>
    <m/>
    <m/>
    <m/>
    <m/>
    <m/>
    <m/>
    <m/>
    <n v="2120"/>
    <n v="2120"/>
    <n v="2120"/>
    <n v="2200"/>
    <n v="2200"/>
    <n v="2200"/>
    <m/>
    <m/>
    <m/>
    <m/>
    <m/>
    <m/>
    <x v="37"/>
    <x v="8"/>
    <x v="13"/>
    <n v="2.2000000000000002"/>
    <n v="12.980000000000002"/>
    <n v="0.14176320000000001"/>
    <n v="1.6874000000000002"/>
    <n v="-0.17699999999999999"/>
    <n v="9.1999999999999998E-2"/>
    <x v="38"/>
    <x v="47"/>
    <n v="105"/>
    <n v="120"/>
    <x v="3"/>
    <n v="-0.1092042010119183"/>
    <x v="38"/>
    <x v="47"/>
  </r>
  <r>
    <n v="2043069"/>
    <x v="19"/>
    <x v="13"/>
    <x v="15"/>
    <s v="DP"/>
    <x v="11"/>
    <s v="TECHNOCELL 6552F EIR"/>
    <s v="beige"/>
    <s v="6552F"/>
    <m/>
    <m/>
    <s v="EU"/>
    <x v="2"/>
    <x v="4"/>
    <m/>
    <m/>
    <m/>
    <x v="0"/>
    <m/>
    <m/>
    <m/>
    <s v="ton"/>
    <x v="1"/>
    <x v="0"/>
    <m/>
    <m/>
    <m/>
    <m/>
    <m/>
    <m/>
    <m/>
    <m/>
    <m/>
    <m/>
    <m/>
    <m/>
    <m/>
    <m/>
    <m/>
    <m/>
    <m/>
    <m/>
    <m/>
    <m/>
    <m/>
    <m/>
    <m/>
    <m/>
    <m/>
    <m/>
    <m/>
    <m/>
    <m/>
    <m/>
    <m/>
    <m/>
    <m/>
    <m/>
    <m/>
    <m/>
    <n v="2200"/>
    <n v="2200"/>
    <n v="2200"/>
    <n v="2300"/>
    <n v="2300"/>
    <n v="2300"/>
    <m/>
    <m/>
    <m/>
    <m/>
    <m/>
    <m/>
    <x v="41"/>
    <x v="8"/>
    <x v="103"/>
    <n v="2.2999999999999998"/>
    <n v="13.57"/>
    <n v="0.14176320000000001"/>
    <n v="1.7641"/>
    <n v="0"/>
    <n v="9.1999999999999998E-2"/>
    <x v="72"/>
    <x v="249"/>
    <n v="105"/>
    <n v="120"/>
    <x v="3"/>
    <n v="-0.11546164214064447"/>
    <x v="212"/>
    <x v="257"/>
  </r>
  <r>
    <n v="2043069"/>
    <x v="19"/>
    <x v="13"/>
    <x v="15"/>
    <s v="DP"/>
    <x v="11"/>
    <s v="TECHNOCELL 6552F EIR"/>
    <s v="beige"/>
    <s v="6552F"/>
    <m/>
    <m/>
    <s v="EU"/>
    <x v="2"/>
    <x v="4"/>
    <m/>
    <m/>
    <m/>
    <x v="0"/>
    <m/>
    <m/>
    <m/>
    <s v="ton"/>
    <x v="0"/>
    <x v="0"/>
    <m/>
    <m/>
    <m/>
    <m/>
    <m/>
    <m/>
    <m/>
    <m/>
    <m/>
    <m/>
    <m/>
    <m/>
    <m/>
    <m/>
    <m/>
    <m/>
    <m/>
    <m/>
    <m/>
    <m/>
    <m/>
    <m/>
    <m/>
    <m/>
    <m/>
    <m/>
    <m/>
    <m/>
    <m/>
    <m/>
    <m/>
    <m/>
    <m/>
    <m/>
    <m/>
    <m/>
    <n v="2220"/>
    <n v="2220"/>
    <n v="2220"/>
    <n v="2320"/>
    <n v="2320"/>
    <n v="2320"/>
    <m/>
    <m/>
    <m/>
    <m/>
    <m/>
    <m/>
    <x v="134"/>
    <x v="8"/>
    <x v="143"/>
    <n v="2.3199999999999998"/>
    <n v="13.688000000000001"/>
    <n v="0.14176320000000001"/>
    <n v="1.7794400000000001"/>
    <n v="0"/>
    <n v="9.1999999999999998E-2"/>
    <x v="155"/>
    <x v="194"/>
    <n v="105"/>
    <n v="120"/>
    <x v="3"/>
    <n v="-0.11645058038896217"/>
    <x v="167"/>
    <x v="199"/>
  </r>
  <r>
    <n v="2043069"/>
    <x v="19"/>
    <x v="13"/>
    <x v="15"/>
    <s v="DP"/>
    <x v="11"/>
    <s v="TECHNOCELL 6552F EIR"/>
    <s v="beige"/>
    <s v="6552F"/>
    <m/>
    <m/>
    <s v="EU"/>
    <x v="2"/>
    <x v="4"/>
    <m/>
    <m/>
    <m/>
    <x v="0"/>
    <m/>
    <m/>
    <m/>
    <s v="ton"/>
    <x v="12"/>
    <x v="0"/>
    <m/>
    <m/>
    <m/>
    <m/>
    <m/>
    <m/>
    <m/>
    <m/>
    <m/>
    <m/>
    <m/>
    <m/>
    <m/>
    <m/>
    <m/>
    <m/>
    <m/>
    <m/>
    <m/>
    <m/>
    <m/>
    <m/>
    <m/>
    <m/>
    <m/>
    <m/>
    <m/>
    <m/>
    <m/>
    <m/>
    <m/>
    <m/>
    <m/>
    <m/>
    <m/>
    <m/>
    <n v="2270"/>
    <n v="2270"/>
    <n v="2270"/>
    <n v="2370"/>
    <n v="2370"/>
    <n v="2370"/>
    <m/>
    <m/>
    <m/>
    <m/>
    <m/>
    <m/>
    <x v="1"/>
    <x v="8"/>
    <x v="144"/>
    <n v="2.37"/>
    <n v="13.983000000000002"/>
    <n v="0.14176320000000001"/>
    <n v="1.8177900000000005"/>
    <n v="0"/>
    <n v="9.1999999999999998E-2"/>
    <x v="1"/>
    <x v="195"/>
    <n v="105"/>
    <n v="120"/>
    <x v="3"/>
    <n v="-0.11892292600975196"/>
    <x v="168"/>
    <x v="200"/>
  </r>
  <r>
    <n v="2043069"/>
    <x v="19"/>
    <x v="13"/>
    <x v="15"/>
    <s v="DP"/>
    <x v="11"/>
    <s v="TECHNOCELL 6552F EIR"/>
    <s v="beige"/>
    <s v="6552F"/>
    <m/>
    <m/>
    <s v="EU"/>
    <x v="2"/>
    <x v="4"/>
    <m/>
    <m/>
    <m/>
    <x v="0"/>
    <m/>
    <m/>
    <m/>
    <s v="ton"/>
    <x v="14"/>
    <x v="0"/>
    <m/>
    <m/>
    <m/>
    <m/>
    <m/>
    <m/>
    <m/>
    <m/>
    <m/>
    <m/>
    <m/>
    <m/>
    <m/>
    <m/>
    <m/>
    <m/>
    <m/>
    <m/>
    <m/>
    <m/>
    <m/>
    <m/>
    <m/>
    <m/>
    <m/>
    <m/>
    <m/>
    <m/>
    <m/>
    <m/>
    <m/>
    <m/>
    <m/>
    <m/>
    <m/>
    <m/>
    <n v="2320"/>
    <n v="2320"/>
    <n v="2320"/>
    <n v="2420"/>
    <n v="2420"/>
    <n v="2420"/>
    <m/>
    <m/>
    <m/>
    <m/>
    <m/>
    <m/>
    <x v="135"/>
    <x v="8"/>
    <x v="145"/>
    <n v="2.42"/>
    <n v="14.278"/>
    <n v="0.14176320000000001"/>
    <n v="1.8561400000000001"/>
    <n v="0"/>
    <n v="9.1999999999999998E-2"/>
    <x v="156"/>
    <x v="196"/>
    <n v="105"/>
    <n v="120"/>
    <x v="3"/>
    <n v="-0.12139527163054353"/>
    <x v="169"/>
    <x v="201"/>
  </r>
  <r>
    <n v="2043069"/>
    <x v="19"/>
    <x v="13"/>
    <x v="15"/>
    <s v="DP"/>
    <x v="11"/>
    <s v="TECHNOCELL 6552F EIR"/>
    <s v="beige"/>
    <s v="6552F"/>
    <m/>
    <m/>
    <s v="EU"/>
    <x v="2"/>
    <x v="4"/>
    <m/>
    <m/>
    <m/>
    <x v="0"/>
    <m/>
    <m/>
    <m/>
    <s v="ton"/>
    <x v="15"/>
    <x v="0"/>
    <m/>
    <m/>
    <m/>
    <m/>
    <m/>
    <m/>
    <m/>
    <m/>
    <m/>
    <m/>
    <m/>
    <m/>
    <m/>
    <m/>
    <m/>
    <m/>
    <m/>
    <m/>
    <m/>
    <m/>
    <m/>
    <m/>
    <m/>
    <m/>
    <m/>
    <m/>
    <m/>
    <m/>
    <m/>
    <m/>
    <m/>
    <m/>
    <m/>
    <m/>
    <m/>
    <m/>
    <n v="2400"/>
    <n v="2400"/>
    <n v="2400"/>
    <n v="2500"/>
    <n v="2500"/>
    <n v="2500"/>
    <m/>
    <m/>
    <m/>
    <m/>
    <m/>
    <m/>
    <x v="59"/>
    <x v="8"/>
    <x v="2"/>
    <n v="2.5"/>
    <n v="14.75"/>
    <n v="0.14176320000000001"/>
    <n v="1.9175"/>
    <n v="0"/>
    <n v="9.1999999999999998E-2"/>
    <x v="66"/>
    <x v="197"/>
    <n v="105"/>
    <n v="120"/>
    <x v="3"/>
    <n v="-0.12535102462380721"/>
    <x v="170"/>
    <x v="202"/>
  </r>
  <r>
    <n v="7000451"/>
    <x v="21"/>
    <x v="4"/>
    <x v="15"/>
    <s v="DP"/>
    <x v="3"/>
    <s v="KOEHLER 8292 LOP"/>
    <s v="beige"/>
    <n v="32129"/>
    <m/>
    <m/>
    <s v="EU"/>
    <x v="2"/>
    <x v="0"/>
    <m/>
    <m/>
    <m/>
    <x v="2"/>
    <m/>
    <m/>
    <m/>
    <s v="ton"/>
    <x v="1"/>
    <x v="0"/>
    <m/>
    <m/>
    <m/>
    <m/>
    <m/>
    <m/>
    <m/>
    <m/>
    <m/>
    <m/>
    <m/>
    <m/>
    <m/>
    <m/>
    <m/>
    <m/>
    <m/>
    <m/>
    <m/>
    <m/>
    <m/>
    <m/>
    <m/>
    <m/>
    <m/>
    <m/>
    <m/>
    <m/>
    <m/>
    <m/>
    <m/>
    <m/>
    <m/>
    <m/>
    <m/>
    <m/>
    <n v="1720"/>
    <n v="1720"/>
    <n v="1720"/>
    <n v="1800"/>
    <n v="1800"/>
    <n v="1800"/>
    <m/>
    <m/>
    <m/>
    <m/>
    <m/>
    <m/>
    <x v="17"/>
    <x v="8"/>
    <x v="18"/>
    <n v="1.8"/>
    <n v="10.620000000000001"/>
    <n v="0.14176320000000001"/>
    <n v="1.3806000000000003"/>
    <n v="-0.17699999999999999"/>
    <n v="9.1999999999999998E-2"/>
    <x v="53"/>
    <x v="63"/>
    <n v="105"/>
    <n v="120"/>
    <x v="3"/>
    <n v="-8.9425436045596385E-2"/>
    <x v="53"/>
    <x v="63"/>
  </r>
  <r>
    <n v="7000451"/>
    <x v="21"/>
    <x v="4"/>
    <x v="15"/>
    <s v="DP"/>
    <x v="3"/>
    <s v="KOEHLER 8292 LOP"/>
    <s v="beige"/>
    <n v="32129"/>
    <m/>
    <m/>
    <s v="EU"/>
    <x v="2"/>
    <x v="0"/>
    <m/>
    <m/>
    <m/>
    <x v="2"/>
    <m/>
    <m/>
    <m/>
    <s v="ton"/>
    <x v="11"/>
    <x v="0"/>
    <m/>
    <m/>
    <m/>
    <m/>
    <m/>
    <m/>
    <m/>
    <m/>
    <m/>
    <m/>
    <m/>
    <m/>
    <m/>
    <m/>
    <m/>
    <m/>
    <m/>
    <m/>
    <m/>
    <m/>
    <m/>
    <m/>
    <m/>
    <m/>
    <m/>
    <m/>
    <m/>
    <m/>
    <m/>
    <m/>
    <m/>
    <m/>
    <m/>
    <m/>
    <m/>
    <m/>
    <n v="1740"/>
    <n v="1740"/>
    <n v="1740"/>
    <n v="1820"/>
    <n v="1820"/>
    <n v="1820"/>
    <m/>
    <m/>
    <m/>
    <m/>
    <m/>
    <m/>
    <x v="51"/>
    <x v="8"/>
    <x v="19"/>
    <n v="1.82"/>
    <n v="10.738000000000001"/>
    <n v="0.14176320000000001"/>
    <n v="1.3959400000000002"/>
    <n v="-0.17699999999999999"/>
    <n v="9.1999999999999998E-2"/>
    <x v="54"/>
    <x v="64"/>
    <n v="105"/>
    <n v="120"/>
    <x v="3"/>
    <n v="-9.0414374293912303E-2"/>
    <x v="54"/>
    <x v="64"/>
  </r>
  <r>
    <n v="7000451"/>
    <x v="21"/>
    <x v="4"/>
    <x v="15"/>
    <s v="DP"/>
    <x v="3"/>
    <s v="KOEHLER 8292 LOP"/>
    <s v="beige"/>
    <n v="32129"/>
    <m/>
    <m/>
    <s v="EU"/>
    <x v="2"/>
    <x v="0"/>
    <m/>
    <m/>
    <m/>
    <x v="2"/>
    <m/>
    <m/>
    <m/>
    <s v="ton"/>
    <x v="0"/>
    <x v="0"/>
    <m/>
    <m/>
    <m/>
    <m/>
    <m/>
    <m/>
    <m/>
    <m/>
    <m/>
    <m/>
    <m/>
    <m/>
    <m/>
    <m/>
    <m/>
    <m/>
    <m/>
    <m/>
    <m/>
    <m/>
    <m/>
    <m/>
    <m/>
    <m/>
    <m/>
    <m/>
    <m/>
    <m/>
    <m/>
    <m/>
    <m/>
    <m/>
    <m/>
    <m/>
    <m/>
    <m/>
    <n v="1770"/>
    <n v="1770"/>
    <n v="1770"/>
    <n v="1850"/>
    <n v="1850"/>
    <n v="1850"/>
    <m/>
    <m/>
    <m/>
    <m/>
    <m/>
    <m/>
    <x v="52"/>
    <x v="8"/>
    <x v="20"/>
    <n v="1.85"/>
    <n v="10.915000000000001"/>
    <n v="0.14176320000000001"/>
    <n v="1.4189500000000002"/>
    <n v="-0.17699999999999999"/>
    <n v="9.1999999999999998E-2"/>
    <x v="55"/>
    <x v="65"/>
    <n v="105"/>
    <n v="120"/>
    <x v="3"/>
    <n v="-9.189778166638618E-2"/>
    <x v="55"/>
    <x v="65"/>
  </r>
  <r>
    <n v="7000451"/>
    <x v="21"/>
    <x v="4"/>
    <x v="15"/>
    <s v="DP"/>
    <x v="3"/>
    <s v="KOEHLER 8292 LOP"/>
    <s v="beige"/>
    <n v="32129"/>
    <m/>
    <m/>
    <s v="EU"/>
    <x v="2"/>
    <x v="0"/>
    <m/>
    <m/>
    <m/>
    <x v="2"/>
    <m/>
    <m/>
    <m/>
    <s v="ton"/>
    <x v="12"/>
    <x v="0"/>
    <m/>
    <m/>
    <m/>
    <m/>
    <m/>
    <m/>
    <m/>
    <m/>
    <m/>
    <m/>
    <m/>
    <m/>
    <m/>
    <m/>
    <m/>
    <m/>
    <m/>
    <m/>
    <m/>
    <m/>
    <m/>
    <m/>
    <m/>
    <m/>
    <m/>
    <m/>
    <m/>
    <m/>
    <m/>
    <m/>
    <m/>
    <m/>
    <m/>
    <m/>
    <m/>
    <m/>
    <n v="1820"/>
    <n v="1820"/>
    <n v="1820"/>
    <n v="1900"/>
    <n v="1900"/>
    <n v="1900"/>
    <m/>
    <m/>
    <m/>
    <m/>
    <m/>
    <m/>
    <x v="12"/>
    <x v="8"/>
    <x v="21"/>
    <n v="1.9"/>
    <n v="11.21"/>
    <n v="0.14176320000000001"/>
    <n v="1.4573000000000003"/>
    <n v="-0.17699999999999999"/>
    <n v="9.1999999999999998E-2"/>
    <x v="56"/>
    <x v="66"/>
    <n v="105"/>
    <n v="120"/>
    <x v="3"/>
    <n v="-9.4370127287175976E-2"/>
    <x v="56"/>
    <x v="66"/>
  </r>
  <r>
    <n v="7000452"/>
    <x v="22"/>
    <x v="0"/>
    <x v="15"/>
    <s v="DP"/>
    <x v="5"/>
    <s v="MUNKSJO 1410 ECO"/>
    <s v="brown"/>
    <n v="1410"/>
    <m/>
    <m/>
    <s v="EU"/>
    <x v="4"/>
    <x v="0"/>
    <m/>
    <m/>
    <m/>
    <x v="0"/>
    <m/>
    <m/>
    <m/>
    <s v="ton"/>
    <x v="1"/>
    <x v="0"/>
    <m/>
    <m/>
    <m/>
    <m/>
    <m/>
    <m/>
    <m/>
    <m/>
    <m/>
    <m/>
    <m/>
    <m/>
    <m/>
    <m/>
    <m/>
    <m/>
    <m/>
    <m/>
    <m/>
    <m/>
    <m/>
    <m/>
    <m/>
    <m/>
    <m/>
    <m/>
    <m/>
    <m/>
    <m/>
    <m/>
    <m/>
    <m/>
    <m/>
    <m/>
    <m/>
    <m/>
    <n v="1790"/>
    <n v="1790"/>
    <n v="1790"/>
    <n v="1870"/>
    <n v="1950"/>
    <n v="1950"/>
    <m/>
    <m/>
    <m/>
    <m/>
    <m/>
    <m/>
    <x v="81"/>
    <x v="8"/>
    <x v="72"/>
    <n v="1.95"/>
    <n v="11.505000000000001"/>
    <n v="0.14176320000000001"/>
    <n v="1.4956500000000001"/>
    <n v="0"/>
    <n v="9.1999999999999998E-2"/>
    <x v="99"/>
    <x v="130"/>
    <n v="105"/>
    <n v="60"/>
    <x v="2"/>
    <n v="0.29888817456590289"/>
    <x v="104"/>
    <x v="130"/>
  </r>
  <r>
    <n v="7000454"/>
    <x v="23"/>
    <x v="0"/>
    <x v="15"/>
    <s v="DP"/>
    <x v="5"/>
    <s v="MUNKSJO 1430 ECO"/>
    <s v="brown"/>
    <n v="1430"/>
    <m/>
    <m/>
    <s v="EU"/>
    <x v="4"/>
    <x v="0"/>
    <m/>
    <m/>
    <m/>
    <x v="0"/>
    <m/>
    <m/>
    <m/>
    <s v="ton"/>
    <x v="1"/>
    <x v="0"/>
    <m/>
    <m/>
    <m/>
    <m/>
    <m/>
    <m/>
    <m/>
    <m/>
    <m/>
    <m/>
    <m/>
    <m/>
    <m/>
    <m/>
    <m/>
    <m/>
    <m/>
    <m/>
    <m/>
    <m/>
    <m/>
    <m/>
    <m/>
    <m/>
    <m/>
    <m/>
    <m/>
    <m/>
    <m/>
    <m/>
    <m/>
    <m/>
    <m/>
    <m/>
    <m/>
    <m/>
    <n v="1790"/>
    <n v="1790"/>
    <n v="1790"/>
    <n v="1870"/>
    <n v="1950"/>
    <n v="1950"/>
    <m/>
    <m/>
    <m/>
    <m/>
    <m/>
    <m/>
    <x v="81"/>
    <x v="8"/>
    <x v="72"/>
    <n v="1.95"/>
    <n v="11.505000000000001"/>
    <n v="0.14176320000000001"/>
    <n v="1.4956500000000001"/>
    <n v="0"/>
    <n v="9.1999999999999998E-2"/>
    <x v="99"/>
    <x v="130"/>
    <n v="105"/>
    <n v="60"/>
    <x v="2"/>
    <n v="0.29888817456590289"/>
    <x v="104"/>
    <x v="130"/>
  </r>
  <r>
    <n v="7000462"/>
    <x v="42"/>
    <x v="5"/>
    <x v="15"/>
    <s v="DP"/>
    <x v="11"/>
    <s v="TECHNOCELL 6287"/>
    <s v="brown"/>
    <n v="6287"/>
    <m/>
    <m/>
    <s v="EU"/>
    <x v="2"/>
    <x v="4"/>
    <m/>
    <m/>
    <m/>
    <x v="0"/>
    <m/>
    <m/>
    <m/>
    <s v="ton"/>
    <x v="0"/>
    <x v="0"/>
    <m/>
    <m/>
    <m/>
    <m/>
    <m/>
    <m/>
    <m/>
    <m/>
    <m/>
    <m/>
    <m/>
    <m/>
    <m/>
    <m/>
    <m/>
    <m/>
    <m/>
    <m/>
    <m/>
    <m/>
    <m/>
    <m/>
    <m/>
    <m/>
    <m/>
    <m/>
    <m/>
    <m/>
    <m/>
    <m/>
    <m/>
    <m/>
    <m/>
    <m/>
    <m/>
    <m/>
    <n v="2480"/>
    <n v="2480"/>
    <n v="2480"/>
    <n v="2580"/>
    <n v="2580"/>
    <n v="2580"/>
    <m/>
    <m/>
    <m/>
    <m/>
    <m/>
    <m/>
    <x v="142"/>
    <x v="8"/>
    <x v="146"/>
    <n v="2.58"/>
    <n v="15.222000000000001"/>
    <n v="0.14176320000000001"/>
    <n v="1.9788600000000003"/>
    <n v="0"/>
    <n v="9.1999999999999998E-2"/>
    <x v="165"/>
    <x v="215"/>
    <n v="105"/>
    <n v="120"/>
    <x v="3"/>
    <n v="-0.12930677761707088"/>
    <x v="181"/>
    <x v="221"/>
  </r>
  <r>
    <n v="7000462"/>
    <x v="42"/>
    <x v="5"/>
    <x v="15"/>
    <s v="DP"/>
    <x v="11"/>
    <s v="TECHNOCELL 6287"/>
    <s v="brown"/>
    <n v="6287"/>
    <m/>
    <m/>
    <s v="EU"/>
    <x v="2"/>
    <x v="4"/>
    <m/>
    <m/>
    <m/>
    <x v="0"/>
    <m/>
    <m/>
    <m/>
    <s v="ton"/>
    <x v="12"/>
    <x v="0"/>
    <m/>
    <m/>
    <m/>
    <m/>
    <m/>
    <m/>
    <m/>
    <m/>
    <m/>
    <m/>
    <m/>
    <m/>
    <m/>
    <m/>
    <m/>
    <m/>
    <m/>
    <m/>
    <m/>
    <m/>
    <m/>
    <m/>
    <m/>
    <m/>
    <m/>
    <m/>
    <m/>
    <m/>
    <m/>
    <m/>
    <m/>
    <m/>
    <m/>
    <m/>
    <m/>
    <m/>
    <n v="2530"/>
    <n v="2530"/>
    <n v="2530"/>
    <n v="2630"/>
    <n v="2630"/>
    <n v="2630"/>
    <m/>
    <m/>
    <m/>
    <m/>
    <m/>
    <m/>
    <x v="5"/>
    <x v="8"/>
    <x v="147"/>
    <n v="2.63"/>
    <n v="15.516999999999999"/>
    <n v="0.14176320000000001"/>
    <n v="2.0172099999999999"/>
    <n v="0"/>
    <n v="9.1999999999999998E-2"/>
    <x v="5"/>
    <x v="216"/>
    <n v="105"/>
    <n v="120"/>
    <x v="3"/>
    <n v="-0.13177912323786245"/>
    <x v="182"/>
    <x v="222"/>
  </r>
  <r>
    <n v="7000462"/>
    <x v="42"/>
    <x v="5"/>
    <x v="15"/>
    <s v="DP"/>
    <x v="11"/>
    <s v="TECHNOCELL 6287"/>
    <s v="brown"/>
    <n v="6287"/>
    <m/>
    <m/>
    <s v="EU"/>
    <x v="2"/>
    <x v="4"/>
    <m/>
    <m/>
    <m/>
    <x v="0"/>
    <m/>
    <m/>
    <m/>
    <s v="ton"/>
    <x v="14"/>
    <x v="0"/>
    <m/>
    <m/>
    <m/>
    <m/>
    <m/>
    <m/>
    <m/>
    <m/>
    <m/>
    <m/>
    <m/>
    <m/>
    <m/>
    <m/>
    <m/>
    <m/>
    <m/>
    <m/>
    <m/>
    <m/>
    <m/>
    <m/>
    <m/>
    <m/>
    <m/>
    <m/>
    <m/>
    <m/>
    <m/>
    <m/>
    <m/>
    <m/>
    <m/>
    <m/>
    <m/>
    <m/>
    <n v="2580"/>
    <n v="2580"/>
    <n v="2580"/>
    <n v="2680"/>
    <n v="2680"/>
    <n v="2680"/>
    <m/>
    <m/>
    <m/>
    <m/>
    <m/>
    <m/>
    <x v="143"/>
    <x v="8"/>
    <x v="148"/>
    <n v="2.68"/>
    <n v="15.812000000000001"/>
    <n v="0.14176320000000001"/>
    <n v="2.0555600000000003"/>
    <n v="0"/>
    <n v="9.1999999999999998E-2"/>
    <x v="166"/>
    <x v="217"/>
    <n v="105"/>
    <n v="120"/>
    <x v="3"/>
    <n v="-0.13425146885865402"/>
    <x v="184"/>
    <x v="223"/>
  </r>
  <r>
    <n v="7000462"/>
    <x v="42"/>
    <x v="5"/>
    <x v="15"/>
    <s v="DP"/>
    <x v="11"/>
    <s v="TECHNOCELL 6287"/>
    <s v="brown"/>
    <n v="6287"/>
    <m/>
    <m/>
    <s v="EU"/>
    <x v="2"/>
    <x v="4"/>
    <m/>
    <m/>
    <m/>
    <x v="0"/>
    <m/>
    <m/>
    <m/>
    <s v="ton"/>
    <x v="15"/>
    <x v="0"/>
    <m/>
    <m/>
    <m/>
    <m/>
    <m/>
    <m/>
    <m/>
    <m/>
    <m/>
    <m/>
    <m/>
    <m/>
    <m/>
    <m/>
    <m/>
    <m/>
    <m/>
    <m/>
    <m/>
    <m/>
    <m/>
    <m/>
    <m/>
    <m/>
    <m/>
    <m/>
    <m/>
    <m/>
    <m/>
    <m/>
    <m/>
    <m/>
    <m/>
    <m/>
    <m/>
    <m/>
    <n v="2660"/>
    <n v="2660"/>
    <n v="2660"/>
    <n v="2760"/>
    <n v="2760"/>
    <n v="2760"/>
    <m/>
    <m/>
    <m/>
    <m/>
    <m/>
    <m/>
    <x v="66"/>
    <x v="8"/>
    <x v="149"/>
    <n v="2.76"/>
    <n v="16.283999999999999"/>
    <n v="0.14176320000000001"/>
    <n v="2.1169199999999999"/>
    <n v="0"/>
    <n v="9.1999999999999998E-2"/>
    <x v="76"/>
    <x v="218"/>
    <n v="105"/>
    <n v="120"/>
    <x v="3"/>
    <n v="-0.13820722185191769"/>
    <x v="185"/>
    <x v="224"/>
  </r>
  <r>
    <n v="7000447"/>
    <x v="9"/>
    <x v="5"/>
    <x v="15"/>
    <s v="DP"/>
    <x v="4"/>
    <s v="MALTADECOR 0301"/>
    <s v="dark beige"/>
    <s v="U301"/>
    <m/>
    <m/>
    <s v="EU"/>
    <x v="3"/>
    <x v="3"/>
    <m/>
    <m/>
    <m/>
    <x v="0"/>
    <m/>
    <m/>
    <m/>
    <s v="ton"/>
    <x v="13"/>
    <x v="0"/>
    <m/>
    <m/>
    <m/>
    <m/>
    <m/>
    <m/>
    <m/>
    <m/>
    <m/>
    <m/>
    <m/>
    <m/>
    <m/>
    <m/>
    <m/>
    <m/>
    <m/>
    <m/>
    <m/>
    <m/>
    <m/>
    <m/>
    <m/>
    <m/>
    <m/>
    <m/>
    <m/>
    <m/>
    <m/>
    <m/>
    <m/>
    <m/>
    <m/>
    <m/>
    <m/>
    <m/>
    <n v="2480"/>
    <n v="2480"/>
    <n v="2480"/>
    <n v="2250"/>
    <n v="2250"/>
    <n v="2250"/>
    <m/>
    <m/>
    <m/>
    <m/>
    <m/>
    <m/>
    <x v="35"/>
    <x v="8"/>
    <x v="150"/>
    <n v="2.25"/>
    <n v="13.275"/>
    <n v="0.14176320000000001"/>
    <n v="1.7257500000000001"/>
    <n v="0"/>
    <n v="9.1999999999999998E-2"/>
    <x v="70"/>
    <x v="94"/>
    <n v="105"/>
    <n v="30"/>
    <x v="4"/>
    <n v="0.57773734291477297"/>
    <x v="71"/>
    <x v="94"/>
  </r>
  <r>
    <s v="7000488"/>
    <x v="1"/>
    <x v="1"/>
    <x v="15"/>
    <s v="IP"/>
    <x v="0"/>
    <s v="CARTIERE ARGILA 932"/>
    <s v="beige"/>
    <m/>
    <m/>
    <m/>
    <s v="EU"/>
    <x v="0"/>
    <x v="0"/>
    <m/>
    <m/>
    <m/>
    <x v="0"/>
    <m/>
    <m/>
    <m/>
    <s v="ton"/>
    <x v="2"/>
    <x v="0"/>
    <m/>
    <m/>
    <m/>
    <m/>
    <m/>
    <m/>
    <m/>
    <m/>
    <m/>
    <m/>
    <m/>
    <m/>
    <m/>
    <m/>
    <m/>
    <m/>
    <m/>
    <m/>
    <m/>
    <m/>
    <m/>
    <m/>
    <m/>
    <m/>
    <m/>
    <m/>
    <m/>
    <m/>
    <m/>
    <m/>
    <m/>
    <m/>
    <m/>
    <m/>
    <m/>
    <m/>
    <m/>
    <m/>
    <m/>
    <n v="2900"/>
    <n v="2900"/>
    <n v="2900"/>
    <m/>
    <m/>
    <m/>
    <m/>
    <m/>
    <m/>
    <x v="2"/>
    <x v="8"/>
    <x v="1"/>
    <n v="2.9"/>
    <n v="17.11"/>
    <n v="0.14176320000000001"/>
    <n v="2.2242999999999999"/>
    <n v="0"/>
    <n v="9.1999999999999998E-2"/>
    <x v="2"/>
    <x v="2"/>
    <n v="105"/>
    <n v="90"/>
    <x v="0"/>
    <n v="0.14621421156601855"/>
    <x v="2"/>
    <x v="2"/>
  </r>
  <r>
    <s v="7000488"/>
    <x v="1"/>
    <x v="1"/>
    <x v="15"/>
    <s v="IP"/>
    <x v="0"/>
    <s v="CARTIERE ARGILA 932"/>
    <s v="beige"/>
    <m/>
    <m/>
    <m/>
    <s v="EU"/>
    <x v="0"/>
    <x v="0"/>
    <m/>
    <m/>
    <m/>
    <x v="0"/>
    <m/>
    <m/>
    <m/>
    <s v="ton"/>
    <x v="0"/>
    <x v="0"/>
    <m/>
    <m/>
    <m/>
    <m/>
    <m/>
    <m/>
    <m/>
    <m/>
    <m/>
    <m/>
    <m/>
    <m/>
    <m/>
    <m/>
    <m/>
    <m/>
    <m/>
    <m/>
    <m/>
    <m/>
    <m/>
    <m/>
    <m/>
    <m/>
    <m/>
    <m/>
    <m/>
    <m/>
    <m/>
    <m/>
    <m/>
    <m/>
    <m/>
    <m/>
    <m/>
    <m/>
    <m/>
    <m/>
    <m/>
    <n v="2500"/>
    <n v="2500"/>
    <n v="2500"/>
    <m/>
    <m/>
    <m/>
    <m/>
    <m/>
    <m/>
    <x v="59"/>
    <x v="8"/>
    <x v="1"/>
    <n v="2.5"/>
    <n v="14.75"/>
    <n v="0.14176320000000001"/>
    <n v="1.9175"/>
    <n v="0"/>
    <n v="9.1999999999999998E-2"/>
    <x v="66"/>
    <x v="242"/>
    <n v="105"/>
    <n v="90"/>
    <x v="0"/>
    <n v="0.12628765800683794"/>
    <x v="205"/>
    <x v="250"/>
  </r>
  <r>
    <n v="7002370"/>
    <x v="9"/>
    <x v="5"/>
    <x v="15"/>
    <s v="DP"/>
    <x v="6"/>
    <s v="MUNKSJO 0301"/>
    <s v="dark beige"/>
    <n v="301"/>
    <m/>
    <m/>
    <s v="EU"/>
    <x v="4"/>
    <x v="0"/>
    <m/>
    <m/>
    <m/>
    <x v="0"/>
    <m/>
    <m/>
    <m/>
    <s v="ton"/>
    <x v="0"/>
    <x v="0"/>
    <m/>
    <m/>
    <m/>
    <m/>
    <m/>
    <m/>
    <m/>
    <m/>
    <m/>
    <m/>
    <m/>
    <m/>
    <m/>
    <m/>
    <m/>
    <m/>
    <m/>
    <m/>
    <m/>
    <m/>
    <m/>
    <m/>
    <m/>
    <m/>
    <m/>
    <m/>
    <m/>
    <m/>
    <m/>
    <m/>
    <m/>
    <m/>
    <m/>
    <m/>
    <m/>
    <m/>
    <n v="2080"/>
    <n v="2080"/>
    <n v="2080"/>
    <n v="2160"/>
    <n v="2240"/>
    <n v="2240"/>
    <m/>
    <m/>
    <m/>
    <m/>
    <m/>
    <m/>
    <x v="54"/>
    <x v="8"/>
    <x v="77"/>
    <n v="2.2400000000000002"/>
    <n v="13.216000000000003"/>
    <n v="0.14176320000000001"/>
    <n v="1.7180800000000005"/>
    <n v="0"/>
    <n v="9.1999999999999998E-2"/>
    <x v="92"/>
    <x v="118"/>
    <n v="105"/>
    <n v="60"/>
    <x v="2"/>
    <n v="0.34255307716626682"/>
    <x v="109"/>
    <x v="135"/>
  </r>
  <r>
    <n v="7000448"/>
    <x v="29"/>
    <x v="0"/>
    <x v="15"/>
    <s v="DP"/>
    <x v="8"/>
    <s v="DEKORPRINT BEIGE 752"/>
    <s v="beige"/>
    <n v="752"/>
    <m/>
    <m/>
    <s v="BR"/>
    <x v="5"/>
    <x v="0"/>
    <m/>
    <n v="3"/>
    <s v="monthly"/>
    <x v="0"/>
    <n v="0.12"/>
    <s v="Sim"/>
    <n v="9.2499999999999999E-2"/>
    <s v="ton"/>
    <x v="0"/>
    <x v="2"/>
    <m/>
    <m/>
    <m/>
    <m/>
    <m/>
    <m/>
    <m/>
    <m/>
    <m/>
    <m/>
    <m/>
    <m/>
    <m/>
    <m/>
    <m/>
    <m/>
    <m/>
    <m/>
    <m/>
    <m/>
    <m/>
    <m/>
    <m/>
    <m/>
    <m/>
    <m/>
    <m/>
    <m/>
    <m/>
    <m/>
    <m/>
    <m/>
    <m/>
    <m/>
    <m/>
    <m/>
    <n v="17118"/>
    <n v="17118"/>
    <n v="17118"/>
    <n v="18111"/>
    <n v="18111"/>
    <n v="18111"/>
    <m/>
    <m/>
    <m/>
    <m/>
    <m/>
    <m/>
    <x v="99"/>
    <x v="8"/>
    <x v="90"/>
    <n v="18.111000000000001"/>
    <n v="18.111000000000001"/>
    <n v="0"/>
    <n v="0"/>
    <n v="0"/>
    <n v="0.2"/>
    <x v="118"/>
    <x v="250"/>
    <n v="45"/>
    <n v="0"/>
    <x v="2"/>
    <n v="0.41353864971332754"/>
    <x v="128"/>
    <x v="258"/>
  </r>
  <r>
    <n v="7000457"/>
    <x v="8"/>
    <x v="5"/>
    <x v="15"/>
    <s v="DP"/>
    <x v="10"/>
    <s v="SUNSHINE 0128 ECO"/>
    <s v="white"/>
    <m/>
    <m/>
    <m/>
    <s v="CN"/>
    <x v="0"/>
    <x v="1"/>
    <m/>
    <m/>
    <m/>
    <x v="0"/>
    <m/>
    <m/>
    <m/>
    <s v="ton"/>
    <x v="1"/>
    <x v="1"/>
    <m/>
    <m/>
    <m/>
    <m/>
    <m/>
    <m/>
    <m/>
    <m/>
    <m/>
    <m/>
    <m/>
    <m/>
    <m/>
    <m/>
    <m/>
    <m/>
    <m/>
    <m/>
    <m/>
    <m/>
    <m/>
    <m/>
    <m/>
    <m/>
    <m/>
    <m/>
    <m/>
    <m/>
    <m/>
    <m/>
    <m/>
    <m/>
    <m/>
    <m/>
    <m/>
    <m/>
    <n v="10950"/>
    <n v="10950"/>
    <n v="10950"/>
    <n v="10950"/>
    <n v="10950"/>
    <n v="10950"/>
    <m/>
    <m/>
    <m/>
    <m/>
    <m/>
    <m/>
    <x v="114"/>
    <x v="8"/>
    <x v="1"/>
    <n v="10.95"/>
    <n v="8.2124999999999986"/>
    <n v="1.11958"/>
    <n v="1.1497499999999998"/>
    <n v="0"/>
    <n v="9.1999999999999998E-2"/>
    <x v="134"/>
    <x v="169"/>
    <n v="120"/>
    <n v="90"/>
    <x v="1"/>
    <n v="0.1586074499999981"/>
    <x v="144"/>
    <x v="173"/>
  </r>
  <r>
    <n v="7002384"/>
    <x v="24"/>
    <x v="5"/>
    <x v="15"/>
    <s v="DP"/>
    <x v="10"/>
    <s v="SUNSHINE 0128K"/>
    <s v="white"/>
    <m/>
    <m/>
    <m/>
    <s v="CN"/>
    <x v="0"/>
    <x v="1"/>
    <m/>
    <m/>
    <m/>
    <x v="0"/>
    <m/>
    <m/>
    <m/>
    <s v="ton"/>
    <x v="1"/>
    <x v="1"/>
    <m/>
    <m/>
    <m/>
    <m/>
    <m/>
    <m/>
    <m/>
    <m/>
    <m/>
    <m/>
    <m/>
    <m/>
    <m/>
    <m/>
    <m/>
    <m/>
    <m/>
    <m/>
    <m/>
    <m/>
    <m/>
    <m/>
    <m/>
    <m/>
    <m/>
    <m/>
    <m/>
    <m/>
    <m/>
    <m/>
    <m/>
    <m/>
    <m/>
    <m/>
    <m/>
    <m/>
    <n v="10950"/>
    <n v="10950"/>
    <n v="10950"/>
    <n v="10950"/>
    <n v="10950"/>
    <n v="10950"/>
    <m/>
    <m/>
    <m/>
    <m/>
    <m/>
    <m/>
    <x v="114"/>
    <x v="8"/>
    <x v="1"/>
    <n v="10.95"/>
    <n v="8.2124999999999986"/>
    <n v="1.11958"/>
    <n v="1.1497499999999998"/>
    <n v="0"/>
    <n v="9.1999999999999998E-2"/>
    <x v="134"/>
    <x v="169"/>
    <n v="120"/>
    <n v="90"/>
    <x v="1"/>
    <n v="0.1586074499999981"/>
    <x v="144"/>
    <x v="173"/>
  </r>
  <r>
    <n v="7000458"/>
    <x v="24"/>
    <x v="5"/>
    <x v="15"/>
    <s v="DP"/>
    <x v="4"/>
    <s v="MALTADECOR 128"/>
    <s v="white"/>
    <s v="M128"/>
    <m/>
    <m/>
    <s v="EU"/>
    <x v="3"/>
    <x v="3"/>
    <m/>
    <m/>
    <m/>
    <x v="0"/>
    <m/>
    <m/>
    <m/>
    <s v="ton"/>
    <x v="13"/>
    <x v="0"/>
    <m/>
    <m/>
    <m/>
    <m/>
    <m/>
    <m/>
    <m/>
    <m/>
    <m/>
    <m/>
    <m/>
    <m/>
    <m/>
    <m/>
    <m/>
    <m/>
    <m/>
    <m/>
    <m/>
    <m/>
    <m/>
    <m/>
    <m/>
    <m/>
    <m/>
    <m/>
    <m/>
    <m/>
    <m/>
    <m/>
    <m/>
    <m/>
    <m/>
    <m/>
    <m/>
    <m/>
    <n v="1990"/>
    <n v="1990"/>
    <n v="1990"/>
    <n v="1960"/>
    <n v="1960"/>
    <n v="1960"/>
    <m/>
    <m/>
    <m/>
    <m/>
    <m/>
    <m/>
    <x v="72"/>
    <x v="8"/>
    <x v="49"/>
    <n v="1.96"/>
    <n v="11.564"/>
    <n v="0.14176320000000001"/>
    <n v="1.50332"/>
    <n v="0"/>
    <n v="9.1999999999999998E-2"/>
    <x v="84"/>
    <x v="109"/>
    <n v="105"/>
    <n v="30"/>
    <x v="4"/>
    <n v="0.50441601677540504"/>
    <x v="86"/>
    <x v="109"/>
  </r>
  <r>
    <n v="2037349"/>
    <x v="10"/>
    <x v="5"/>
    <x v="15"/>
    <s v="DP"/>
    <x v="4"/>
    <s v="MALTADECOR 0248"/>
    <s v="gray"/>
    <s v="U248"/>
    <m/>
    <m/>
    <s v="EU"/>
    <x v="3"/>
    <x v="3"/>
    <m/>
    <m/>
    <m/>
    <x v="0"/>
    <m/>
    <m/>
    <m/>
    <s v="ton"/>
    <x v="13"/>
    <x v="0"/>
    <m/>
    <m/>
    <m/>
    <m/>
    <m/>
    <m/>
    <m/>
    <m/>
    <m/>
    <m/>
    <m/>
    <m/>
    <m/>
    <m/>
    <m/>
    <m/>
    <m/>
    <m/>
    <m/>
    <m/>
    <m/>
    <m/>
    <m/>
    <m/>
    <m/>
    <m/>
    <m/>
    <m/>
    <m/>
    <m/>
    <m/>
    <m/>
    <m/>
    <m/>
    <m/>
    <m/>
    <n v="2480"/>
    <n v="2480"/>
    <n v="2480"/>
    <n v="2450"/>
    <n v="2450"/>
    <n v="2450"/>
    <m/>
    <m/>
    <m/>
    <m/>
    <m/>
    <m/>
    <x v="0"/>
    <x v="8"/>
    <x v="31"/>
    <n v="2.4500000000000002"/>
    <n v="14.455000000000002"/>
    <n v="0.14176320000000001"/>
    <n v="1.8791500000000003"/>
    <n v="0"/>
    <n v="9.1999999999999998E-2"/>
    <x v="0"/>
    <x v="88"/>
    <n v="105"/>
    <n v="30"/>
    <x v="4"/>
    <n v="0.62830377473502708"/>
    <x v="65"/>
    <x v="88"/>
  </r>
  <r>
    <n v="7002372"/>
    <x v="10"/>
    <x v="5"/>
    <x v="15"/>
    <s v="DP"/>
    <x v="1"/>
    <s v="HUAWON HG5098"/>
    <s v="gray"/>
    <s v="HG5098"/>
    <m/>
    <m/>
    <s v="CN"/>
    <x v="0"/>
    <x v="2"/>
    <m/>
    <n v="90"/>
    <m/>
    <x v="0"/>
    <m/>
    <m/>
    <m/>
    <s v="ton"/>
    <x v="1"/>
    <x v="1"/>
    <m/>
    <m/>
    <m/>
    <m/>
    <m/>
    <m/>
    <m/>
    <m/>
    <m/>
    <m/>
    <m/>
    <m/>
    <m/>
    <m/>
    <m/>
    <m/>
    <m/>
    <m/>
    <m/>
    <m/>
    <m/>
    <m/>
    <m/>
    <m/>
    <m/>
    <m/>
    <m/>
    <m/>
    <m/>
    <m/>
    <m/>
    <m/>
    <m/>
    <m/>
    <m/>
    <m/>
    <n v="12300"/>
    <n v="12300"/>
    <n v="12300"/>
    <n v="12300"/>
    <n v="12300"/>
    <n v="12300"/>
    <m/>
    <m/>
    <m/>
    <m/>
    <m/>
    <m/>
    <x v="29"/>
    <x v="8"/>
    <x v="1"/>
    <n v="12.3"/>
    <n v="9.2250000000000014"/>
    <n v="1.11958"/>
    <n v="1.2915000000000003"/>
    <n v="0"/>
    <n v="9.1999999999999998E-2"/>
    <x v="29"/>
    <x v="34"/>
    <n v="120"/>
    <n v="90"/>
    <x v="1"/>
    <n v="0.17592119999999944"/>
    <x v="29"/>
    <x v="34"/>
  </r>
  <r>
    <s v="7004975"/>
    <x v="52"/>
    <x v="4"/>
    <x v="0"/>
    <s v="DP"/>
    <x v="10"/>
    <s v="SUNSHINE 0247"/>
    <s v="gray"/>
    <m/>
    <m/>
    <m/>
    <s v="CN"/>
    <x v="0"/>
    <x v="1"/>
    <m/>
    <m/>
    <m/>
    <x v="0"/>
    <m/>
    <m/>
    <m/>
    <s v="ton"/>
    <x v="1"/>
    <x v="1"/>
    <m/>
    <m/>
    <m/>
    <m/>
    <m/>
    <m/>
    <m/>
    <m/>
    <m/>
    <m/>
    <m/>
    <m/>
    <m/>
    <m/>
    <m/>
    <m/>
    <m/>
    <m/>
    <m/>
    <m/>
    <m/>
    <m/>
    <m/>
    <m/>
    <m/>
    <m/>
    <m/>
    <m/>
    <m/>
    <m/>
    <m/>
    <m/>
    <m/>
    <m/>
    <m/>
    <m/>
    <m/>
    <m/>
    <m/>
    <m/>
    <n v="8500"/>
    <m/>
    <m/>
    <m/>
    <m/>
    <m/>
    <m/>
    <m/>
    <x v="159"/>
    <x v="21"/>
    <x v="1"/>
    <n v="8.5"/>
    <n v="6.375"/>
    <n v="1.11958"/>
    <n v="0.89250000000000007"/>
    <n v="0"/>
    <n v="9.1999999999999998E-2"/>
    <x v="186"/>
    <x v="251"/>
    <n v="120"/>
    <n v="90"/>
    <x v="1"/>
    <n v="0.12718619999999881"/>
    <x v="213"/>
    <x v="259"/>
  </r>
  <r>
    <n v="7000443"/>
    <x v="10"/>
    <x v="5"/>
    <x v="15"/>
    <s v="DP"/>
    <x v="10"/>
    <s v="SUNSHINE 0248"/>
    <s v="gray"/>
    <m/>
    <m/>
    <m/>
    <s v="CN"/>
    <x v="0"/>
    <x v="2"/>
    <m/>
    <m/>
    <m/>
    <x v="0"/>
    <m/>
    <m/>
    <m/>
    <s v="ton"/>
    <x v="1"/>
    <x v="0"/>
    <m/>
    <m/>
    <m/>
    <m/>
    <m/>
    <m/>
    <m/>
    <m/>
    <m/>
    <m/>
    <m/>
    <m/>
    <m/>
    <m/>
    <m/>
    <m/>
    <m/>
    <m/>
    <m/>
    <m/>
    <m/>
    <m/>
    <m/>
    <m/>
    <m/>
    <m/>
    <m/>
    <m/>
    <m/>
    <m/>
    <m/>
    <m/>
    <n v="1800"/>
    <m/>
    <m/>
    <m/>
    <m/>
    <m/>
    <m/>
    <m/>
    <m/>
    <m/>
    <m/>
    <m/>
    <m/>
    <m/>
    <m/>
    <m/>
    <x v="17"/>
    <x v="15"/>
    <x v="0"/>
    <n v="1.8"/>
    <n v="10.620000000000001"/>
    <n v="1.11958"/>
    <n v="1.4868000000000003"/>
    <n v="0"/>
    <n v="9.1999999999999998E-2"/>
    <x v="17"/>
    <x v="18"/>
    <n v="120"/>
    <n v="90"/>
    <x v="1"/>
    <n v="0.19977569999999822"/>
    <x v="17"/>
    <x v="18"/>
  </r>
  <r>
    <n v="7004664"/>
    <x v="10"/>
    <x v="5"/>
    <x v="15"/>
    <s v="DP"/>
    <x v="0"/>
    <s v="CARTIERE 0248"/>
    <s v="gray"/>
    <m/>
    <m/>
    <m/>
    <s v="EU"/>
    <x v="0"/>
    <x v="0"/>
    <m/>
    <m/>
    <m/>
    <x v="0"/>
    <m/>
    <m/>
    <m/>
    <s v="ton"/>
    <x v="7"/>
    <x v="0"/>
    <m/>
    <m/>
    <m/>
    <m/>
    <m/>
    <m/>
    <m/>
    <m/>
    <m/>
    <m/>
    <m/>
    <m/>
    <m/>
    <m/>
    <m/>
    <m/>
    <m/>
    <m/>
    <m/>
    <m/>
    <m/>
    <m/>
    <m/>
    <m/>
    <m/>
    <m/>
    <m/>
    <m/>
    <m/>
    <m/>
    <m/>
    <m/>
    <m/>
    <m/>
    <m/>
    <m/>
    <n v="2240"/>
    <m/>
    <m/>
    <m/>
    <m/>
    <m/>
    <m/>
    <m/>
    <m/>
    <m/>
    <m/>
    <m/>
    <x v="54"/>
    <x v="2"/>
    <x v="1"/>
    <n v="2.2400000000000002"/>
    <n v="13.216000000000003"/>
    <n v="0.14176320000000001"/>
    <n v="1.7180800000000005"/>
    <n v="0"/>
    <n v="9.1999999999999998E-2"/>
    <x v="92"/>
    <x v="118"/>
    <n v="105"/>
    <n v="90"/>
    <x v="0"/>
    <n v="0.11333539819336913"/>
    <x v="214"/>
    <x v="260"/>
  </r>
  <r>
    <n v="7004665"/>
    <x v="10"/>
    <x v="5"/>
    <x v="15"/>
    <s v="DP"/>
    <x v="3"/>
    <s v="KOEHLER 0248"/>
    <s v="gray"/>
    <n v="32153"/>
    <m/>
    <m/>
    <s v="EU"/>
    <x v="2"/>
    <x v="0"/>
    <m/>
    <m/>
    <m/>
    <x v="2"/>
    <m/>
    <m/>
    <m/>
    <s v="ton"/>
    <x v="1"/>
    <x v="0"/>
    <m/>
    <m/>
    <m/>
    <m/>
    <m/>
    <m/>
    <m/>
    <m/>
    <m/>
    <m/>
    <m/>
    <m/>
    <m/>
    <m/>
    <m/>
    <m/>
    <m/>
    <m/>
    <m/>
    <m/>
    <m/>
    <m/>
    <m/>
    <m/>
    <m/>
    <m/>
    <m/>
    <m/>
    <m/>
    <m/>
    <m/>
    <m/>
    <m/>
    <m/>
    <m/>
    <m/>
    <n v="2270"/>
    <n v="2270"/>
    <n v="2270"/>
    <n v="2350"/>
    <n v="2350"/>
    <n v="2350"/>
    <m/>
    <m/>
    <m/>
    <m/>
    <m/>
    <m/>
    <x v="14"/>
    <x v="8"/>
    <x v="27"/>
    <n v="2.35"/>
    <n v="13.865000000000002"/>
    <n v="0.14176320000000001"/>
    <n v="1.8024500000000003"/>
    <n v="-0.17699999999999999"/>
    <n v="9.1999999999999998E-2"/>
    <x v="43"/>
    <x v="75"/>
    <n v="105"/>
    <n v="120"/>
    <x v="3"/>
    <n v="-0.11662123787429124"/>
    <x v="43"/>
    <x v="75"/>
  </r>
  <r>
    <n v="7004665"/>
    <x v="10"/>
    <x v="5"/>
    <x v="15"/>
    <s v="DP"/>
    <x v="3"/>
    <s v="KOEHLER 0248"/>
    <s v="gray"/>
    <n v="32153"/>
    <m/>
    <m/>
    <s v="EU"/>
    <x v="2"/>
    <x v="0"/>
    <m/>
    <m/>
    <m/>
    <x v="2"/>
    <m/>
    <m/>
    <m/>
    <s v="ton"/>
    <x v="11"/>
    <x v="0"/>
    <m/>
    <m/>
    <m/>
    <m/>
    <m/>
    <m/>
    <m/>
    <m/>
    <m/>
    <m/>
    <m/>
    <m/>
    <m/>
    <m/>
    <m/>
    <m/>
    <m/>
    <m/>
    <m/>
    <m/>
    <m/>
    <m/>
    <m/>
    <m/>
    <m/>
    <m/>
    <m/>
    <m/>
    <m/>
    <m/>
    <m/>
    <m/>
    <m/>
    <m/>
    <m/>
    <m/>
    <n v="2290"/>
    <n v="2290"/>
    <n v="2290"/>
    <n v="2370"/>
    <n v="2370"/>
    <n v="2370"/>
    <m/>
    <m/>
    <m/>
    <m/>
    <m/>
    <m/>
    <x v="1"/>
    <x v="8"/>
    <x v="28"/>
    <n v="2.37"/>
    <n v="13.983000000000002"/>
    <n v="0.14176320000000001"/>
    <n v="1.8177900000000005"/>
    <n v="-0.17699999999999999"/>
    <n v="9.1999999999999998E-2"/>
    <x v="61"/>
    <x v="76"/>
    <n v="105"/>
    <n v="120"/>
    <x v="3"/>
    <n v="-0.11761017612260716"/>
    <x v="61"/>
    <x v="76"/>
  </r>
  <r>
    <n v="7004665"/>
    <x v="10"/>
    <x v="5"/>
    <x v="15"/>
    <s v="DP"/>
    <x v="3"/>
    <s v="KOEHLER 0248"/>
    <s v="gray"/>
    <n v="32153"/>
    <m/>
    <m/>
    <s v="EU"/>
    <x v="2"/>
    <x v="0"/>
    <m/>
    <m/>
    <m/>
    <x v="2"/>
    <m/>
    <m/>
    <m/>
    <s v="ton"/>
    <x v="0"/>
    <x v="0"/>
    <m/>
    <m/>
    <m/>
    <m/>
    <m/>
    <m/>
    <m/>
    <m/>
    <m/>
    <m/>
    <m/>
    <m/>
    <m/>
    <m/>
    <m/>
    <m/>
    <m/>
    <m/>
    <m/>
    <m/>
    <m/>
    <m/>
    <m/>
    <m/>
    <m/>
    <m/>
    <m/>
    <m/>
    <m/>
    <m/>
    <m/>
    <m/>
    <m/>
    <m/>
    <m/>
    <m/>
    <n v="2320"/>
    <n v="2320"/>
    <n v="2320"/>
    <n v="2400"/>
    <n v="2400"/>
    <n v="2400"/>
    <m/>
    <m/>
    <m/>
    <m/>
    <m/>
    <m/>
    <x v="56"/>
    <x v="8"/>
    <x v="29"/>
    <n v="2.4"/>
    <n v="14.16"/>
    <n v="0.14176320000000001"/>
    <n v="1.8408"/>
    <n v="-0.17699999999999999"/>
    <n v="9.1999999999999998E-2"/>
    <x v="62"/>
    <x v="77"/>
    <n v="105"/>
    <n v="120"/>
    <x v="3"/>
    <n v="-0.11909358349508103"/>
    <x v="62"/>
    <x v="77"/>
  </r>
  <r>
    <n v="7004665"/>
    <x v="10"/>
    <x v="5"/>
    <x v="15"/>
    <s v="DP"/>
    <x v="3"/>
    <s v="KOEHLER 0248"/>
    <s v="gray"/>
    <n v="32153"/>
    <m/>
    <m/>
    <s v="EU"/>
    <x v="2"/>
    <x v="0"/>
    <m/>
    <m/>
    <m/>
    <x v="2"/>
    <m/>
    <m/>
    <m/>
    <s v="ton"/>
    <x v="12"/>
    <x v="0"/>
    <m/>
    <m/>
    <m/>
    <m/>
    <m/>
    <m/>
    <m/>
    <m/>
    <m/>
    <m/>
    <m/>
    <m/>
    <m/>
    <m/>
    <m/>
    <m/>
    <m/>
    <m/>
    <m/>
    <m/>
    <m/>
    <m/>
    <m/>
    <m/>
    <m/>
    <m/>
    <m/>
    <m/>
    <m/>
    <m/>
    <m/>
    <m/>
    <m/>
    <m/>
    <m/>
    <m/>
    <n v="2370"/>
    <n v="2370"/>
    <n v="2370"/>
    <n v="2450"/>
    <n v="2450"/>
    <n v="2450"/>
    <m/>
    <m/>
    <m/>
    <m/>
    <m/>
    <m/>
    <x v="0"/>
    <x v="8"/>
    <x v="30"/>
    <n v="2.4500000000000002"/>
    <n v="14.455000000000002"/>
    <n v="0.14176320000000001"/>
    <n v="1.8791500000000003"/>
    <n v="-0.17699999999999999"/>
    <n v="9.1999999999999998E-2"/>
    <x v="63"/>
    <x v="78"/>
    <n v="105"/>
    <n v="120"/>
    <x v="3"/>
    <n v="-0.12156592911587083"/>
    <x v="63"/>
    <x v="78"/>
  </r>
  <r>
    <n v="7000450"/>
    <x v="7"/>
    <x v="5"/>
    <x v="15"/>
    <s v="DP"/>
    <x v="4"/>
    <s v="MALTADECOR 244"/>
    <s v="beige"/>
    <s v="U244"/>
    <m/>
    <m/>
    <s v="EU"/>
    <x v="3"/>
    <x v="3"/>
    <m/>
    <m/>
    <m/>
    <x v="0"/>
    <m/>
    <m/>
    <m/>
    <s v="ton"/>
    <x v="13"/>
    <x v="0"/>
    <m/>
    <m/>
    <m/>
    <m/>
    <m/>
    <m/>
    <m/>
    <m/>
    <m/>
    <m/>
    <m/>
    <m/>
    <m/>
    <m/>
    <m/>
    <m/>
    <m/>
    <m/>
    <m/>
    <m/>
    <m/>
    <m/>
    <m/>
    <m/>
    <m/>
    <m/>
    <m/>
    <m/>
    <m/>
    <m/>
    <m/>
    <m/>
    <m/>
    <m/>
    <m/>
    <m/>
    <n v="2020"/>
    <n v="2020"/>
    <n v="2020"/>
    <n v="1990"/>
    <n v="1990"/>
    <n v="1990"/>
    <m/>
    <m/>
    <m/>
    <m/>
    <m/>
    <m/>
    <x v="76"/>
    <x v="8"/>
    <x v="55"/>
    <n v="1.99"/>
    <n v="11.741000000000001"/>
    <n v="0.14176320000000001"/>
    <n v="1.5263300000000002"/>
    <n v="0"/>
    <n v="9.1999999999999998E-2"/>
    <x v="89"/>
    <x v="115"/>
    <n v="105"/>
    <n v="30"/>
    <x v="4"/>
    <n v="0.51200098154844298"/>
    <x v="91"/>
    <x v="115"/>
  </r>
  <r>
    <n v="7002371"/>
    <x v="7"/>
    <x v="5"/>
    <x v="15"/>
    <s v="DP"/>
    <x v="10"/>
    <s v="SUNSHINE 0244"/>
    <s v="gray"/>
    <m/>
    <m/>
    <m/>
    <s v="CN"/>
    <x v="0"/>
    <x v="1"/>
    <m/>
    <m/>
    <m/>
    <x v="0"/>
    <m/>
    <m/>
    <m/>
    <s v="ton"/>
    <x v="1"/>
    <x v="1"/>
    <m/>
    <m/>
    <m/>
    <m/>
    <m/>
    <m/>
    <m/>
    <m/>
    <m/>
    <m/>
    <m/>
    <m/>
    <m/>
    <m/>
    <m/>
    <m/>
    <m/>
    <m/>
    <m/>
    <m/>
    <m/>
    <m/>
    <m/>
    <m/>
    <m/>
    <m/>
    <m/>
    <m/>
    <m/>
    <m/>
    <m/>
    <m/>
    <m/>
    <m/>
    <m/>
    <m/>
    <n v="13000"/>
    <n v="13000"/>
    <n v="13000"/>
    <n v="13000"/>
    <n v="13000"/>
    <n v="13000"/>
    <m/>
    <m/>
    <m/>
    <m/>
    <m/>
    <m/>
    <x v="34"/>
    <x v="8"/>
    <x v="1"/>
    <n v="13"/>
    <n v="9.75"/>
    <n v="1.11958"/>
    <n v="1.3650000000000002"/>
    <n v="0"/>
    <n v="9.1999999999999998E-2"/>
    <x v="35"/>
    <x v="181"/>
    <n v="120"/>
    <n v="90"/>
    <x v="1"/>
    <n v="0.18489869999999797"/>
    <x v="35"/>
    <x v="185"/>
  </r>
  <r>
    <n v="7004320"/>
    <x v="47"/>
    <x v="4"/>
    <x v="15"/>
    <s v="DP"/>
    <x v="11"/>
    <s v="TECHNOCELL 4478"/>
    <s v="gray"/>
    <n v="4478"/>
    <m/>
    <m/>
    <s v="EU"/>
    <x v="2"/>
    <x v="4"/>
    <m/>
    <m/>
    <m/>
    <x v="0"/>
    <m/>
    <m/>
    <m/>
    <s v="ton"/>
    <x v="1"/>
    <x v="0"/>
    <m/>
    <m/>
    <m/>
    <m/>
    <m/>
    <m/>
    <m/>
    <m/>
    <m/>
    <m/>
    <m/>
    <m/>
    <m/>
    <m/>
    <m/>
    <m/>
    <m/>
    <m/>
    <m/>
    <m/>
    <m/>
    <m/>
    <m/>
    <m/>
    <m/>
    <m/>
    <m/>
    <m/>
    <m/>
    <m/>
    <m/>
    <m/>
    <m/>
    <m/>
    <m/>
    <m/>
    <n v="2250"/>
    <n v="2250"/>
    <n v="2250"/>
    <n v="2350"/>
    <n v="2350"/>
    <n v="2350"/>
    <m/>
    <m/>
    <m/>
    <m/>
    <m/>
    <m/>
    <x v="14"/>
    <x v="8"/>
    <x v="151"/>
    <n v="2.35"/>
    <n v="13.865000000000002"/>
    <n v="0.14176320000000001"/>
    <n v="1.8024500000000003"/>
    <n v="0"/>
    <n v="9.1999999999999998E-2"/>
    <x v="14"/>
    <x v="15"/>
    <n v="105"/>
    <n v="120"/>
    <x v="3"/>
    <n v="-0.11793398776143604"/>
    <x v="215"/>
    <x v="261"/>
  </r>
  <r>
    <n v="7004320"/>
    <x v="47"/>
    <x v="4"/>
    <x v="15"/>
    <s v="DP"/>
    <x v="11"/>
    <s v="TECHNOCELL 4478"/>
    <s v="gray"/>
    <n v="4478"/>
    <m/>
    <m/>
    <s v="EU"/>
    <x v="2"/>
    <x v="4"/>
    <m/>
    <m/>
    <m/>
    <x v="0"/>
    <m/>
    <m/>
    <m/>
    <s v="ton"/>
    <x v="0"/>
    <x v="0"/>
    <m/>
    <m/>
    <m/>
    <m/>
    <m/>
    <m/>
    <m/>
    <m/>
    <m/>
    <m/>
    <m/>
    <m/>
    <m/>
    <m/>
    <m/>
    <m/>
    <m/>
    <m/>
    <m/>
    <m/>
    <m/>
    <m/>
    <m/>
    <m/>
    <m/>
    <m/>
    <m/>
    <m/>
    <m/>
    <m/>
    <m/>
    <m/>
    <m/>
    <m/>
    <m/>
    <m/>
    <n v="2270"/>
    <n v="2270"/>
    <n v="2270"/>
    <n v="2370"/>
    <n v="2370"/>
    <n v="2370"/>
    <m/>
    <m/>
    <m/>
    <m/>
    <m/>
    <m/>
    <x v="1"/>
    <x v="8"/>
    <x v="144"/>
    <n v="2.37"/>
    <n v="13.983000000000002"/>
    <n v="0.14176320000000001"/>
    <n v="1.8177900000000005"/>
    <n v="0"/>
    <n v="9.1999999999999998E-2"/>
    <x v="1"/>
    <x v="199"/>
    <n v="105"/>
    <n v="120"/>
    <x v="3"/>
    <n v="-0.11892292600975196"/>
    <x v="168"/>
    <x v="204"/>
  </r>
  <r>
    <n v="7004320"/>
    <x v="47"/>
    <x v="4"/>
    <x v="15"/>
    <s v="DP"/>
    <x v="11"/>
    <s v="TECHNOCELL 4478"/>
    <s v="gray"/>
    <n v="4478"/>
    <m/>
    <m/>
    <s v="EU"/>
    <x v="2"/>
    <x v="4"/>
    <m/>
    <m/>
    <m/>
    <x v="0"/>
    <m/>
    <m/>
    <m/>
    <s v="ton"/>
    <x v="12"/>
    <x v="0"/>
    <m/>
    <m/>
    <m/>
    <m/>
    <m/>
    <m/>
    <m/>
    <m/>
    <m/>
    <m/>
    <m/>
    <m/>
    <m/>
    <m/>
    <m/>
    <m/>
    <m/>
    <m/>
    <m/>
    <m/>
    <m/>
    <m/>
    <m/>
    <m/>
    <m/>
    <m/>
    <m/>
    <m/>
    <m/>
    <m/>
    <m/>
    <m/>
    <m/>
    <m/>
    <m/>
    <m/>
    <n v="2320"/>
    <n v="2320"/>
    <n v="2320"/>
    <n v="2420"/>
    <n v="2420"/>
    <n v="2420"/>
    <m/>
    <m/>
    <m/>
    <m/>
    <m/>
    <m/>
    <x v="135"/>
    <x v="8"/>
    <x v="145"/>
    <n v="2.42"/>
    <n v="14.278"/>
    <n v="0.14176320000000001"/>
    <n v="1.8561400000000001"/>
    <n v="0"/>
    <n v="9.1999999999999998E-2"/>
    <x v="156"/>
    <x v="200"/>
    <n v="105"/>
    <n v="120"/>
    <x v="3"/>
    <n v="-0.12139527163054353"/>
    <x v="169"/>
    <x v="205"/>
  </r>
  <r>
    <n v="7004320"/>
    <x v="47"/>
    <x v="4"/>
    <x v="15"/>
    <s v="DP"/>
    <x v="11"/>
    <s v="TECHNOCELL 4478"/>
    <s v="gray"/>
    <n v="4478"/>
    <m/>
    <m/>
    <s v="EU"/>
    <x v="2"/>
    <x v="4"/>
    <m/>
    <m/>
    <m/>
    <x v="0"/>
    <m/>
    <m/>
    <m/>
    <s v="ton"/>
    <x v="14"/>
    <x v="0"/>
    <m/>
    <m/>
    <m/>
    <m/>
    <m/>
    <m/>
    <m/>
    <m/>
    <m/>
    <m/>
    <m/>
    <m/>
    <m/>
    <m/>
    <m/>
    <m/>
    <m/>
    <m/>
    <m/>
    <m/>
    <m/>
    <m/>
    <m/>
    <m/>
    <m/>
    <m/>
    <m/>
    <m/>
    <m/>
    <m/>
    <m/>
    <m/>
    <m/>
    <m/>
    <m/>
    <m/>
    <n v="2370"/>
    <n v="2370"/>
    <n v="2370"/>
    <n v="2470"/>
    <n v="2470"/>
    <n v="2470"/>
    <m/>
    <m/>
    <m/>
    <m/>
    <m/>
    <m/>
    <x v="58"/>
    <x v="8"/>
    <x v="152"/>
    <n v="2.4700000000000002"/>
    <n v="14.573000000000002"/>
    <n v="0.14176320000000001"/>
    <n v="1.8944900000000005"/>
    <n v="0"/>
    <n v="9.1999999999999998E-2"/>
    <x v="65"/>
    <x v="252"/>
    <n v="105"/>
    <n v="120"/>
    <x v="3"/>
    <n v="-0.12386761725133155"/>
    <x v="175"/>
    <x v="262"/>
  </r>
  <r>
    <n v="7004320"/>
    <x v="47"/>
    <x v="4"/>
    <x v="15"/>
    <s v="DP"/>
    <x v="11"/>
    <s v="TECHNOCELL 4478"/>
    <s v="gray"/>
    <n v="4478"/>
    <m/>
    <m/>
    <s v="EU"/>
    <x v="2"/>
    <x v="4"/>
    <m/>
    <m/>
    <m/>
    <x v="0"/>
    <m/>
    <m/>
    <m/>
    <s v="ton"/>
    <x v="15"/>
    <x v="0"/>
    <m/>
    <m/>
    <m/>
    <m/>
    <m/>
    <m/>
    <m/>
    <m/>
    <m/>
    <m/>
    <m/>
    <m/>
    <m/>
    <m/>
    <m/>
    <m/>
    <m/>
    <m/>
    <m/>
    <m/>
    <m/>
    <m/>
    <m/>
    <m/>
    <m/>
    <m/>
    <m/>
    <m/>
    <m/>
    <m/>
    <m/>
    <m/>
    <m/>
    <m/>
    <m/>
    <m/>
    <n v="2450"/>
    <n v="2450"/>
    <n v="2450"/>
    <n v="2550"/>
    <n v="2550"/>
    <n v="2550"/>
    <m/>
    <m/>
    <m/>
    <m/>
    <m/>
    <m/>
    <x v="4"/>
    <x v="8"/>
    <x v="153"/>
    <n v="2.5499999999999998"/>
    <n v="15.045"/>
    <n v="0.14176320000000001"/>
    <n v="1.9558500000000001"/>
    <n v="0"/>
    <n v="9.1999999999999998E-2"/>
    <x v="4"/>
    <x v="253"/>
    <n v="105"/>
    <n v="120"/>
    <x v="3"/>
    <n v="-0.12782337024459878"/>
    <x v="190"/>
    <x v="263"/>
  </r>
  <r>
    <n v="7000440"/>
    <x v="18"/>
    <x v="0"/>
    <x v="15"/>
    <s v="DP"/>
    <x v="8"/>
    <s v="DEKORPRINT BEIGE 756"/>
    <s v="beige"/>
    <n v="756"/>
    <m/>
    <s v="yes"/>
    <s v="BR"/>
    <x v="5"/>
    <x v="0"/>
    <m/>
    <n v="3"/>
    <s v="monthly"/>
    <x v="0"/>
    <n v="0.12"/>
    <s v="Sim"/>
    <n v="9.2499999999999999E-2"/>
    <s v="ton"/>
    <x v="0"/>
    <x v="2"/>
    <m/>
    <m/>
    <m/>
    <m/>
    <m/>
    <m/>
    <m/>
    <m/>
    <m/>
    <m/>
    <m/>
    <m/>
    <m/>
    <m/>
    <m/>
    <m/>
    <m/>
    <m/>
    <m/>
    <m/>
    <m/>
    <m/>
    <m/>
    <m/>
    <m/>
    <m/>
    <m/>
    <m/>
    <m/>
    <m/>
    <m/>
    <m/>
    <m/>
    <m/>
    <m/>
    <m/>
    <n v="18131"/>
    <n v="18131"/>
    <n v="18131"/>
    <n v="19183"/>
    <n v="19183"/>
    <n v="19183"/>
    <m/>
    <m/>
    <m/>
    <m/>
    <m/>
    <m/>
    <x v="97"/>
    <x v="8"/>
    <x v="88"/>
    <n v="19.183"/>
    <n v="19.183"/>
    <n v="0"/>
    <n v="0"/>
    <n v="0"/>
    <n v="0.2"/>
    <x v="116"/>
    <x v="148"/>
    <n v="45"/>
    <n v="0"/>
    <x v="2"/>
    <n v="0.43774887485082559"/>
    <x v="126"/>
    <x v="152"/>
  </r>
  <r>
    <n v="7000461"/>
    <x v="11"/>
    <x v="4"/>
    <x v="15"/>
    <s v="DP"/>
    <x v="4"/>
    <s v="MALTADECOR M104"/>
    <s v="white"/>
    <s v="M104"/>
    <m/>
    <m/>
    <s v="EU"/>
    <x v="3"/>
    <x v="3"/>
    <m/>
    <m/>
    <m/>
    <x v="0"/>
    <m/>
    <m/>
    <m/>
    <s v="ton"/>
    <x v="13"/>
    <x v="0"/>
    <m/>
    <m/>
    <m/>
    <m/>
    <m/>
    <m/>
    <m/>
    <m/>
    <m/>
    <m/>
    <m/>
    <m/>
    <m/>
    <m/>
    <m/>
    <m/>
    <m/>
    <m/>
    <m/>
    <m/>
    <m/>
    <m/>
    <m/>
    <m/>
    <m/>
    <m/>
    <m/>
    <m/>
    <m/>
    <m/>
    <m/>
    <m/>
    <m/>
    <m/>
    <m/>
    <m/>
    <n v="2130"/>
    <n v="2130"/>
    <n v="2130"/>
    <n v="2690"/>
    <n v="2690"/>
    <n v="2690"/>
    <m/>
    <m/>
    <m/>
    <m/>
    <m/>
    <m/>
    <x v="64"/>
    <x v="8"/>
    <x v="40"/>
    <n v="2.69"/>
    <n v="15.871"/>
    <n v="0.14176320000000001"/>
    <n v="2.0632300000000003"/>
    <n v="0"/>
    <n v="9.1999999999999998E-2"/>
    <x v="74"/>
    <x v="98"/>
    <n v="105"/>
    <n v="30"/>
    <x v="4"/>
    <n v="0.68898349291933059"/>
    <x v="75"/>
    <x v="98"/>
  </r>
  <r>
    <n v="7000466"/>
    <x v="16"/>
    <x v="4"/>
    <x v="10"/>
    <s v="FF"/>
    <x v="7"/>
    <s v="MUNKSJO 9370-070 White PO"/>
    <s v="white"/>
    <s v="9370-070"/>
    <m/>
    <m/>
    <s v="EU"/>
    <x v="4"/>
    <x v="0"/>
    <m/>
    <m/>
    <m/>
    <x v="0"/>
    <m/>
    <m/>
    <m/>
    <s v="ton"/>
    <x v="17"/>
    <x v="0"/>
    <m/>
    <m/>
    <m/>
    <m/>
    <m/>
    <m/>
    <m/>
    <m/>
    <m/>
    <m/>
    <m/>
    <m/>
    <m/>
    <m/>
    <m/>
    <m/>
    <m/>
    <m/>
    <m/>
    <m/>
    <m/>
    <m/>
    <m/>
    <m/>
    <m/>
    <m/>
    <m/>
    <m/>
    <m/>
    <m/>
    <m/>
    <m/>
    <m/>
    <m/>
    <m/>
    <m/>
    <n v="2660"/>
    <m/>
    <m/>
    <n v="2680"/>
    <n v="2780"/>
    <n v="2780"/>
    <m/>
    <m/>
    <m/>
    <m/>
    <m/>
    <m/>
    <x v="86"/>
    <x v="8"/>
    <x v="80"/>
    <n v="2.78"/>
    <n v="16.402000000000001"/>
    <n v="0.14176320000000001"/>
    <n v="2.13226"/>
    <n v="0"/>
    <n v="9.1999999999999998E-2"/>
    <x v="105"/>
    <x v="136"/>
    <n v="105"/>
    <n v="60"/>
    <x v="2"/>
    <n v="0.42386013718073556"/>
    <x v="112"/>
    <x v="138"/>
  </r>
  <r>
    <n v="7000466"/>
    <x v="16"/>
    <x v="4"/>
    <x v="10"/>
    <s v="FF"/>
    <x v="7"/>
    <s v="MUNKSJO 9370-070 White PO"/>
    <s v="white"/>
    <s v="9370-070"/>
    <m/>
    <m/>
    <s v="EU"/>
    <x v="4"/>
    <x v="0"/>
    <m/>
    <m/>
    <m/>
    <x v="0"/>
    <m/>
    <m/>
    <m/>
    <s v="ton"/>
    <x v="18"/>
    <x v="0"/>
    <m/>
    <m/>
    <m/>
    <m/>
    <m/>
    <m/>
    <m/>
    <m/>
    <m/>
    <m/>
    <m/>
    <m/>
    <m/>
    <m/>
    <m/>
    <m/>
    <m/>
    <m/>
    <m/>
    <m/>
    <m/>
    <m/>
    <m/>
    <m/>
    <m/>
    <m/>
    <m/>
    <m/>
    <m/>
    <m/>
    <m/>
    <m/>
    <m/>
    <m/>
    <m/>
    <m/>
    <m/>
    <m/>
    <m/>
    <n v="2630"/>
    <n v="2730"/>
    <n v="2730"/>
    <m/>
    <m/>
    <m/>
    <m/>
    <m/>
    <m/>
    <x v="87"/>
    <x v="8"/>
    <x v="154"/>
    <n v="2.73"/>
    <n v="16.106999999999999"/>
    <n v="0.14176320000000001"/>
    <n v="2.0939100000000002"/>
    <n v="0"/>
    <n v="9.1999999999999998E-2"/>
    <x v="106"/>
    <x v="137"/>
    <n v="105"/>
    <n v="60"/>
    <x v="2"/>
    <n v="0.41633170569791389"/>
    <x v="113"/>
    <x v="139"/>
  </r>
  <r>
    <n v="7000469"/>
    <x v="16"/>
    <x v="4"/>
    <x v="10"/>
    <s v="FF"/>
    <x v="7"/>
    <s v="MUNKSJO 9370-070 NEW White PO"/>
    <s v="white"/>
    <s v="9370-070"/>
    <m/>
    <m/>
    <s v="EU"/>
    <x v="4"/>
    <x v="0"/>
    <m/>
    <m/>
    <m/>
    <x v="0"/>
    <m/>
    <m/>
    <m/>
    <s v="ton"/>
    <x v="17"/>
    <x v="0"/>
    <m/>
    <m/>
    <m/>
    <m/>
    <m/>
    <m/>
    <m/>
    <m/>
    <m/>
    <m/>
    <m/>
    <m/>
    <m/>
    <m/>
    <m/>
    <m/>
    <m/>
    <m/>
    <m/>
    <m/>
    <m/>
    <m/>
    <m/>
    <m/>
    <m/>
    <m/>
    <m/>
    <m/>
    <m/>
    <m/>
    <m/>
    <m/>
    <m/>
    <m/>
    <m/>
    <m/>
    <n v="2660"/>
    <m/>
    <m/>
    <n v="2680"/>
    <n v="2780"/>
    <n v="2780"/>
    <m/>
    <m/>
    <m/>
    <m/>
    <m/>
    <m/>
    <x v="86"/>
    <x v="8"/>
    <x v="80"/>
    <n v="2.78"/>
    <n v="16.402000000000001"/>
    <n v="0.14176320000000001"/>
    <n v="2.13226"/>
    <n v="0"/>
    <n v="9.1999999999999998E-2"/>
    <x v="105"/>
    <x v="136"/>
    <n v="105"/>
    <n v="60"/>
    <x v="2"/>
    <n v="0.42386013718073556"/>
    <x v="112"/>
    <x v="138"/>
  </r>
  <r>
    <n v="7004757"/>
    <x v="16"/>
    <x v="5"/>
    <x v="10"/>
    <s v="FF"/>
    <x v="2"/>
    <s v="KINGDECOR KD7002V"/>
    <s v="white"/>
    <s v="KD7002V"/>
    <m/>
    <m/>
    <s v="CN"/>
    <x v="0"/>
    <x v="1"/>
    <m/>
    <m/>
    <m/>
    <x v="0"/>
    <m/>
    <m/>
    <m/>
    <s v="ton"/>
    <x v="1"/>
    <x v="1"/>
    <m/>
    <m/>
    <m/>
    <m/>
    <m/>
    <m/>
    <m/>
    <m/>
    <m/>
    <m/>
    <m/>
    <m/>
    <m/>
    <m/>
    <m/>
    <m/>
    <m/>
    <m/>
    <m/>
    <m/>
    <m/>
    <m/>
    <m/>
    <m/>
    <m/>
    <m/>
    <m/>
    <m/>
    <m/>
    <m/>
    <m/>
    <m/>
    <m/>
    <m/>
    <m/>
    <m/>
    <n v="19500"/>
    <n v="19500"/>
    <n v="19500"/>
    <n v="19500"/>
    <n v="19500"/>
    <n v="19500"/>
    <m/>
    <m/>
    <m/>
    <m/>
    <m/>
    <m/>
    <x v="32"/>
    <x v="8"/>
    <x v="1"/>
    <n v="19.5"/>
    <n v="14.625"/>
    <n v="1.11958"/>
    <n v="2.0475000000000003"/>
    <n v="0"/>
    <n v="9.1999999999999998E-2"/>
    <x v="32"/>
    <x v="39"/>
    <n v="120"/>
    <n v="90"/>
    <x v="1"/>
    <n v="0.26826119999999776"/>
    <x v="32"/>
    <x v="39"/>
  </r>
  <r>
    <n v="7002362"/>
    <x v="16"/>
    <x v="4"/>
    <x v="10"/>
    <s v="FF"/>
    <x v="2"/>
    <s v="KINGDECOR KD7002V"/>
    <s v="white"/>
    <s v="KD7002V"/>
    <m/>
    <m/>
    <s v="CN"/>
    <x v="0"/>
    <x v="1"/>
    <m/>
    <m/>
    <m/>
    <x v="0"/>
    <m/>
    <m/>
    <m/>
    <s v="ton"/>
    <x v="1"/>
    <x v="1"/>
    <m/>
    <m/>
    <m/>
    <m/>
    <m/>
    <m/>
    <m/>
    <m/>
    <m/>
    <m/>
    <m/>
    <m/>
    <m/>
    <m/>
    <m/>
    <m/>
    <m/>
    <m/>
    <m/>
    <m/>
    <m/>
    <m/>
    <m/>
    <m/>
    <m/>
    <m/>
    <m/>
    <m/>
    <m/>
    <m/>
    <m/>
    <m/>
    <m/>
    <m/>
    <m/>
    <m/>
    <n v="19500"/>
    <n v="19500"/>
    <n v="19500"/>
    <n v="19500"/>
    <n v="19500"/>
    <n v="19500"/>
    <m/>
    <m/>
    <m/>
    <m/>
    <m/>
    <m/>
    <x v="32"/>
    <x v="8"/>
    <x v="1"/>
    <n v="19.5"/>
    <n v="14.625"/>
    <n v="1.11958"/>
    <n v="2.0475000000000003"/>
    <n v="0"/>
    <n v="9.1999999999999998E-2"/>
    <x v="32"/>
    <x v="40"/>
    <n v="120"/>
    <n v="90"/>
    <x v="1"/>
    <n v="0.26826119999999776"/>
    <x v="32"/>
    <x v="40"/>
  </r>
  <r>
    <n v="7000470"/>
    <x v="53"/>
    <x v="6"/>
    <x v="15"/>
    <s v="FF"/>
    <x v="15"/>
    <s v="FF BRANCO HO"/>
    <s v="white"/>
    <m/>
    <m/>
    <m/>
    <s v="BR"/>
    <x v="5"/>
    <x v="0"/>
    <m/>
    <n v="0"/>
    <m/>
    <x v="0"/>
    <n v="0.12"/>
    <s v="Não"/>
    <n v="9.2499999999999999E-2"/>
    <s v="ton"/>
    <x v="7"/>
    <x v="2"/>
    <m/>
    <m/>
    <m/>
    <m/>
    <m/>
    <m/>
    <m/>
    <m/>
    <m/>
    <m/>
    <m/>
    <m/>
    <m/>
    <m/>
    <m/>
    <m/>
    <m/>
    <m/>
    <m/>
    <m/>
    <m/>
    <m/>
    <m/>
    <m/>
    <m/>
    <m/>
    <m/>
    <m/>
    <m/>
    <m/>
    <m/>
    <m/>
    <m/>
    <m/>
    <m/>
    <m/>
    <n v="17981.11"/>
    <n v="18610.439999999999"/>
    <n v="19239.78"/>
    <n v="19239.78"/>
    <n v="19239.78"/>
    <n v="19239.78"/>
    <m/>
    <m/>
    <m/>
    <m/>
    <m/>
    <m/>
    <x v="152"/>
    <x v="8"/>
    <x v="155"/>
    <n v="19.23978"/>
    <n v="19.23978"/>
    <n v="0"/>
    <n v="0"/>
    <n v="0"/>
    <n v="0.2"/>
    <x v="177"/>
    <x v="236"/>
    <n v="45"/>
    <n v="0"/>
    <x v="2"/>
    <n v="0.43903120375316362"/>
    <x v="199"/>
    <x v="244"/>
  </r>
  <r>
    <n v="7000471"/>
    <x v="54"/>
    <x v="6"/>
    <x v="15"/>
    <s v="FF"/>
    <x v="15"/>
    <s v="FF BRANCO"/>
    <s v="white"/>
    <m/>
    <m/>
    <m/>
    <s v="BR"/>
    <x v="5"/>
    <x v="0"/>
    <m/>
    <n v="0"/>
    <m/>
    <x v="0"/>
    <n v="0.12"/>
    <s v="Não"/>
    <n v="9.2499999999999999E-2"/>
    <s v="ton"/>
    <x v="7"/>
    <x v="2"/>
    <m/>
    <m/>
    <m/>
    <m/>
    <m/>
    <m/>
    <m/>
    <m/>
    <m/>
    <m/>
    <m/>
    <m/>
    <m/>
    <m/>
    <m/>
    <m/>
    <m/>
    <m/>
    <m/>
    <m/>
    <m/>
    <m/>
    <m/>
    <m/>
    <m/>
    <m/>
    <m/>
    <m/>
    <m/>
    <m/>
    <m/>
    <m/>
    <m/>
    <m/>
    <m/>
    <m/>
    <n v="13274.03"/>
    <n v="13738.61"/>
    <n v="14203.2"/>
    <n v="14203.2"/>
    <n v="14203.2"/>
    <n v="14203.2"/>
    <m/>
    <m/>
    <m/>
    <m/>
    <m/>
    <m/>
    <x v="149"/>
    <x v="8"/>
    <x v="156"/>
    <n v="14.203200000000001"/>
    <n v="14.203200000000001"/>
    <n v="0"/>
    <n v="0"/>
    <n v="0"/>
    <n v="0.2"/>
    <x v="174"/>
    <x v="233"/>
    <n v="45"/>
    <n v="0"/>
    <x v="2"/>
    <n v="0.32528424878766948"/>
    <x v="196"/>
    <x v="241"/>
  </r>
  <r>
    <n v="7000473"/>
    <x v="55"/>
    <x v="6"/>
    <x v="15"/>
    <s v="FF"/>
    <x v="15"/>
    <s v="FF PARDO"/>
    <s v="light brown"/>
    <m/>
    <m/>
    <m/>
    <s v="BR"/>
    <x v="5"/>
    <x v="0"/>
    <m/>
    <n v="0"/>
    <m/>
    <x v="0"/>
    <n v="0.12"/>
    <s v="Não"/>
    <n v="9.2499999999999999E-2"/>
    <s v="ton"/>
    <x v="7"/>
    <x v="2"/>
    <m/>
    <m/>
    <m/>
    <m/>
    <m/>
    <m/>
    <m/>
    <m/>
    <m/>
    <m/>
    <m/>
    <m/>
    <m/>
    <m/>
    <m/>
    <m/>
    <m/>
    <m/>
    <m/>
    <m/>
    <m/>
    <m/>
    <m/>
    <m/>
    <m/>
    <m/>
    <m/>
    <m/>
    <m/>
    <m/>
    <m/>
    <m/>
    <m/>
    <m/>
    <m/>
    <m/>
    <n v="11575.55"/>
    <n v="11980.69"/>
    <n v="12385.83"/>
    <n v="12385.83"/>
    <n v="12385.83"/>
    <n v="12385.83"/>
    <m/>
    <m/>
    <m/>
    <m/>
    <m/>
    <m/>
    <x v="150"/>
    <x v="8"/>
    <x v="157"/>
    <n v="12.38583"/>
    <n v="12.38583"/>
    <n v="0"/>
    <n v="0"/>
    <n v="0"/>
    <n v="0.2"/>
    <x v="175"/>
    <x v="234"/>
    <n v="45"/>
    <n v="0"/>
    <x v="2"/>
    <n v="0.28424046440508555"/>
    <x v="197"/>
    <x v="242"/>
  </r>
  <r>
    <n v="7000476"/>
    <x v="56"/>
    <x v="6"/>
    <x v="15"/>
    <s v="FF"/>
    <x v="15"/>
    <s v="FF PRETO"/>
    <s v="black"/>
    <m/>
    <m/>
    <m/>
    <s v="BR"/>
    <x v="5"/>
    <x v="0"/>
    <m/>
    <n v="0"/>
    <m/>
    <x v="0"/>
    <n v="0.12"/>
    <s v="Não"/>
    <n v="9.2499999999999999E-2"/>
    <s v="ton"/>
    <x v="7"/>
    <x v="2"/>
    <m/>
    <m/>
    <m/>
    <m/>
    <m/>
    <m/>
    <m/>
    <m/>
    <m/>
    <m/>
    <m/>
    <m/>
    <m/>
    <m/>
    <m/>
    <m/>
    <m/>
    <m/>
    <m/>
    <m/>
    <m/>
    <m/>
    <m/>
    <m/>
    <m/>
    <m/>
    <m/>
    <m/>
    <m/>
    <m/>
    <m/>
    <m/>
    <m/>
    <m/>
    <m/>
    <m/>
    <n v="15722.81"/>
    <n v="16273.1"/>
    <n v="16823.400000000001"/>
    <n v="16823.400000000001"/>
    <n v="16823.400000000001"/>
    <n v="16823.400000000001"/>
    <m/>
    <m/>
    <m/>
    <m/>
    <m/>
    <m/>
    <x v="153"/>
    <x v="8"/>
    <x v="158"/>
    <n v="16.823400000000003"/>
    <n v="16.823400000000003"/>
    <n v="0"/>
    <n v="0"/>
    <n v="0"/>
    <n v="0.2"/>
    <x v="178"/>
    <x v="254"/>
    <n v="45"/>
    <n v="0"/>
    <x v="2"/>
    <n v="0.38445927855004669"/>
    <x v="200"/>
    <x v="264"/>
  </r>
  <r>
    <s v="7004817"/>
    <x v="57"/>
    <x v="3"/>
    <x v="15"/>
    <s v="DP"/>
    <x v="4"/>
    <s v="MALTADECOR 204"/>
    <s v="beige"/>
    <s v="U204"/>
    <m/>
    <m/>
    <s v="EU"/>
    <x v="3"/>
    <x v="3"/>
    <m/>
    <m/>
    <m/>
    <x v="0"/>
    <m/>
    <m/>
    <m/>
    <s v="ton"/>
    <x v="13"/>
    <x v="0"/>
    <m/>
    <m/>
    <m/>
    <m/>
    <m/>
    <m/>
    <m/>
    <m/>
    <m/>
    <m/>
    <m/>
    <m/>
    <m/>
    <m/>
    <m/>
    <m/>
    <m/>
    <m/>
    <m/>
    <m/>
    <m/>
    <m/>
    <m/>
    <m/>
    <m/>
    <m/>
    <m/>
    <m/>
    <m/>
    <m/>
    <m/>
    <m/>
    <m/>
    <m/>
    <m/>
    <m/>
    <n v="2570"/>
    <n v="2570"/>
    <n v="2570"/>
    <n v="2540"/>
    <n v="2540"/>
    <n v="2540"/>
    <m/>
    <m/>
    <m/>
    <m/>
    <m/>
    <m/>
    <x v="160"/>
    <x v="8"/>
    <x v="159"/>
    <n v="2.54"/>
    <n v="14.986000000000001"/>
    <n v="0.14176320000000001"/>
    <n v="1.9481800000000002"/>
    <n v="0"/>
    <n v="9.1999999999999998E-2"/>
    <x v="187"/>
    <x v="255"/>
    <n v="105"/>
    <n v="30"/>
    <x v="4"/>
    <n v="0.65105866905414089"/>
    <x v="216"/>
    <x v="265"/>
  </r>
  <r>
    <n v="7004758"/>
    <x v="11"/>
    <x v="4"/>
    <x v="15"/>
    <s v="DP"/>
    <x v="1"/>
    <s v="HUAWON HW1813"/>
    <s v="white"/>
    <s v="HW1813"/>
    <m/>
    <m/>
    <s v="CN"/>
    <x v="0"/>
    <x v="2"/>
    <m/>
    <n v="90"/>
    <m/>
    <x v="0"/>
    <m/>
    <m/>
    <m/>
    <s v="ton"/>
    <x v="1"/>
    <x v="1"/>
    <m/>
    <m/>
    <m/>
    <m/>
    <m/>
    <m/>
    <m/>
    <m/>
    <m/>
    <m/>
    <m/>
    <m/>
    <m/>
    <m/>
    <m/>
    <m/>
    <m/>
    <m/>
    <m/>
    <m/>
    <m/>
    <m/>
    <m/>
    <m/>
    <m/>
    <m/>
    <m/>
    <m/>
    <m/>
    <m/>
    <m/>
    <m/>
    <m/>
    <m/>
    <m/>
    <m/>
    <n v="11700"/>
    <n v="11700"/>
    <n v="11700"/>
    <n v="11700"/>
    <n v="11700"/>
    <n v="11700"/>
    <m/>
    <m/>
    <m/>
    <m/>
    <m/>
    <m/>
    <x v="24"/>
    <x v="8"/>
    <x v="1"/>
    <n v="11.7"/>
    <n v="8.7749999999999986"/>
    <n v="1.11958"/>
    <n v="1.2284999999999999"/>
    <n v="0"/>
    <n v="9.1999999999999998E-2"/>
    <x v="24"/>
    <x v="26"/>
    <n v="120"/>
    <n v="90"/>
    <x v="1"/>
    <n v="0.16822619999999944"/>
    <x v="24"/>
    <x v="26"/>
  </r>
  <r>
    <n v="7004848"/>
    <x v="11"/>
    <x v="4"/>
    <x v="15"/>
    <s v="DP"/>
    <x v="2"/>
    <s v="KINGDECOR XH0021D"/>
    <s v="white"/>
    <s v="XH0021D"/>
    <m/>
    <m/>
    <s v="CN"/>
    <x v="0"/>
    <x v="1"/>
    <m/>
    <m/>
    <m/>
    <x v="0"/>
    <m/>
    <m/>
    <m/>
    <s v="ton"/>
    <x v="7"/>
    <x v="1"/>
    <m/>
    <m/>
    <m/>
    <m/>
    <m/>
    <m/>
    <m/>
    <m/>
    <m/>
    <m/>
    <m/>
    <m/>
    <m/>
    <m/>
    <m/>
    <m/>
    <m/>
    <m/>
    <m/>
    <m/>
    <m/>
    <m/>
    <m/>
    <m/>
    <m/>
    <m/>
    <m/>
    <m/>
    <m/>
    <m/>
    <m/>
    <m/>
    <m/>
    <m/>
    <m/>
    <m/>
    <n v="12000"/>
    <n v="12000"/>
    <n v="12000"/>
    <n v="12000"/>
    <n v="12000"/>
    <n v="12000"/>
    <m/>
    <m/>
    <m/>
    <m/>
    <m/>
    <m/>
    <x v="18"/>
    <x v="8"/>
    <x v="1"/>
    <n v="12"/>
    <n v="9"/>
    <n v="1.11958"/>
    <n v="1.2600000000000002"/>
    <n v="0"/>
    <n v="9.1999999999999998E-2"/>
    <x v="18"/>
    <x v="37"/>
    <n v="120"/>
    <n v="90"/>
    <x v="1"/>
    <n v="0.17207369999999855"/>
    <x v="18"/>
    <x v="37"/>
  </r>
  <r>
    <n v="7000480"/>
    <x v="11"/>
    <x v="15"/>
    <x v="15"/>
    <s v="IP"/>
    <x v="4"/>
    <s v="MALTADECOR 0104"/>
    <s v="white"/>
    <n v="104"/>
    <m/>
    <m/>
    <s v="EU"/>
    <x v="3"/>
    <x v="3"/>
    <m/>
    <m/>
    <m/>
    <x v="0"/>
    <m/>
    <m/>
    <m/>
    <s v="ton"/>
    <x v="13"/>
    <x v="0"/>
    <m/>
    <m/>
    <m/>
    <m/>
    <m/>
    <m/>
    <m/>
    <m/>
    <m/>
    <m/>
    <m/>
    <m/>
    <m/>
    <m/>
    <m/>
    <m/>
    <m/>
    <m/>
    <m/>
    <m/>
    <m/>
    <m/>
    <m/>
    <m/>
    <m/>
    <m/>
    <m/>
    <m/>
    <m/>
    <m/>
    <m/>
    <m/>
    <m/>
    <m/>
    <m/>
    <m/>
    <n v="1650"/>
    <n v="1650"/>
    <n v="1650"/>
    <n v="1650"/>
    <n v="1650"/>
    <n v="1650"/>
    <m/>
    <m/>
    <m/>
    <m/>
    <m/>
    <m/>
    <x v="19"/>
    <x v="8"/>
    <x v="1"/>
    <n v="1.65"/>
    <n v="9.7349999999999994"/>
    <n v="0.14176320000000001"/>
    <n v="1.26555"/>
    <n v="0"/>
    <n v="9.1999999999999998E-2"/>
    <x v="78"/>
    <x v="256"/>
    <n v="105"/>
    <n v="30"/>
    <x v="4"/>
    <n v="0.42603804745401064"/>
    <x v="79"/>
    <x v="266"/>
  </r>
  <r>
    <n v="7004759"/>
    <x v="11"/>
    <x v="1"/>
    <x v="15"/>
    <s v="IP"/>
    <x v="1"/>
    <s v="HUAWON HW1813"/>
    <s v="white"/>
    <s v="HW1813"/>
    <m/>
    <m/>
    <s v="CN"/>
    <x v="0"/>
    <x v="2"/>
    <m/>
    <n v="90"/>
    <m/>
    <x v="0"/>
    <m/>
    <m/>
    <m/>
    <s v="ton"/>
    <x v="1"/>
    <x v="1"/>
    <m/>
    <m/>
    <m/>
    <m/>
    <m/>
    <m/>
    <m/>
    <m/>
    <m/>
    <m/>
    <m/>
    <m/>
    <m/>
    <m/>
    <m/>
    <m/>
    <m/>
    <m/>
    <m/>
    <m/>
    <m/>
    <m/>
    <m/>
    <m/>
    <m/>
    <m/>
    <m/>
    <m/>
    <m/>
    <m/>
    <m/>
    <m/>
    <m/>
    <m/>
    <m/>
    <m/>
    <n v="11700"/>
    <n v="11700"/>
    <n v="11700"/>
    <n v="11700"/>
    <n v="11700"/>
    <n v="11700"/>
    <m/>
    <m/>
    <m/>
    <m/>
    <m/>
    <m/>
    <x v="24"/>
    <x v="8"/>
    <x v="1"/>
    <n v="11.7"/>
    <n v="8.7749999999999986"/>
    <n v="1.11958"/>
    <n v="1.2284999999999999"/>
    <n v="0"/>
    <n v="9.1999999999999998E-2"/>
    <x v="24"/>
    <x v="27"/>
    <n v="120"/>
    <n v="90"/>
    <x v="1"/>
    <n v="0.16822619999999944"/>
    <x v="24"/>
    <x v="27"/>
  </r>
  <r>
    <n v="7002385"/>
    <x v="58"/>
    <x v="5"/>
    <x v="15"/>
    <s v="DP"/>
    <x v="1"/>
    <s v="HUAWON HW1831"/>
    <s v="white"/>
    <s v="HW1831"/>
    <m/>
    <m/>
    <s v="CN"/>
    <x v="0"/>
    <x v="2"/>
    <m/>
    <n v="90"/>
    <m/>
    <x v="0"/>
    <m/>
    <m/>
    <m/>
    <s v="ton"/>
    <x v="1"/>
    <x v="1"/>
    <m/>
    <m/>
    <m/>
    <m/>
    <m/>
    <m/>
    <m/>
    <m/>
    <m/>
    <m/>
    <m/>
    <m/>
    <m/>
    <m/>
    <m/>
    <m/>
    <m/>
    <m/>
    <m/>
    <m/>
    <m/>
    <m/>
    <m/>
    <m/>
    <m/>
    <m/>
    <m/>
    <m/>
    <m/>
    <m/>
    <m/>
    <m/>
    <m/>
    <m/>
    <m/>
    <m/>
    <n v="11000"/>
    <n v="11000"/>
    <n v="11000"/>
    <n v="11000"/>
    <n v="11000"/>
    <n v="11000"/>
    <m/>
    <m/>
    <m/>
    <m/>
    <m/>
    <m/>
    <x v="161"/>
    <x v="8"/>
    <x v="1"/>
    <n v="11"/>
    <n v="8.25"/>
    <n v="1.11958"/>
    <n v="1.155"/>
    <n v="0"/>
    <n v="9.1999999999999998E-2"/>
    <x v="188"/>
    <x v="257"/>
    <n v="120"/>
    <n v="90"/>
    <x v="1"/>
    <n v="0.15924869999999913"/>
    <x v="217"/>
    <x v="267"/>
  </r>
  <r>
    <n v="7002386"/>
    <x v="8"/>
    <x v="5"/>
    <x v="15"/>
    <s v="DP"/>
    <x v="2"/>
    <s v="KINGDECOR KD0124D"/>
    <s v="white"/>
    <s v="KD0124D"/>
    <m/>
    <m/>
    <s v="CN"/>
    <x v="0"/>
    <x v="1"/>
    <m/>
    <m/>
    <m/>
    <x v="0"/>
    <m/>
    <m/>
    <m/>
    <s v="ton"/>
    <x v="7"/>
    <x v="1"/>
    <m/>
    <m/>
    <m/>
    <m/>
    <m/>
    <m/>
    <m/>
    <m/>
    <m/>
    <m/>
    <m/>
    <m/>
    <m/>
    <m/>
    <m/>
    <m/>
    <m/>
    <m/>
    <m/>
    <m/>
    <m/>
    <m/>
    <m/>
    <m/>
    <m/>
    <m/>
    <m/>
    <m/>
    <m/>
    <m/>
    <m/>
    <m/>
    <m/>
    <m/>
    <m/>
    <m/>
    <n v="11500"/>
    <n v="11500"/>
    <n v="11500"/>
    <n v="11500"/>
    <n v="11500"/>
    <n v="11500"/>
    <m/>
    <m/>
    <m/>
    <m/>
    <m/>
    <m/>
    <x v="31"/>
    <x v="8"/>
    <x v="1"/>
    <n v="11.5"/>
    <n v="8.625"/>
    <n v="1.11958"/>
    <n v="1.2075"/>
    <n v="0"/>
    <n v="9.1999999999999998E-2"/>
    <x v="31"/>
    <x v="38"/>
    <n v="120"/>
    <n v="90"/>
    <x v="1"/>
    <n v="0.16566119999999884"/>
    <x v="31"/>
    <x v="38"/>
  </r>
  <r>
    <n v="7004737"/>
    <x v="3"/>
    <x v="3"/>
    <x v="15"/>
    <m/>
    <x v="0"/>
    <s v="CARTIERE BACKER BROWN"/>
    <s v="brown"/>
    <m/>
    <m/>
    <m/>
    <s v="EU"/>
    <x v="0"/>
    <x v="0"/>
    <m/>
    <m/>
    <m/>
    <x v="0"/>
    <m/>
    <m/>
    <m/>
    <s v="ton"/>
    <x v="1"/>
    <x v="0"/>
    <m/>
    <m/>
    <m/>
    <m/>
    <m/>
    <m/>
    <m/>
    <m/>
    <m/>
    <m/>
    <m/>
    <m/>
    <m/>
    <m/>
    <m/>
    <m/>
    <m/>
    <m/>
    <m/>
    <m/>
    <m/>
    <m/>
    <m/>
    <m/>
    <m/>
    <m/>
    <m/>
    <m/>
    <m/>
    <m/>
    <m/>
    <m/>
    <m/>
    <m/>
    <m/>
    <m/>
    <m/>
    <m/>
    <m/>
    <m/>
    <n v="1100"/>
    <m/>
    <m/>
    <m/>
    <m/>
    <m/>
    <m/>
    <m/>
    <x v="162"/>
    <x v="21"/>
    <x v="1"/>
    <n v="1.1000000000000001"/>
    <n v="6.4900000000000011"/>
    <n v="0.14176320000000001"/>
    <n v="0.84370000000000012"/>
    <n v="0"/>
    <n v="9.1999999999999998E-2"/>
    <x v="189"/>
    <x v="258"/>
    <n v="105"/>
    <n v="90"/>
    <x v="0"/>
    <n v="5.6544720549699612E-2"/>
    <x v="218"/>
    <x v="268"/>
  </r>
  <r>
    <n v="7004738"/>
    <x v="3"/>
    <x v="2"/>
    <x v="15"/>
    <m/>
    <x v="0"/>
    <s v="CARTIERE BACKER BROWN"/>
    <s v="brown"/>
    <m/>
    <m/>
    <m/>
    <s v="EU"/>
    <x v="0"/>
    <x v="0"/>
    <m/>
    <m/>
    <m/>
    <x v="0"/>
    <m/>
    <m/>
    <m/>
    <s v="ton"/>
    <x v="1"/>
    <x v="0"/>
    <m/>
    <m/>
    <m/>
    <m/>
    <m/>
    <m/>
    <m/>
    <m/>
    <m/>
    <m/>
    <m/>
    <m/>
    <m/>
    <m/>
    <m/>
    <m/>
    <m/>
    <m/>
    <m/>
    <m/>
    <m/>
    <m/>
    <m/>
    <m/>
    <m/>
    <m/>
    <m/>
    <m/>
    <m/>
    <m/>
    <m/>
    <m/>
    <m/>
    <m/>
    <m/>
    <m/>
    <m/>
    <m/>
    <m/>
    <n v="1100"/>
    <n v="1100"/>
    <n v="1100"/>
    <m/>
    <m/>
    <m/>
    <m/>
    <m/>
    <m/>
    <x v="162"/>
    <x v="8"/>
    <x v="1"/>
    <n v="1.1000000000000001"/>
    <n v="6.4900000000000011"/>
    <n v="0.14176320000000001"/>
    <n v="0.84370000000000012"/>
    <n v="0"/>
    <n v="9.1999999999999998E-2"/>
    <x v="189"/>
    <x v="259"/>
    <n v="105"/>
    <n v="90"/>
    <x v="0"/>
    <n v="5.6544720549699612E-2"/>
    <x v="218"/>
    <x v="269"/>
  </r>
  <r>
    <n v="7004777"/>
    <x v="8"/>
    <x v="5"/>
    <x v="15"/>
    <s v="DP"/>
    <x v="16"/>
    <s v="ULTRADECOR 0128"/>
    <s v="white"/>
    <n v="128"/>
    <m/>
    <m/>
    <s v="RU"/>
    <x v="6"/>
    <x v="0"/>
    <m/>
    <m/>
    <m/>
    <x v="2"/>
    <m/>
    <m/>
    <m/>
    <s v="ton"/>
    <x v="7"/>
    <x v="4"/>
    <m/>
    <m/>
    <m/>
    <m/>
    <m/>
    <m/>
    <m/>
    <m/>
    <m/>
    <m/>
    <m/>
    <m/>
    <m/>
    <m/>
    <m/>
    <m/>
    <m/>
    <m/>
    <m/>
    <m/>
    <m/>
    <m/>
    <m/>
    <m/>
    <m/>
    <m/>
    <m/>
    <m/>
    <m/>
    <m/>
    <m/>
    <m/>
    <m/>
    <m/>
    <m/>
    <m/>
    <n v="210000"/>
    <n v="210000"/>
    <n v="210000"/>
    <m/>
    <m/>
    <m/>
    <m/>
    <m/>
    <m/>
    <m/>
    <m/>
    <m/>
    <x v="163"/>
    <x v="9"/>
    <x v="1"/>
    <n v="210"/>
    <n v="13.9377"/>
    <n v="0"/>
    <n v="1.811901"/>
    <n v="-0.17699999999999999"/>
    <n v="9.1999999999999998E-2"/>
    <x v="190"/>
    <x v="260"/>
    <n v="105"/>
    <n v="45"/>
    <x v="6"/>
    <n v="0.4734625652249953"/>
    <x v="219"/>
    <x v="270"/>
  </r>
  <r>
    <n v="7004990"/>
    <x v="16"/>
    <x v="4"/>
    <x v="15"/>
    <s v="FF"/>
    <x v="17"/>
    <s v="Qifeng QF9816-70"/>
    <s v="white"/>
    <s v="QF9816"/>
    <m/>
    <m/>
    <s v="CN"/>
    <x v="0"/>
    <x v="1"/>
    <m/>
    <m/>
    <m/>
    <x v="0"/>
    <m/>
    <m/>
    <m/>
    <s v="ton"/>
    <x v="1"/>
    <x v="1"/>
    <m/>
    <m/>
    <m/>
    <m/>
    <m/>
    <m/>
    <m/>
    <m/>
    <m/>
    <m/>
    <m/>
    <m/>
    <m/>
    <m/>
    <m/>
    <m/>
    <m/>
    <m/>
    <m/>
    <m/>
    <m/>
    <m/>
    <m/>
    <m/>
    <m/>
    <m/>
    <m/>
    <m/>
    <m/>
    <m/>
    <m/>
    <m/>
    <m/>
    <m/>
    <m/>
    <m/>
    <m/>
    <m/>
    <m/>
    <m/>
    <n v="19500"/>
    <n v="19500"/>
    <m/>
    <m/>
    <m/>
    <m/>
    <m/>
    <m/>
    <x v="32"/>
    <x v="8"/>
    <x v="1"/>
    <n v="19.5"/>
    <n v="14.625"/>
    <n v="1.11958"/>
    <n v="2.0475000000000003"/>
    <n v="0"/>
    <n v="9.1999999999999998E-2"/>
    <x v="32"/>
    <x v="40"/>
    <n v="120"/>
    <n v="90"/>
    <x v="1"/>
    <n v="0.26826119999999776"/>
    <x v="32"/>
    <x v="40"/>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r>
    <m/>
    <x v="58"/>
    <x v="16"/>
    <x v="15"/>
    <m/>
    <x v="18"/>
    <m/>
    <m/>
    <m/>
    <m/>
    <m/>
    <m/>
    <x v="7"/>
    <x v="0"/>
    <m/>
    <m/>
    <m/>
    <x v="3"/>
    <m/>
    <m/>
    <m/>
    <m/>
    <x v="7"/>
    <x v="5"/>
    <m/>
    <m/>
    <m/>
    <m/>
    <m/>
    <m/>
    <m/>
    <m/>
    <m/>
    <m/>
    <m/>
    <m/>
    <m/>
    <m/>
    <m/>
    <m/>
    <m/>
    <m/>
    <m/>
    <m/>
    <m/>
    <m/>
    <m/>
    <m/>
    <m/>
    <m/>
    <m/>
    <m/>
    <m/>
    <m/>
    <m/>
    <m/>
    <m/>
    <m/>
    <m/>
    <m/>
    <m/>
    <m/>
    <m/>
    <m/>
    <m/>
    <m/>
    <m/>
    <m/>
    <m/>
    <m/>
    <m/>
    <m/>
    <x v="164"/>
    <x v="23"/>
    <x v="160"/>
    <m/>
    <m/>
    <m/>
    <m/>
    <m/>
    <m/>
    <x v="191"/>
    <x v="261"/>
    <m/>
    <m/>
    <x v="7"/>
    <m/>
    <x v="220"/>
    <x v="2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21"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1">
        <item x="11"/>
        <item x="8"/>
        <item x="7"/>
        <item x="10"/>
        <item x="9"/>
        <item x="37"/>
        <item x="47"/>
        <item x="0"/>
        <item x="25"/>
        <item x="5"/>
        <item x="33"/>
        <item x="34"/>
        <item x="6"/>
        <item x="1"/>
        <item x="32"/>
        <item x="22"/>
        <item x="23"/>
        <item x="29"/>
        <item x="42"/>
        <item x="12"/>
        <item x="46"/>
        <item x="18"/>
        <item x="45"/>
        <item x="40"/>
        <item x="39"/>
        <item x="31"/>
        <item x="30"/>
        <item x="26"/>
        <item x="19"/>
        <item x="3"/>
        <item x="36"/>
        <item x="49"/>
        <item x="15"/>
        <item x="50"/>
        <item x="48"/>
        <item x="58"/>
        <item x="35"/>
        <item x="2"/>
        <item x="16"/>
        <item x="43"/>
        <item x="44"/>
        <item x="51"/>
        <item x="4"/>
        <item x="14"/>
        <item m="1" x="59"/>
        <item m="1" x="60"/>
        <item x="13"/>
        <item x="21"/>
        <item x="20"/>
        <item x="27"/>
        <item x="28"/>
        <item x="41"/>
        <item x="24"/>
        <item x="38"/>
        <item x="53"/>
        <item x="54"/>
        <item x="55"/>
        <item x="56"/>
        <item x="57"/>
        <item x="17"/>
        <item x="52"/>
      </items>
      <extLst>
        <ext xmlns:x14="http://schemas.microsoft.com/office/spreadsheetml/2009/9/main" uri="{2946ED86-A175-432a-8AC1-64E0C546D7DE}">
          <x14:pivotField fillDownLabels="1"/>
        </ext>
      </extLst>
    </pivotField>
    <pivotField axis="axisRow" compact="0" outline="0" showAll="0" defaultSubtotal="0">
      <items count="17">
        <item x="6"/>
        <item x="14"/>
        <item x="2"/>
        <item x="5"/>
        <item x="9"/>
        <item x="0"/>
        <item x="4"/>
        <item x="13"/>
        <item x="7"/>
        <item x="15"/>
        <item x="1"/>
        <item x="8"/>
        <item x="12"/>
        <item x="16"/>
        <item x="10"/>
        <item x="11"/>
        <item x="3"/>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7"/>
        <item x="2"/>
        <item x="17"/>
        <item x="1"/>
        <item x="8"/>
        <item x="4"/>
        <item x="0"/>
        <item x="9"/>
        <item x="22"/>
        <item x="16"/>
        <item x="21"/>
        <item x="11"/>
        <item x="19"/>
        <item x="6"/>
        <item sd="0" x="15"/>
        <item x="18"/>
        <item x="12"/>
        <item x="3"/>
        <item x="13"/>
        <item x="14"/>
        <item x="20"/>
        <item x="10"/>
        <item x="2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0"/>
        <item x="1"/>
        <item x="3"/>
        <item x="4"/>
        <item m="1" x="19"/>
        <item x="8"/>
        <item x="10"/>
        <item x="11"/>
        <item x="13"/>
        <item x="18"/>
        <item x="9"/>
        <item x="12"/>
        <item x="2"/>
        <item x="14"/>
        <item x="15"/>
        <item x="16"/>
        <item x="17"/>
        <item x="5"/>
        <item x="6"/>
        <item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5"/>
        <item x="3"/>
        <item x="4"/>
        <item x="1"/>
        <item x="0"/>
        <item x="2"/>
        <item x="7"/>
        <item x="6"/>
      </items>
      <extLst>
        <ext xmlns:x14="http://schemas.microsoft.com/office/spreadsheetml/2009/9/main" uri="{2946ED86-A175-432a-8AC1-64E0C546D7DE}">
          <x14:pivotField fillDownLabels="1"/>
        </ext>
      </extLst>
    </pivotField>
    <pivotField axis="axisRow" compact="0" outline="0" showAll="0" defaultSubtotal="0">
      <items count="6">
        <item x="4"/>
        <item x="3"/>
        <item x="0"/>
        <item m="1" x="5"/>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2">
        <item x="16"/>
        <item x="15"/>
        <item x="3"/>
        <item x="14"/>
        <item x="2"/>
        <item x="12"/>
        <item x="20"/>
        <item x="0"/>
        <item x="11"/>
        <item x="13"/>
        <item x="1"/>
        <item x="5"/>
        <item x="10"/>
        <item x="17"/>
        <item x="9"/>
        <item x="8"/>
        <item x="19"/>
        <item x="7"/>
        <item x="4"/>
        <item m="1" x="21"/>
        <item x="18"/>
        <item x="6"/>
      </items>
      <extLst>
        <ext xmlns:x14="http://schemas.microsoft.com/office/spreadsheetml/2009/9/main" uri="{2946ED86-A175-432a-8AC1-64E0C546D7DE}">
          <x14:pivotField fillDownLabels="1"/>
        </ext>
      </extLst>
    </pivotField>
    <pivotField axis="axisRow" compact="0" outline="0" showAll="0" defaultSubtotal="0">
      <items count="6">
        <item x="2"/>
        <item x="1"/>
        <item x="0"/>
        <item x="3"/>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36">
        <item m="1" x="234"/>
        <item x="26"/>
        <item x="119"/>
        <item x="145"/>
        <item x="25"/>
        <item x="23"/>
        <item m="1" x="232"/>
        <item x="21"/>
        <item x="115"/>
        <item x="19"/>
        <item x="113"/>
        <item x="10"/>
        <item x="112"/>
        <item x="53"/>
        <item x="121"/>
        <item x="17"/>
        <item m="1" x="192"/>
        <item x="51"/>
        <item m="1" x="168"/>
        <item m="1" x="172"/>
        <item x="52"/>
        <item m="1" x="193"/>
        <item m="1" x="166"/>
        <item m="1" x="165"/>
        <item x="15"/>
        <item x="12"/>
        <item x="79"/>
        <item x="48"/>
        <item x="80"/>
        <item x="49"/>
        <item x="81"/>
        <item x="72"/>
        <item x="73"/>
        <item x="76"/>
        <item x="82"/>
        <item x="74"/>
        <item x="45"/>
        <item m="1" x="199"/>
        <item x="13"/>
        <item m="1" x="174"/>
        <item x="42"/>
        <item x="43"/>
        <item m="1" x="190"/>
        <item x="148"/>
        <item x="63"/>
        <item m="1" x="231"/>
        <item x="75"/>
        <item x="36"/>
        <item x="147"/>
        <item x="37"/>
        <item x="38"/>
        <item x="157"/>
        <item x="39"/>
        <item x="54"/>
        <item x="35"/>
        <item m="1" x="191"/>
        <item m="1" x="196"/>
        <item x="41"/>
        <item m="1" x="203"/>
        <item x="134"/>
        <item x="14"/>
        <item x="78"/>
        <item x="1"/>
        <item x="8"/>
        <item x="56"/>
        <item x="57"/>
        <item x="135"/>
        <item x="0"/>
        <item x="144"/>
        <item x="58"/>
        <item x="136"/>
        <item x="59"/>
        <item x="133"/>
        <item x="138"/>
        <item x="141"/>
        <item x="160"/>
        <item x="4"/>
        <item x="137"/>
        <item x="83"/>
        <item x="142"/>
        <item x="158"/>
        <item x="30"/>
        <item x="139"/>
        <item x="5"/>
        <item x="123"/>
        <item x="64"/>
        <item x="62"/>
        <item m="1" x="200"/>
        <item x="66"/>
        <item m="1" x="224"/>
        <item x="146"/>
        <item m="1" x="176"/>
        <item x="9"/>
        <item x="2"/>
        <item x="70"/>
        <item x="126"/>
        <item x="71"/>
        <item x="127"/>
        <item x="94"/>
        <item m="1" x="225"/>
        <item x="92"/>
        <item m="1" x="227"/>
        <item x="90"/>
        <item x="89"/>
        <item m="1" x="226"/>
        <item x="88"/>
        <item x="3"/>
        <item x="154"/>
        <item x="108"/>
        <item m="1" x="235"/>
        <item x="109"/>
        <item x="118"/>
        <item m="1" x="187"/>
        <item x="18"/>
        <item x="20"/>
        <item m="1" x="210"/>
        <item m="1" x="218"/>
        <item m="1" x="221"/>
        <item m="1" x="219"/>
        <item m="1" x="217"/>
        <item x="16"/>
        <item m="1" x="188"/>
        <item x="22"/>
        <item m="1" x="215"/>
        <item x="120"/>
        <item m="1" x="209"/>
        <item m="1" x="216"/>
        <item m="1" x="213"/>
        <item m="1" x="180"/>
        <item m="1" x="211"/>
        <item m="1" x="181"/>
        <item m="1" x="183"/>
        <item m="1" x="179"/>
        <item m="1" x="212"/>
        <item m="1" x="222"/>
        <item m="1" x="178"/>
        <item x="32"/>
        <item m="1" x="185"/>
        <item m="1" x="182"/>
        <item m="1" x="184"/>
        <item m="1" x="186"/>
        <item x="105"/>
        <item m="1" x="177"/>
        <item x="164"/>
        <item x="6"/>
        <item x="33"/>
        <item x="60"/>
        <item m="1" x="228"/>
        <item m="1" x="229"/>
        <item x="132"/>
        <item x="77"/>
        <item m="1" x="189"/>
        <item m="1" x="194"/>
        <item x="130"/>
        <item x="131"/>
        <item x="46"/>
        <item m="1" x="198"/>
        <item x="50"/>
        <item m="1" x="223"/>
        <item x="7"/>
        <item x="155"/>
        <item x="159"/>
        <item m="1" x="233"/>
        <item x="143"/>
        <item x="29"/>
        <item m="1" x="220"/>
        <item x="110"/>
        <item x="116"/>
        <item x="69"/>
        <item x="27"/>
        <item x="117"/>
        <item x="122"/>
        <item m="1" x="230"/>
        <item x="65"/>
        <item x="47"/>
        <item m="1" x="167"/>
        <item x="40"/>
        <item x="55"/>
        <item m="1" x="195"/>
        <item x="44"/>
        <item x="85"/>
        <item x="11"/>
        <item m="1" x="173"/>
        <item x="140"/>
        <item m="1" x="175"/>
        <item x="124"/>
        <item x="111"/>
        <item x="114"/>
        <item x="28"/>
        <item x="34"/>
        <item x="31"/>
        <item x="67"/>
        <item x="24"/>
        <item m="1" x="214"/>
        <item m="1" x="201"/>
        <item m="1" x="202"/>
        <item m="1" x="204"/>
        <item m="1" x="205"/>
        <item m="1" x="206"/>
        <item m="1" x="207"/>
        <item m="1" x="208"/>
        <item x="149"/>
        <item x="150"/>
        <item x="151"/>
        <item x="152"/>
        <item x="153"/>
        <item m="1" x="169"/>
        <item m="1" x="197"/>
        <item x="125"/>
        <item x="128"/>
        <item x="129"/>
        <item x="61"/>
        <item x="68"/>
        <item x="95"/>
        <item x="96"/>
        <item x="97"/>
        <item x="98"/>
        <item x="99"/>
        <item x="100"/>
        <item x="101"/>
        <item x="102"/>
        <item x="103"/>
        <item x="104"/>
        <item x="106"/>
        <item x="107"/>
        <item x="156"/>
        <item x="84"/>
        <item x="86"/>
        <item x="87"/>
        <item x="91"/>
        <item x="93"/>
        <item x="161"/>
        <item x="163"/>
        <item m="1" x="171"/>
        <item m="1" x="170"/>
        <item x="162"/>
      </items>
      <extLst>
        <ext xmlns:x14="http://schemas.microsoft.com/office/spreadsheetml/2009/9/main" uri="{2946ED86-A175-432a-8AC1-64E0C546D7DE}">
          <x14:pivotField fillDownLabels="1"/>
        </ext>
      </extLst>
    </pivotField>
    <pivotField axis="axisRow" compact="0" outline="0" showAll="0">
      <items count="92">
        <item x="14"/>
        <item x="19"/>
        <item x="11"/>
        <item x="4"/>
        <item x="5"/>
        <item x="0"/>
        <item x="13"/>
        <item x="16"/>
        <item x="12"/>
        <item x="3"/>
        <item x="17"/>
        <item x="1"/>
        <item x="15"/>
        <item x="23"/>
        <item m="1" x="90"/>
        <item m="1" x="89"/>
        <item m="1" x="88"/>
        <item m="1" x="87"/>
        <item m="1" x="86"/>
        <item m="1" x="85"/>
        <item m="1" x="84"/>
        <item m="1" x="83"/>
        <item m="1" x="82"/>
        <item m="1" x="81"/>
        <item m="1" x="80"/>
        <item m="1" x="79"/>
        <item m="1" x="78"/>
        <item m="1" x="77"/>
        <item m="1" x="76"/>
        <item m="1" x="75"/>
        <item m="1" x="74"/>
        <item m="1" x="73"/>
        <item m="1" x="72"/>
        <item m="1" x="71"/>
        <item m="1" x="70"/>
        <item m="1" x="69"/>
        <item m="1" x="68"/>
        <item m="1" x="67"/>
        <item x="18"/>
        <item m="1" x="66"/>
        <item m="1" x="65"/>
        <item m="1" x="64"/>
        <item m="1" x="63"/>
        <item m="1" x="62"/>
        <item m="1" x="61"/>
        <item m="1" x="60"/>
        <item x="6"/>
        <item m="1" x="59"/>
        <item m="1" x="58"/>
        <item m="1" x="57"/>
        <item x="7"/>
        <item m="1" x="56"/>
        <item m="1" x="55"/>
        <item m="1" x="54"/>
        <item m="1" x="53"/>
        <item m="1" x="52"/>
        <item x="2"/>
        <item m="1" x="51"/>
        <item m="1" x="50"/>
        <item m="1" x="49"/>
        <item m="1" x="48"/>
        <item m="1" x="47"/>
        <item m="1" x="46"/>
        <item m="1" x="45"/>
        <item m="1" x="44"/>
        <item m="1" x="43"/>
        <item x="9"/>
        <item m="1" x="42"/>
        <item m="1" x="41"/>
        <item m="1" x="40"/>
        <item m="1" x="39"/>
        <item m="1" x="38"/>
        <item m="1" x="37"/>
        <item m="1" x="36"/>
        <item m="1" x="35"/>
        <item m="1" x="34"/>
        <item x="20"/>
        <item m="1" x="33"/>
        <item m="1" x="32"/>
        <item m="1" x="31"/>
        <item m="1" x="30"/>
        <item x="22"/>
        <item m="1" x="29"/>
        <item m="1" x="28"/>
        <item m="1" x="27"/>
        <item x="21"/>
        <item m="1" x="26"/>
        <item m="1" x="25"/>
        <item m="1" x="24"/>
        <item x="8"/>
        <item x="10"/>
        <item t="default"/>
      </items>
      <extLst>
        <ext xmlns:x14="http://schemas.microsoft.com/office/spreadsheetml/2009/9/main" uri="{2946ED86-A175-432a-8AC1-64E0C546D7DE}">
          <x14:pivotField fillDownLabels="1"/>
        </ext>
      </extLst>
    </pivotField>
    <pivotField compact="0" outline="0" showAll="0" defaultSubtotal="0">
      <items count="1193">
        <item m="1" x="560"/>
        <item m="1" x="863"/>
        <item m="1" x="940"/>
        <item m="1" x="842"/>
        <item m="1" x="785"/>
        <item m="1" x="1073"/>
        <item m="1" x="1100"/>
        <item m="1" x="585"/>
        <item m="1" x="644"/>
        <item m="1" x="654"/>
        <item m="1" x="997"/>
        <item m="1" x="999"/>
        <item m="1" x="1174"/>
        <item m="1" x="649"/>
        <item m="1" x="457"/>
        <item m="1" x="995"/>
        <item m="1" x="613"/>
        <item m="1" x="796"/>
        <item m="1" x="473"/>
        <item m="1" x="686"/>
        <item m="1" x="1017"/>
        <item m="1" x="1049"/>
        <item m="1" x="849"/>
        <item m="1" x="675"/>
        <item m="1" x="502"/>
        <item m="1" x="797"/>
        <item m="1" x="944"/>
        <item m="1" x="1185"/>
        <item m="1" x="958"/>
        <item m="1" x="901"/>
        <item m="1" x="1158"/>
        <item m="1" x="477"/>
        <item m="1" x="750"/>
        <item m="1" x="687"/>
        <item m="1" x="1118"/>
        <item m="1" x="513"/>
        <item m="1" x="811"/>
        <item m="1" x="987"/>
        <item m="1" x="533"/>
        <item m="1" x="1121"/>
        <item m="1" x="854"/>
        <item m="1" x="1094"/>
        <item m="1" x="707"/>
        <item m="1" x="1004"/>
        <item m="1" x="1007"/>
        <item m="1" x="853"/>
        <item m="1" x="339"/>
        <item m="1" x="861"/>
        <item m="1" x="862"/>
        <item m="1" x="453"/>
        <item m="1" x="1143"/>
        <item m="1" x="812"/>
        <item m="1" x="968"/>
        <item m="1" x="721"/>
        <item m="1" x="964"/>
        <item m="1" x="1043"/>
        <item m="1" x="695"/>
        <item m="1" x="1053"/>
        <item m="1" x="531"/>
        <item m="1" x="920"/>
        <item m="1" x="921"/>
        <item m="1" x="1176"/>
        <item m="1" x="878"/>
        <item m="1" x="941"/>
        <item m="1" x="581"/>
        <item m="1" x="936"/>
        <item m="1" x="1190"/>
        <item m="1" x="471"/>
        <item m="1" x="743"/>
        <item m="1" x="458"/>
        <item m="1" x="620"/>
        <item m="1" x="1058"/>
        <item m="1" x="1019"/>
        <item m="1" x="739"/>
        <item m="1" x="1120"/>
        <item m="1" x="1104"/>
        <item m="1" x="916"/>
        <item m="1" x="600"/>
        <item m="1" x="1159"/>
        <item m="1" x="679"/>
        <item m="1" x="651"/>
        <item m="1" x="603"/>
        <item m="1" x="536"/>
        <item m="1" x="988"/>
        <item m="1" x="768"/>
        <item m="1" x="472"/>
        <item m="1" x="517"/>
        <item m="1" x="906"/>
        <item m="1" x="1139"/>
        <item m="1" x="646"/>
        <item m="1" x="640"/>
        <item m="1" x="1175"/>
        <item m="1" x="998"/>
        <item m="1" x="413"/>
        <item m="1" x="1183"/>
        <item m="1" x="858"/>
        <item m="1" x="538"/>
        <item m="1" x="745"/>
        <item m="1" x="953"/>
        <item m="1" x="912"/>
        <item m="1" x="952"/>
        <item m="1" x="803"/>
        <item m="1" x="496"/>
        <item m="1" x="760"/>
        <item m="1" x="1077"/>
        <item m="1" x="559"/>
        <item m="1" x="425"/>
        <item m="1" x="890"/>
        <item m="1" x="294"/>
        <item m="1" x="970"/>
        <item m="1" x="499"/>
        <item m="1" x="656"/>
        <item m="1" x="588"/>
        <item m="1" x="666"/>
        <item m="1" x="751"/>
        <item m="1" x="516"/>
        <item m="1" x="705"/>
        <item m="1" x="609"/>
        <item m="1" x="818"/>
        <item m="1" x="1031"/>
        <item m="1" x="1040"/>
        <item m="1" x="461"/>
        <item m="1" x="610"/>
        <item m="1" x="254"/>
        <item m="1" x="647"/>
        <item m="1" x="866"/>
        <item m="1" x="888"/>
        <item m="1" x="1016"/>
        <item m="1" x="836"/>
        <item x="1"/>
        <item m="1" x="1035"/>
        <item m="1" x="815"/>
        <item m="1" x="681"/>
        <item m="1" x="682"/>
        <item m="1" x="928"/>
        <item x="160"/>
        <item m="1" x="468"/>
        <item m="1" x="798"/>
        <item m="1" x="913"/>
        <item m="1" x="956"/>
        <item m="1" x="676"/>
        <item m="1" x="1009"/>
        <item m="1" x="611"/>
        <item m="1" x="665"/>
        <item m="1" x="575"/>
        <item m="1" x="1108"/>
        <item m="1" x="765"/>
        <item m="1" x="1084"/>
        <item m="1" x="452"/>
        <item m="1" x="571"/>
        <item m="1" x="622"/>
        <item m="1" x="1033"/>
        <item m="1" x="1115"/>
        <item m="1" x="680"/>
        <item m="1" x="951"/>
        <item m="1" x="965"/>
        <item m="1" x="1066"/>
        <item m="1" x="1136"/>
        <item m="1" x="996"/>
        <item m="1" x="1065"/>
        <item m="1" x="942"/>
        <item m="1" x="565"/>
        <item m="1" x="701"/>
        <item m="1" x="1129"/>
        <item m="1" x="636"/>
        <item m="1" x="841"/>
        <item m="1" x="759"/>
        <item m="1" x="823"/>
        <item m="1" x="326"/>
        <item m="1" x="645"/>
        <item m="1" x="464"/>
        <item m="1" x="1044"/>
        <item m="1" x="479"/>
        <item m="1" x="625"/>
        <item m="1" x="693"/>
        <item m="1" x="1036"/>
        <item m="1" x="755"/>
        <item m="1" x="604"/>
        <item m="1" x="778"/>
        <item m="1" x="1189"/>
        <item m="1" x="1046"/>
        <item m="1" x="532"/>
        <item m="1" x="873"/>
        <item m="1" x="543"/>
        <item m="1" x="829"/>
        <item m="1" x="669"/>
        <item m="1" x="989"/>
        <item m="1" x="994"/>
        <item m="1" x="511"/>
        <item m="1" x="495"/>
        <item m="1" x="927"/>
        <item m="1" x="476"/>
        <item m="1" x="886"/>
        <item m="1" x="500"/>
        <item m="1" x="1132"/>
        <item m="1" x="793"/>
        <item m="1" x="537"/>
        <item m="1" x="1086"/>
        <item m="1" x="794"/>
        <item m="1" x="1138"/>
        <item m="1" x="1134"/>
        <item m="1" x="535"/>
        <item m="1" x="478"/>
        <item m="1" x="520"/>
        <item m="1" x="929"/>
        <item m="1" x="1123"/>
        <item m="1" x="555"/>
        <item m="1" x="628"/>
        <item m="1" x="1026"/>
        <item m="1" x="667"/>
        <item m="1" x="774"/>
        <item m="1" x="945"/>
        <item m="1" x="589"/>
        <item m="1" x="904"/>
        <item m="1" x="653"/>
        <item m="1" x="864"/>
        <item m="1" x="594"/>
        <item m="1" x="1032"/>
        <item m="1" x="1145"/>
        <item m="1" x="960"/>
        <item m="1" x="605"/>
        <item m="1" x="702"/>
        <item m="1" x="729"/>
        <item m="1" x="711"/>
        <item m="1" x="1168"/>
        <item m="1" x="908"/>
        <item m="1" x="1150"/>
        <item m="1" x="456"/>
        <item m="1" x="837"/>
        <item m="1" x="1085"/>
        <item m="1" x="1001"/>
        <item m="1" x="727"/>
        <item m="1" x="663"/>
        <item m="1" x="1116"/>
        <item m="1" x="587"/>
        <item m="1" x="1045"/>
        <item m="1" x="1097"/>
        <item m="1" x="670"/>
        <item m="1" x="1179"/>
        <item m="1" x="880"/>
        <item m="1" x="506"/>
        <item m="1" x="1008"/>
        <item m="1" x="601"/>
        <item m="1" x="826"/>
        <item m="1" x="1113"/>
        <item m="1" x="1025"/>
        <item m="1" x="809"/>
        <item m="1" x="867"/>
        <item m="1" x="969"/>
        <item m="1" x="1054"/>
        <item m="1" x="896"/>
        <item m="1" x="592"/>
        <item m="1" x="985"/>
        <item m="1" x="694"/>
        <item m="1" x="1114"/>
        <item m="1" x="1110"/>
        <item m="1" x="810"/>
        <item m="1" x="800"/>
        <item m="1" x="961"/>
        <item m="1" x="947"/>
        <item m="1" x="838"/>
        <item m="1" x="558"/>
        <item m="1" x="1027"/>
        <item m="1" x="1055"/>
        <item m="1" x="595"/>
        <item m="1" x="1076"/>
        <item m="1" x="420"/>
        <item m="1" x="1093"/>
        <item m="1" x="737"/>
        <item m="1" x="474"/>
        <item m="1" x="455"/>
        <item m="1" x="845"/>
        <item m="1" x="661"/>
        <item x="0"/>
        <item m="1" x="548"/>
        <item m="1" x="879"/>
        <item m="1" x="677"/>
        <item m="1" x="639"/>
        <item x="100"/>
        <item m="1" x="976"/>
        <item m="1" x="593"/>
        <item m="1" x="1092"/>
        <item m="1" x="602"/>
        <item m="1" x="542"/>
        <item m="1" x="487"/>
        <item m="1" x="1005"/>
        <item m="1" x="1112"/>
        <item x="106"/>
        <item x="128"/>
        <item m="1" x="966"/>
        <item m="1" x="1079"/>
        <item m="1" x="787"/>
        <item m="1" x="568"/>
        <item m="1" x="719"/>
        <item m="1" x="699"/>
        <item m="1" x="1142"/>
        <item m="1" x="772"/>
        <item m="1" x="777"/>
        <item m="1" x="761"/>
        <item m="1" x="808"/>
        <item m="1" x="776"/>
        <item m="1" x="1063"/>
        <item m="1" x="540"/>
        <item m="1" x="1060"/>
        <item m="1" x="840"/>
        <item m="1" x="635"/>
        <item m="1" x="627"/>
        <item x="80"/>
        <item x="19"/>
        <item x="81"/>
        <item m="1" x="1144"/>
        <item m="1" x="596"/>
        <item x="21"/>
        <item x="10"/>
        <item m="1" x="1107"/>
        <item m="1" x="1153"/>
        <item m="1" x="788"/>
        <item m="1" x="1137"/>
        <item m="1" x="561"/>
        <item m="1" x="830"/>
        <item m="1" x="510"/>
        <item m="1" x="688"/>
        <item m="1" x="955"/>
        <item m="1" x="1128"/>
        <item m="1" x="1188"/>
        <item m="1" x="732"/>
        <item m="1" x="828"/>
        <item m="1" x="914"/>
        <item m="1" x="934"/>
        <item m="1" x="580"/>
        <item m="1" x="1146"/>
        <item m="1" x="975"/>
        <item m="1" x="1122"/>
        <item m="1" x="591"/>
        <item m="1" x="504"/>
        <item m="1" x="903"/>
        <item m="1" x="986"/>
        <item m="1" x="806"/>
        <item m="1" x="1028"/>
        <item m="1" x="493"/>
        <item m="1" x="643"/>
        <item m="1" x="816"/>
        <item m="1" x="710"/>
        <item m="1" x="813"/>
        <item m="1" x="1125"/>
        <item m="1" x="714"/>
        <item m="1" x="909"/>
        <item m="1" x="1152"/>
        <item m="1" x="1069"/>
        <item m="1" x="762"/>
        <item m="1" x="822"/>
        <item m="1" x="1037"/>
        <item m="1" x="1170"/>
        <item m="1" x="466"/>
        <item m="1" x="579"/>
        <item m="1" x="804"/>
        <item m="1" x="747"/>
        <item m="1" x="494"/>
        <item m="1" x="1148"/>
        <item m="1" x="1169"/>
        <item m="1" x="539"/>
        <item m="1" x="700"/>
        <item m="1" x="766"/>
        <item m="1" x="1191"/>
        <item m="1" x="972"/>
        <item m="1" x="1022"/>
        <item m="1" x="546"/>
        <item m="1" x="1074"/>
        <item m="1" x="917"/>
        <item m="1" x="905"/>
        <item m="1" x="819"/>
        <item m="1" x="742"/>
        <item m="1" x="1087"/>
        <item m="1" x="846"/>
        <item m="1" x="825"/>
        <item m="1" x="791"/>
        <item m="1" x="757"/>
        <item m="1" x="741"/>
        <item m="1" x="733"/>
        <item m="1" x="907"/>
        <item m="1" x="857"/>
        <item m="1" x="783"/>
        <item m="1" x="740"/>
        <item m="1" x="598"/>
        <item m="1" x="902"/>
        <item m="1" x="870"/>
        <item m="1" x="716"/>
        <item m="1" x="844"/>
        <item m="1" x="731"/>
        <item m="1" x="848"/>
        <item m="1" x="884"/>
        <item m="1" x="662"/>
        <item m="1" x="1061"/>
        <item m="1" x="1041"/>
        <item m="1" x="748"/>
        <item m="1" x="519"/>
        <item m="1" x="984"/>
        <item m="1" x="508"/>
        <item m="1" x="1154"/>
        <item m="1" x="807"/>
        <item m="1" x="887"/>
        <item x="105"/>
        <item x="5"/>
        <item m="1" x="1102"/>
        <item m="1" x="460"/>
        <item m="1" x="668"/>
        <item m="1" x="545"/>
        <item m="1" x="799"/>
        <item m="1" x="1059"/>
        <item m="1" x="501"/>
        <item m="1" x="877"/>
        <item m="1" x="433"/>
        <item x="2"/>
        <item m="1" x="704"/>
        <item m="1" x="775"/>
        <item x="73"/>
        <item m="1" x="1014"/>
        <item m="1" x="483"/>
        <item m="1" x="720"/>
        <item m="1" x="868"/>
        <item m="1" x="674"/>
        <item m="1" x="1018"/>
        <item m="1" x="1013"/>
        <item m="1" x="827"/>
        <item x="84"/>
        <item m="1" x="855"/>
        <item m="1" x="1062"/>
        <item m="1" x="967"/>
        <item m="1" x="894"/>
        <item m="1" x="1171"/>
        <item m="1" x="773"/>
        <item m="1" x="673"/>
        <item m="1" x="939"/>
        <item m="1" x="1056"/>
        <item m="1" x="1072"/>
        <item m="1" x="724"/>
        <item m="1" x="1050"/>
        <item m="1" x="630"/>
        <item m="1" x="746"/>
        <item m="1" x="642"/>
        <item m="1" x="1029"/>
        <item m="1" x="503"/>
        <item m="1" x="412"/>
        <item m="1" x="1006"/>
        <item m="1" x="599"/>
        <item m="1" x="713"/>
        <item m="1" x="922"/>
        <item m="1" x="1048"/>
        <item m="1" x="763"/>
        <item m="1" x="860"/>
        <item m="1" x="692"/>
        <item m="1" x="915"/>
        <item m="1" x="505"/>
        <item m="1" x="564"/>
        <item m="1" x="1124"/>
        <item m="1" x="544"/>
        <item m="1" x="490"/>
        <item m="1" x="1023"/>
        <item m="1" x="621"/>
        <item m="1" x="973"/>
        <item m="1" x="522"/>
        <item m="1" x="489"/>
        <item m="1" x="885"/>
        <item m="1" x="463"/>
        <item m="1" x="738"/>
        <item m="1" x="302"/>
        <item m="1" x="784"/>
        <item m="1" x="1133"/>
        <item x="36"/>
        <item m="1" x="672"/>
        <item m="1" x="631"/>
        <item m="1" x="756"/>
        <item m="1" x="528"/>
        <item m="1" x="484"/>
        <item m="1" x="209"/>
        <item m="1" x="1160"/>
        <item m="1" x="869"/>
        <item m="1" x="208"/>
        <item m="1" x="1039"/>
        <item m="1" x="207"/>
        <item m="1" x="467"/>
        <item m="1" x="950"/>
        <item m="1" x="608"/>
        <item m="1" x="615"/>
        <item m="1" x="1070"/>
        <item m="1" x="623"/>
        <item m="1" x="980"/>
        <item m="1" x="1057"/>
        <item m="1" x="634"/>
        <item m="1" x="832"/>
        <item m="1" x="735"/>
        <item m="1" x="1149"/>
        <item m="1" x="712"/>
        <item m="1" x="1162"/>
        <item m="1" x="744"/>
        <item m="1" x="527"/>
        <item m="1" x="924"/>
        <item m="1" x="933"/>
        <item m="1" x="1178"/>
        <item m="1" x="515"/>
        <item m="1" x="789"/>
        <item m="1" x="983"/>
        <item m="1" x="963"/>
        <item m="1" x="1167"/>
        <item m="1" x="931"/>
        <item m="1" x="753"/>
        <item m="1" x="697"/>
        <item m="1" x="1109"/>
        <item m="1" x="658"/>
        <item m="1" x="638"/>
        <item m="1" x="529"/>
        <item m="1" x="554"/>
        <item m="1" x="1106"/>
        <item m="1" x="859"/>
        <item m="1" x="937"/>
        <item m="1" x="1010"/>
        <item m="1" x="1151"/>
        <item m="1" x="725"/>
        <item m="1" x="708"/>
        <item m="1" x="802"/>
        <item m="1" x="722"/>
        <item m="1" x="553"/>
        <item m="1" x="1099"/>
        <item m="1" x="1163"/>
        <item m="1" x="971"/>
        <item m="1" x="557"/>
        <item m="1" x="1083"/>
        <item m="1" x="728"/>
        <item m="1" x="919"/>
        <item m="1" x="1131"/>
        <item m="1" x="736"/>
        <item m="1" x="578"/>
        <item m="1" x="1127"/>
        <item m="1" x="607"/>
        <item m="1" x="821"/>
        <item m="1" x="525"/>
        <item m="1" x="900"/>
        <item m="1" x="612"/>
        <item m="1" x="652"/>
        <item m="1" x="1130"/>
        <item m="1" x="1090"/>
        <item m="1" x="918"/>
        <item m="1" x="764"/>
        <item m="1" x="982"/>
        <item m="1" x="946"/>
        <item m="1" x="1096"/>
        <item m="1" x="1140"/>
        <item m="1" x="993"/>
        <item m="1" x="1064"/>
        <item m="1" x="715"/>
        <item m="1" x="1192"/>
        <item m="1" x="990"/>
        <item m="1" x="910"/>
        <item m="1" x="462"/>
        <item m="1" x="754"/>
        <item m="1" x="1126"/>
        <item m="1" x="779"/>
        <item m="1" x="851"/>
        <item m="1" x="582"/>
        <item m="1" x="475"/>
        <item m="1" x="509"/>
        <item m="1" x="541"/>
        <item m="1" x="583"/>
        <item m="1" x="671"/>
        <item m="1" x="480"/>
        <item m="1" x="1105"/>
        <item m="1" x="839"/>
        <item m="1" x="718"/>
        <item m="1" x="459"/>
        <item m="1" x="706"/>
        <item m="1" x="498"/>
        <item m="1" x="991"/>
        <item m="1" x="683"/>
        <item m="1" x="465"/>
        <item m="1" x="619"/>
        <item m="1" x="717"/>
        <item m="1" x="948"/>
        <item m="1" x="469"/>
        <item m="1" x="817"/>
        <item m="1" x="898"/>
        <item m="1" x="897"/>
        <item m="1" x="935"/>
        <item m="1" x="616"/>
        <item m="1" x="1042"/>
        <item m="1" x="954"/>
        <item m="1" x="1000"/>
        <item m="1" x="782"/>
        <item m="1" x="835"/>
        <item m="1" x="486"/>
        <item m="1" x="801"/>
        <item m="1" x="911"/>
        <item m="1" x="1180"/>
        <item m="1" x="833"/>
        <item m="1" x="482"/>
        <item m="1" x="1038"/>
        <item m="1" x="507"/>
        <item m="1" x="850"/>
        <item m="1" x="1011"/>
        <item m="1" x="899"/>
        <item m="1" x="1089"/>
        <item m="1" x="172"/>
        <item m="1" x="709"/>
        <item x="18"/>
        <item x="13"/>
        <item m="1" x="1082"/>
        <item m="1" x="1047"/>
        <item m="1" x="925"/>
        <item m="1" x="485"/>
        <item m="1" x="1135"/>
        <item m="1" x="1166"/>
        <item m="1" x="781"/>
        <item m="1" x="852"/>
        <item m="1" x="678"/>
        <item m="1" x="1003"/>
        <item m="1" x="624"/>
        <item m="1" x="574"/>
        <item m="1" x="703"/>
        <item m="1" x="962"/>
        <item m="1" x="734"/>
        <item m="1" x="690"/>
        <item m="1" x="698"/>
        <item m="1" x="1164"/>
        <item m="1" x="629"/>
        <item m="1" x="657"/>
        <item m="1" x="685"/>
        <item m="1" x="847"/>
        <item m="1" x="655"/>
        <item m="1" x="1071"/>
        <item m="1" x="526"/>
        <item m="1" x="949"/>
        <item m="1" x="573"/>
        <item m="1" x="562"/>
        <item m="1" x="633"/>
        <item m="1" x="684"/>
        <item m="1" x="978"/>
        <item m="1" x="523"/>
        <item m="1" x="1002"/>
        <item m="1" x="889"/>
        <item m="1" x="534"/>
        <item m="1" x="648"/>
        <item x="4"/>
        <item m="1" x="1088"/>
        <item m="1" x="552"/>
        <item m="1" x="547"/>
        <item m="1" x="883"/>
        <item m="1" x="923"/>
        <item m="1" x="632"/>
        <item m="1" x="992"/>
        <item m="1" x="586"/>
        <item m="1" x="164"/>
        <item m="1" x="175"/>
        <item m="1" x="165"/>
        <item x="153"/>
        <item m="1" x="1184"/>
        <item m="1" x="550"/>
        <item m="1" x="1024"/>
        <item m="1" x="617"/>
        <item m="1" x="204"/>
        <item m="1" x="205"/>
        <item m="1" x="752"/>
        <item m="1" x="584"/>
        <item m="1" x="780"/>
        <item m="1" x="572"/>
        <item m="1" x="1117"/>
        <item m="1" x="512"/>
        <item m="1" x="1012"/>
        <item m="1" x="626"/>
        <item m="1" x="979"/>
        <item m="1" x="814"/>
        <item m="1" x="618"/>
        <item m="1" x="1172"/>
        <item m="1" x="1111"/>
        <item m="1" x="521"/>
        <item m="1" x="875"/>
        <item m="1" x="938"/>
        <item m="1" x="790"/>
        <item m="1" x="1075"/>
        <item m="1" x="792"/>
        <item m="1" x="166"/>
        <item m="1" x="167"/>
        <item m="1" x="691"/>
        <item m="1" x="170"/>
        <item m="1" x="893"/>
        <item m="1" x="1165"/>
        <item m="1" x="1173"/>
        <item m="1" x="497"/>
        <item m="1" x="454"/>
        <item m="1" x="856"/>
        <item m="1" x="730"/>
        <item x="7"/>
        <item m="1" x="590"/>
        <item m="1" x="362"/>
        <item m="1" x="363"/>
        <item m="1" x="364"/>
        <item m="1" x="365"/>
        <item m="1" x="366"/>
        <item m="1" x="367"/>
        <item m="1" x="368"/>
        <item m="1" x="369"/>
        <item m="1" x="577"/>
        <item m="1" x="1161"/>
        <item m="1" x="556"/>
        <item m="1" x="1157"/>
        <item x="146"/>
        <item m="1" x="1067"/>
        <item m="1" x="375"/>
        <item m="1" x="376"/>
        <item m="1" x="377"/>
        <item x="137"/>
        <item m="1" x="378"/>
        <item x="136"/>
        <item m="1" x="379"/>
        <item m="1" x="380"/>
        <item m="1" x="381"/>
        <item m="1" x="1095"/>
        <item m="1" x="382"/>
        <item m="1" x="383"/>
        <item m="1" x="384"/>
        <item m="1" x="385"/>
        <item m="1" x="386"/>
        <item m="1" x="387"/>
        <item m="1" x="388"/>
        <item m="1" x="831"/>
        <item m="1" x="389"/>
        <item m="1" x="390"/>
        <item m="1" x="391"/>
        <item x="11"/>
        <item m="1" x="431"/>
        <item m="1" x="432"/>
        <item m="1" x="161"/>
        <item m="1" x="434"/>
        <item m="1" x="435"/>
        <item x="103"/>
        <item m="1" x="436"/>
        <item x="20"/>
        <item m="1" x="163"/>
        <item m="1" x="758"/>
        <item x="24"/>
        <item m="1" x="438"/>
        <item m="1" x="439"/>
        <item m="1" x="440"/>
        <item x="28"/>
        <item m="1" x="441"/>
        <item m="1" x="442"/>
        <item m="1" x="443"/>
        <item x="25"/>
        <item m="1" x="444"/>
        <item m="1" x="445"/>
        <item m="1" x="843"/>
        <item m="1" x="876"/>
        <item m="1" x="518"/>
        <item m="1" x="1020"/>
        <item m="1" x="1034"/>
        <item m="1" x="1101"/>
        <item m="1" x="481"/>
        <item m="1" x="488"/>
        <item m="1" x="1155"/>
        <item m="1" x="881"/>
        <item m="1" x="567"/>
        <item m="1" x="637"/>
        <item m="1" x="930"/>
        <item x="98"/>
        <item x="121"/>
        <item m="1" x="409"/>
        <item x="120"/>
        <item m="1" x="514"/>
        <item m="1" x="932"/>
        <item m="1" x="824"/>
        <item x="122"/>
        <item x="123"/>
        <item m="1" x="957"/>
        <item m="1" x="1081"/>
        <item m="1" x="1119"/>
        <item m="1" x="563"/>
        <item m="1" x="786"/>
        <item m="1" x="569"/>
        <item m="1" x="865"/>
        <item m="1" x="1052"/>
        <item m="1" x="660"/>
        <item m="1" x="891"/>
        <item m="1" x="1080"/>
        <item m="1" x="959"/>
        <item m="1" x="872"/>
        <item m="1" x="315"/>
        <item m="1" x="404"/>
        <item m="1" x="405"/>
        <item m="1" x="406"/>
        <item m="1" x="524"/>
        <item m="1" x="726"/>
        <item m="1" x="641"/>
        <item m="1" x="767"/>
        <item m="1" x="1051"/>
        <item m="1" x="926"/>
        <item m="1" x="549"/>
        <item m="1" x="895"/>
        <item m="1" x="606"/>
        <item m="1" x="974"/>
        <item m="1" x="1177"/>
        <item m="1" x="1103"/>
        <item m="1" x="1147"/>
        <item m="1" x="1187"/>
        <item m="1" x="650"/>
        <item m="1" x="892"/>
        <item m="1" x="566"/>
        <item m="1" x="834"/>
        <item m="1" x="882"/>
        <item m="1" x="943"/>
        <item m="1" x="805"/>
        <item m="1" x="664"/>
        <item m="1" x="874"/>
        <item m="1" x="1181"/>
        <item m="1" x="229"/>
        <item m="1" x="1098"/>
        <item m="1" x="1015"/>
        <item m="1" x="1068"/>
        <item m="1" x="1021"/>
        <item m="1" x="723"/>
        <item m="1" x="1141"/>
        <item m="1" x="1078"/>
        <item m="1" x="689"/>
        <item m="1" x="771"/>
        <item m="1" x="795"/>
        <item m="1" x="981"/>
        <item m="1" x="530"/>
        <item m="1" x="1156"/>
        <item m="1" x="770"/>
        <item m="1" x="491"/>
        <item m="1" x="1182"/>
        <item m="1" x="245"/>
        <item m="1" x="1030"/>
        <item m="1" x="570"/>
        <item m="1" x="696"/>
        <item m="1" x="769"/>
        <item m="1" x="492"/>
        <item m="1" x="614"/>
        <item m="1" x="370"/>
        <item m="1" x="371"/>
        <item m="1" x="372"/>
        <item m="1" x="373"/>
        <item m="1" x="374"/>
        <item m="1" x="355"/>
        <item m="1" x="359"/>
        <item m="1" x="360"/>
        <item m="1" x="358"/>
        <item m="1" x="820"/>
        <item m="1" x="576"/>
        <item m="1" x="597"/>
        <item m="1" x="1186"/>
        <item m="1" x="977"/>
        <item m="1" x="470"/>
        <item m="1" x="1091"/>
        <item m="1" x="749"/>
        <item m="1" x="871"/>
        <item m="1" x="659"/>
        <item m="1" x="551"/>
        <item m="1" x="351"/>
        <item m="1" x="352"/>
        <item m="1" x="392"/>
        <item m="1" x="393"/>
        <item m="1" x="394"/>
        <item m="1" x="395"/>
        <item m="1" x="396"/>
        <item m="1" x="397"/>
        <item m="1" x="398"/>
        <item m="1" x="399"/>
        <item m="1" x="400"/>
        <item m="1" x="401"/>
        <item m="1" x="402"/>
        <item m="1" x="403"/>
        <item m="1" x="446"/>
        <item m="1" x="447"/>
        <item m="1" x="448"/>
        <item m="1" x="449"/>
        <item m="1" x="450"/>
        <item m="1" x="451"/>
        <item m="1" x="414"/>
        <item m="1" x="415"/>
        <item m="1" x="416"/>
        <item m="1" x="417"/>
        <item m="1" x="418"/>
        <item m="1" x="419"/>
        <item x="113"/>
        <item x="129"/>
        <item m="1" x="421"/>
        <item m="1" x="349"/>
        <item m="1" x="422"/>
        <item m="1" x="423"/>
        <item m="1" x="424"/>
        <item m="1" x="426"/>
        <item m="1" x="427"/>
        <item m="1" x="428"/>
        <item m="1" x="429"/>
        <item m="1" x="430"/>
        <item m="1" x="437"/>
        <item m="1" x="296"/>
        <item m="1" x="297"/>
        <item m="1" x="298"/>
        <item m="1" x="299"/>
        <item m="1" x="361"/>
        <item m="1" x="407"/>
        <item m="1" x="408"/>
        <item m="1" x="410"/>
        <item m="1" x="411"/>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303"/>
        <item m="1" x="304"/>
        <item m="1" x="305"/>
        <item m="1" x="306"/>
        <item m="1" x="307"/>
        <item m="1" x="308"/>
        <item m="1" x="309"/>
        <item m="1" x="310"/>
        <item m="1" x="311"/>
        <item m="1" x="312"/>
        <item m="1" x="313"/>
        <item m="1" x="314"/>
        <item m="1" x="316"/>
        <item m="1" x="317"/>
        <item m="1" x="318"/>
        <item m="1" x="320"/>
        <item m="1" x="321"/>
        <item m="1" x="322"/>
        <item m="1" x="323"/>
        <item m="1" x="324"/>
        <item m="1" x="325"/>
        <item m="1" x="327"/>
        <item m="1" x="328"/>
        <item m="1" x="329"/>
        <item m="1" x="330"/>
        <item m="1" x="331"/>
        <item m="1" x="332"/>
        <item m="1" x="333"/>
        <item m="1" x="334"/>
        <item m="1" x="335"/>
        <item m="1" x="336"/>
        <item m="1" x="337"/>
        <item m="1" x="338"/>
        <item m="1" x="340"/>
        <item m="1" x="341"/>
        <item m="1" x="342"/>
        <item m="1" x="343"/>
        <item m="1" x="344"/>
        <item m="1" x="345"/>
        <item m="1" x="346"/>
        <item m="1" x="347"/>
        <item m="1" x="348"/>
        <item m="1" x="350"/>
        <item x="64"/>
        <item m="1" x="250"/>
        <item m="1" x="251"/>
        <item m="1" x="252"/>
        <item m="1" x="253"/>
        <item m="1" x="255"/>
        <item m="1" x="256"/>
        <item m="1" x="257"/>
        <item m="1" x="258"/>
        <item m="1" x="259"/>
        <item m="1" x="260"/>
        <item m="1" x="261"/>
        <item m="1" x="262"/>
        <item m="1" x="263"/>
        <item m="1" x="225"/>
        <item m="1" x="226"/>
        <item m="1" x="227"/>
        <item m="1" x="228"/>
        <item m="1" x="194"/>
        <item m="1" x="199"/>
        <item m="1" x="200"/>
        <item m="1" x="201"/>
        <item m="1" x="230"/>
        <item m="1" x="231"/>
        <item m="1" x="232"/>
        <item m="1" x="233"/>
        <item m="1" x="234"/>
        <item m="1" x="235"/>
        <item m="1" x="236"/>
        <item m="1" x="237"/>
        <item m="1" x="238"/>
        <item m="1" x="239"/>
        <item m="1" x="240"/>
        <item m="1" x="241"/>
        <item m="1" x="242"/>
        <item m="1" x="243"/>
        <item m="1" x="244"/>
        <item m="1" x="246"/>
        <item m="1" x="247"/>
        <item m="1" x="248"/>
        <item m="1" x="249"/>
        <item m="1" x="293"/>
        <item m="1" x="295"/>
        <item m="1" x="300"/>
        <item m="1" x="301"/>
        <item m="1" x="353"/>
        <item m="1" x="354"/>
        <item m="1" x="356"/>
        <item m="1" x="357"/>
        <item m="1" x="319"/>
        <item m="1" x="224"/>
        <item m="1" x="180"/>
        <item m="1" x="181"/>
        <item m="1" x="182"/>
        <item m="1" x="183"/>
        <item m="1" x="184"/>
        <item m="1" x="185"/>
        <item m="1" x="186"/>
        <item m="1" x="187"/>
        <item m="1" x="188"/>
        <item m="1" x="189"/>
        <item m="1" x="190"/>
        <item m="1" x="191"/>
        <item m="1" x="192"/>
        <item m="1" x="193"/>
        <item m="1" x="195"/>
        <item m="1" x="196"/>
        <item m="1" x="197"/>
        <item m="1" x="198"/>
        <item m="1" x="202"/>
        <item m="1" x="203"/>
        <item m="1" x="206"/>
        <item m="1" x="210"/>
        <item m="1" x="211"/>
        <item m="1" x="219"/>
        <item m="1" x="220"/>
        <item m="1" x="221"/>
        <item m="1" x="222"/>
        <item m="1" x="223"/>
        <item x="130"/>
        <item x="131"/>
        <item x="132"/>
        <item x="133"/>
        <item m="1" x="213"/>
        <item m="1" x="215"/>
        <item m="1" x="216"/>
        <item m="1" x="217"/>
        <item m="1" x="218"/>
        <item x="155"/>
        <item x="156"/>
        <item x="157"/>
        <item m="1" x="214"/>
        <item x="134"/>
        <item m="1" x="212"/>
        <item x="158"/>
        <item x="99"/>
        <item x="101"/>
        <item x="102"/>
        <item x="104"/>
        <item x="107"/>
        <item x="108"/>
        <item x="109"/>
        <item x="110"/>
        <item x="111"/>
        <item x="112"/>
        <item x="114"/>
        <item x="115"/>
        <item x="116"/>
        <item x="117"/>
        <item x="118"/>
        <item x="119"/>
        <item x="124"/>
        <item x="125"/>
        <item x="126"/>
        <item x="127"/>
        <item x="138"/>
        <item x="139"/>
        <item x="143"/>
        <item x="144"/>
        <item x="145"/>
        <item x="147"/>
        <item x="148"/>
        <item x="149"/>
        <item x="151"/>
        <item x="152"/>
        <item x="3"/>
        <item x="6"/>
        <item x="8"/>
        <item x="9"/>
        <item x="12"/>
        <item x="14"/>
        <item x="15"/>
        <item x="16"/>
        <item x="17"/>
        <item m="1" x="178"/>
        <item m="1" x="179"/>
        <item x="23"/>
        <item x="26"/>
        <item x="27"/>
        <item x="29"/>
        <item x="30"/>
        <item x="31"/>
        <item x="32"/>
        <item x="33"/>
        <item x="34"/>
        <item x="35"/>
        <item x="37"/>
        <item x="38"/>
        <item x="39"/>
        <item x="40"/>
        <item x="41"/>
        <item x="42"/>
        <item x="43"/>
        <item x="44"/>
        <item x="45"/>
        <item x="46"/>
        <item x="47"/>
        <item x="48"/>
        <item x="49"/>
        <item x="50"/>
        <item x="51"/>
        <item x="52"/>
        <item x="53"/>
        <item x="54"/>
        <item x="55"/>
        <item x="56"/>
        <item x="57"/>
        <item x="58"/>
        <item x="59"/>
        <item x="60"/>
        <item x="61"/>
        <item x="62"/>
        <item x="63"/>
        <item m="1" x="168"/>
        <item m="1" x="169"/>
        <item m="1" x="171"/>
        <item x="66"/>
        <item x="67"/>
        <item x="68"/>
        <item x="69"/>
        <item x="70"/>
        <item x="71"/>
        <item x="150"/>
        <item x="159"/>
        <item x="86"/>
        <item x="87"/>
        <item x="88"/>
        <item x="89"/>
        <item x="90"/>
        <item x="91"/>
        <item x="92"/>
        <item x="93"/>
        <item x="94"/>
        <item x="95"/>
        <item x="96"/>
        <item x="97"/>
        <item x="72"/>
        <item x="74"/>
        <item x="75"/>
        <item x="76"/>
        <item x="77"/>
        <item x="78"/>
        <item x="79"/>
        <item x="82"/>
        <item x="83"/>
        <item x="85"/>
        <item x="154"/>
        <item m="1" x="176"/>
        <item m="1" x="177"/>
        <item m="1" x="162"/>
        <item x="135"/>
        <item x="142"/>
        <item m="1" x="173"/>
        <item x="141"/>
        <item m="1" x="174"/>
        <item x="22"/>
        <item x="65"/>
        <item x="14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91"/>
        <item m="1" x="2681"/>
        <item m="1" x="2682"/>
        <item m="1" x="2683"/>
        <item m="1" x="2684"/>
        <item m="1" x="2685"/>
        <item m="1" x="2686"/>
        <item m="1" x="2687"/>
        <item m="1" x="2688"/>
        <item m="1" x="2689"/>
        <item m="1" x="2690"/>
        <item m="1" x="492"/>
        <item m="1" x="2691"/>
        <item m="1" x="2692"/>
        <item m="1" x="4836"/>
        <item m="1" x="4837"/>
        <item m="1" x="4838"/>
        <item m="1" x="4839"/>
        <item m="1" x="4840"/>
        <item m="1" x="496"/>
        <item m="1" x="497"/>
        <item m="1" x="6760"/>
        <item m="1" x="548"/>
        <item m="1" x="547"/>
        <item m="1" x="498"/>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8"/>
        <item m="1" x="7990"/>
        <item m="1" x="7991"/>
        <item m="1" x="7992"/>
        <item m="1" x="7993"/>
        <item m="1" x="7994"/>
        <item m="1" x="7995"/>
        <item m="1" x="7996"/>
        <item m="1" x="7997"/>
        <item m="1" x="7998"/>
        <item m="1" x="7999"/>
        <item m="1" x="7987"/>
        <item m="1" x="7989"/>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3"/>
        <item m="1" x="7437"/>
        <item m="1" x="7506"/>
        <item m="1" x="7507"/>
        <item m="1" x="7417"/>
        <item m="1" x="7508"/>
        <item m="1" x="7509"/>
        <item m="1" x="7510"/>
        <item m="1" x="7421"/>
        <item m="1" x="7511"/>
        <item m="1" x="7512"/>
        <item m="1" x="7513"/>
        <item m="1" x="7415"/>
        <item m="1" x="7514"/>
        <item m="1" x="7426"/>
        <item m="1" x="7515"/>
        <item m="1" x="7516"/>
        <item m="1" x="7430"/>
        <item m="1" x="7517"/>
        <item m="1" x="7439"/>
        <item m="1" x="7518"/>
        <item m="1" x="7434"/>
        <item m="1" x="7519"/>
        <item m="1" x="7520"/>
        <item m="1" x="7521"/>
        <item m="1" x="7435"/>
        <item m="1" x="7522"/>
        <item m="1" x="7523"/>
        <item m="1" x="7524"/>
        <item m="1" x="7525"/>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526"/>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480"/>
        <item m="1" x="7481"/>
        <item m="1" x="7410"/>
        <item m="1" x="7411"/>
        <item m="1" x="7412"/>
        <item m="1" x="7414"/>
        <item m="1" x="7416"/>
        <item m="1" x="7418"/>
        <item m="1" x="7419"/>
        <item m="1" x="7420"/>
        <item m="1" x="7422"/>
        <item m="1" x="7423"/>
        <item m="1" x="7424"/>
        <item m="1" x="7425"/>
        <item m="1" x="7427"/>
        <item m="1" x="7428"/>
        <item m="1" x="7429"/>
        <item m="1" x="7431"/>
        <item m="1" x="7432"/>
        <item m="1" x="7433"/>
        <item m="1" x="7436"/>
        <item m="1" x="7438"/>
        <item m="1" x="7350"/>
        <item m="1" x="7351"/>
        <item m="1" x="7207"/>
        <item m="1" x="7352"/>
        <item m="1" x="7353"/>
        <item m="1" x="7354"/>
        <item m="1" x="7211"/>
        <item m="1" x="7355"/>
        <item m="1" x="7214"/>
        <item m="1" x="7221"/>
        <item m="1" x="7223"/>
        <item m="1" x="7224"/>
        <item m="1" x="7216"/>
        <item m="1" x="7312"/>
        <item m="1" x="7220"/>
        <item m="1" x="7356"/>
        <item m="1" x="7225"/>
        <item m="1" x="7204"/>
        <item m="1" x="7205"/>
        <item m="1" x="7206"/>
        <item m="1" x="7229"/>
        <item m="1" x="7226"/>
        <item m="1" x="7357"/>
        <item m="1" x="7238"/>
        <item m="1" x="7358"/>
        <item m="1" x="7230"/>
        <item m="1" x="7231"/>
        <item m="1" x="7232"/>
        <item m="1" x="7233"/>
        <item m="1" x="7234"/>
        <item m="1" x="7332"/>
        <item m="1" x="7237"/>
        <item m="1" x="7359"/>
        <item m="1" x="7360"/>
        <item m="1" x="7242"/>
        <item m="1" x="7240"/>
        <item m="1" x="7215"/>
        <item m="1" x="7208"/>
        <item m="1" x="7249"/>
        <item m="1" x="7210"/>
        <item m="1" x="7244"/>
        <item m="1" x="7245"/>
        <item m="1" x="7246"/>
        <item m="1" x="7247"/>
        <item m="1" x="7248"/>
        <item m="1" x="7361"/>
        <item m="1" x="7362"/>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3"/>
        <item m="1" x="7314"/>
        <item m="1" x="7315"/>
        <item m="1" x="7227"/>
        <item m="1" x="7316"/>
        <item m="1" x="7317"/>
        <item m="1" x="7318"/>
        <item m="1" x="7212"/>
        <item m="1" x="7319"/>
        <item m="1" x="7320"/>
        <item m="1" x="7321"/>
        <item m="1" x="7322"/>
        <item m="1" x="7323"/>
        <item m="1" x="7324"/>
        <item m="1" x="7325"/>
        <item m="1" x="7326"/>
        <item m="1" x="7327"/>
        <item m="1" x="7328"/>
        <item m="1" x="7329"/>
        <item m="1" x="7228"/>
        <item m="1" x="7330"/>
        <item m="1" x="7331"/>
        <item m="1" x="7241"/>
        <item m="1" x="7333"/>
        <item m="1" x="7334"/>
        <item m="1" x="7335"/>
        <item m="1" x="7336"/>
        <item m="1" x="7337"/>
        <item m="1" x="7338"/>
        <item m="1" x="7339"/>
        <item m="1" x="7340"/>
        <item m="1" x="7341"/>
        <item m="1" x="7342"/>
        <item m="1" x="7343"/>
        <item m="1" x="7344"/>
        <item m="1" x="7345"/>
        <item m="1" x="7346"/>
        <item m="1" x="7347"/>
        <item m="1" x="7348"/>
        <item m="1" x="7349"/>
        <item m="1" x="7235"/>
        <item m="1" x="7236"/>
        <item m="1" x="7239"/>
        <item m="1" x="7243"/>
        <item m="1" x="7209"/>
        <item m="1" x="7250"/>
        <item m="1" x="7213"/>
        <item m="1" x="7217"/>
        <item m="1" x="7218"/>
        <item m="1" x="7219"/>
        <item m="1" x="7222"/>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1"/>
        <item m="1" x="6762"/>
        <item m="1" x="6763"/>
        <item m="1" x="6764"/>
        <item m="1" x="6765"/>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495"/>
        <item m="1" x="6615"/>
        <item m="1" x="6616"/>
        <item m="1" x="6617"/>
        <item m="1" x="6618"/>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72"/>
        <item m="1" x="6413"/>
        <item m="1" x="6414"/>
        <item m="1" x="6415"/>
        <item m="1" x="6416"/>
        <item m="1" x="6417"/>
        <item m="1" x="6418"/>
        <item m="1" x="6419"/>
        <item m="1" x="6420"/>
        <item m="1" x="6421"/>
        <item m="1" x="6422"/>
        <item m="1" x="6423"/>
        <item m="1" x="6424"/>
        <item m="1" x="6425"/>
        <item m="1" x="6471"/>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325"/>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278"/>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77"/>
        <item m="1" x="6178"/>
        <item m="1" x="6136"/>
        <item m="1" x="6137"/>
        <item m="1" x="6138"/>
        <item m="1" x="6135"/>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6"/>
        <item m="1" x="6175"/>
        <item m="1" x="5892"/>
        <item m="1" x="5893"/>
        <item m="1" x="5894"/>
        <item m="1" x="5895"/>
        <item m="1" x="5896"/>
        <item m="1" x="5897"/>
        <item m="1" x="5898"/>
        <item m="1" x="5899"/>
        <item m="1" x="5692"/>
        <item m="1" x="5900"/>
        <item m="1" x="5684"/>
        <item m="1" x="5901"/>
        <item m="1" x="5902"/>
        <item m="1" x="5903"/>
        <item m="1" x="5904"/>
        <item m="1" x="5905"/>
        <item m="1" x="5906"/>
        <item m="1" x="5907"/>
        <item m="1" x="5908"/>
        <item m="1" x="5909"/>
        <item m="1" x="5859"/>
        <item m="1" x="5910"/>
        <item m="1" x="5911"/>
        <item m="1" x="5912"/>
        <item m="1" x="5913"/>
        <item m="1" x="5914"/>
        <item m="1" x="5915"/>
        <item m="1" x="5916"/>
        <item m="1" x="5917"/>
        <item m="1" x="5918"/>
        <item m="1" x="5919"/>
        <item m="1" x="5920"/>
        <item m="1" x="5921"/>
        <item m="1" x="563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638"/>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2"/>
        <item m="1" x="5633"/>
        <item m="1" x="5634"/>
        <item m="1" x="5635"/>
        <item m="1" x="5636"/>
        <item m="1" x="5637"/>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5"/>
        <item m="1" x="5686"/>
        <item m="1" x="5687"/>
        <item m="1" x="5688"/>
        <item m="1" x="5689"/>
        <item m="1" x="5690"/>
        <item m="1" x="5691"/>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244"/>
        <item m="1" x="5245"/>
        <item m="1" x="5246"/>
        <item m="1" x="5247"/>
        <item m="1" x="5248"/>
        <item m="1" x="5249"/>
        <item m="1" x="5250"/>
        <item m="1" x="5251"/>
        <item m="1" x="5252"/>
        <item m="1" x="5575"/>
        <item m="1" x="5257"/>
        <item m="1" x="5576"/>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255"/>
        <item m="1" x="5254"/>
        <item m="1" x="5253"/>
        <item m="1" x="5260"/>
        <item m="1" x="5259"/>
        <item m="1" x="5258"/>
        <item m="1" x="5256"/>
        <item m="1" x="5263"/>
        <item m="1" x="5262"/>
        <item m="1" x="5261"/>
        <item m="1" x="5298"/>
        <item m="1" x="5299"/>
        <item m="1" x="5300"/>
        <item m="1" x="5301"/>
        <item m="1" x="5302"/>
        <item m="1" x="5303"/>
        <item m="1" x="5304"/>
        <item m="1" x="5305"/>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4475"/>
        <item m="1" x="4476"/>
        <item m="1" x="4477"/>
        <item m="1" x="4478"/>
        <item m="1" x="4479"/>
        <item m="1" x="4480"/>
        <item m="1" x="4481"/>
        <item m="1" x="4482"/>
        <item m="1" x="4823"/>
        <item m="1" x="4824"/>
        <item m="1" x="4825"/>
        <item m="1" x="4826"/>
        <item m="1" x="4827"/>
        <item m="1" x="4828"/>
        <item m="1" x="4829"/>
        <item m="1" x="4830"/>
        <item m="1" x="4831"/>
        <item m="1" x="4492"/>
        <item m="1" x="4832"/>
        <item m="1" x="4833"/>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910"/>
        <item m="1" x="4911"/>
        <item m="1" x="4912"/>
        <item m="1" x="4913"/>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834"/>
        <item m="1" x="4835"/>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483"/>
        <item m="1" x="4484"/>
        <item m="1" x="4485"/>
        <item m="1" x="4486"/>
        <item m="1" x="4487"/>
        <item m="1" x="4488"/>
        <item m="1" x="4489"/>
        <item m="1" x="4490"/>
        <item m="1" x="4491"/>
        <item m="1" x="4493"/>
        <item m="1" x="4494"/>
        <item m="1" x="4527"/>
        <item m="1" x="4528"/>
        <item m="1" x="542"/>
        <item m="1" x="543"/>
        <item m="1" x="544"/>
        <item m="1" x="545"/>
        <item m="1" x="546"/>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210"/>
        <item m="1" x="3211"/>
        <item m="1" x="3212"/>
        <item m="1" x="3213"/>
        <item m="1" x="3214"/>
        <item m="1" x="3215"/>
        <item m="1" x="3216"/>
        <item m="1" x="3217"/>
        <item m="1" x="3218"/>
        <item m="1" x="3219"/>
        <item m="1" x="3220"/>
        <item m="1" x="3221"/>
        <item m="1" x="3222"/>
        <item m="1" x="3223"/>
        <item m="1" x="3224"/>
        <item m="1" x="3225"/>
        <item m="1" x="3070"/>
        <item m="1" x="3226"/>
        <item m="1" x="3072"/>
        <item m="1" x="3227"/>
        <item m="1" x="3074"/>
        <item m="1" x="3228"/>
        <item m="1" x="3076"/>
        <item m="1" x="3229"/>
        <item m="1" x="3078"/>
        <item m="1" x="3230"/>
        <item m="1" x="3231"/>
        <item m="1" x="3081"/>
        <item m="1" x="3082"/>
        <item m="1" x="3232"/>
        <item m="1" x="3084"/>
        <item m="1" x="3085"/>
        <item m="1" x="3233"/>
        <item m="1" x="3087"/>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170"/>
        <item m="1" x="3316"/>
        <item m="1" x="3317"/>
        <item m="1" x="3173"/>
        <item m="1" x="3318"/>
        <item m="1" x="3175"/>
        <item m="1" x="3319"/>
        <item m="1" x="3177"/>
        <item m="1" x="3320"/>
        <item m="1" x="3179"/>
        <item m="1" x="3321"/>
        <item m="1" x="3181"/>
        <item m="1" x="3322"/>
        <item m="1" x="3183"/>
        <item m="1" x="3184"/>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054"/>
        <item m="1" x="3055"/>
        <item m="1" x="3056"/>
        <item m="1" x="3057"/>
        <item m="1" x="3058"/>
        <item m="1" x="3059"/>
        <item m="1" x="3060"/>
        <item m="1" x="3061"/>
        <item m="1" x="3062"/>
        <item m="1" x="3063"/>
        <item m="1" x="3064"/>
        <item m="1" x="3065"/>
        <item m="1" x="3066"/>
        <item m="1" x="3067"/>
        <item m="1" x="3068"/>
        <item m="1" x="3069"/>
        <item m="1" x="3071"/>
        <item m="1" x="3073"/>
        <item m="1" x="3075"/>
        <item m="1" x="3077"/>
        <item m="1" x="3079"/>
        <item m="1" x="3080"/>
        <item m="1" x="3083"/>
        <item m="1" x="3086"/>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1"/>
        <item m="1" x="3172"/>
        <item m="1" x="3174"/>
        <item m="1" x="3176"/>
        <item m="1" x="3178"/>
        <item m="1" x="3180"/>
        <item m="1" x="3182"/>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2862"/>
        <item m="1" x="2863"/>
        <item m="1" x="2864"/>
        <item m="1" x="2865"/>
        <item m="1" x="2866"/>
        <item m="1" x="2867"/>
        <item m="1" x="2868"/>
        <item m="1" x="2869"/>
        <item m="1" x="2870"/>
        <item m="1" x="2871"/>
        <item m="1" x="2872"/>
        <item m="1" x="2873"/>
        <item m="1" x="2874"/>
        <item m="1" x="2875"/>
        <item m="1" x="2876"/>
        <item m="1" x="2877"/>
        <item m="1" x="3020"/>
        <item m="1" x="3021"/>
        <item m="1" x="3022"/>
        <item m="1" x="3023"/>
        <item m="1" x="3024"/>
        <item m="1" x="3025"/>
        <item m="1" x="3026"/>
        <item m="1" x="3027"/>
        <item m="1" x="3028"/>
        <item m="1" x="3029"/>
        <item m="1" x="3030"/>
        <item m="1" x="3031"/>
        <item m="1" x="3032"/>
        <item m="1" x="3033"/>
        <item m="1" x="3034"/>
        <item m="1" x="3035"/>
        <item m="1" x="3036"/>
        <item m="1" x="3037"/>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4"/>
        <item m="1" x="2945"/>
        <item m="1" x="2946"/>
        <item m="1" x="2947"/>
        <item m="1" x="2948"/>
        <item m="1" x="2949"/>
        <item m="1" x="2950"/>
        <item m="1" x="2951"/>
        <item m="1" x="2952"/>
        <item m="1" x="2953"/>
        <item m="1" x="2954"/>
        <item m="1" x="2955"/>
        <item m="1" x="2941"/>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3038"/>
        <item m="1" x="3039"/>
        <item m="1" x="3040"/>
        <item m="1" x="3041"/>
        <item m="1" x="3042"/>
        <item m="1" x="3043"/>
        <item m="1" x="3044"/>
        <item m="1" x="3045"/>
        <item m="1" x="3046"/>
        <item m="1" x="3047"/>
        <item m="1" x="3048"/>
        <item m="1" x="3049"/>
        <item m="1" x="3050"/>
        <item m="1" x="3051"/>
        <item m="1" x="3052"/>
        <item m="1" x="2995"/>
        <item m="1" x="2996"/>
        <item m="1" x="2997"/>
        <item m="1" x="2998"/>
        <item m="1" x="2999"/>
        <item m="1" x="3000"/>
        <item m="1" x="3001"/>
        <item m="1" x="3002"/>
        <item m="1" x="3003"/>
        <item m="1" x="3004"/>
        <item m="1" x="3005"/>
        <item m="1" x="3006"/>
        <item m="1" x="3007"/>
        <item m="1" x="3008"/>
        <item m="1" x="3009"/>
        <item m="1" x="2942"/>
        <item m="1" x="3010"/>
        <item m="1" x="3011"/>
        <item m="1" x="3012"/>
        <item m="1" x="3013"/>
        <item m="1" x="3014"/>
        <item m="1" x="3015"/>
        <item m="1" x="3016"/>
        <item m="1" x="3017"/>
        <item m="1" x="3053"/>
        <item m="1" x="2878"/>
        <item m="1" x="2879"/>
        <item m="1" x="2880"/>
        <item m="1" x="2881"/>
        <item m="1" x="2882"/>
        <item m="1" x="2883"/>
        <item m="1" x="2884"/>
        <item m="1" x="2885"/>
        <item m="1" x="2886"/>
        <item m="1" x="2887"/>
        <item m="1" x="2888"/>
        <item m="1" x="2889"/>
        <item m="1" x="2890"/>
        <item m="1" x="2891"/>
        <item m="1" x="2892"/>
        <item m="1" x="2893"/>
        <item m="1" x="2894"/>
        <item m="1" x="2895"/>
        <item m="1" x="2943"/>
        <item m="1" x="2980"/>
        <item m="1" x="2981"/>
        <item m="1" x="2982"/>
        <item m="1" x="2983"/>
        <item m="1" x="2984"/>
        <item m="1" x="2985"/>
        <item m="1" x="2986"/>
        <item m="1" x="2987"/>
        <item m="1" x="2988"/>
        <item m="1" x="2989"/>
        <item m="1" x="2990"/>
        <item m="1" x="2991"/>
        <item m="1" x="2992"/>
        <item m="1" x="2993"/>
        <item m="1" x="2994"/>
        <item m="1" x="3018"/>
        <item m="1" x="3019"/>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61"/>
        <item m="1" x="2818"/>
        <item m="1" x="2819"/>
        <item m="1" x="2820"/>
        <item m="1" x="2821"/>
        <item m="1" x="2822"/>
        <item m="1" x="2823"/>
        <item m="1" x="2824"/>
        <item m="1" x="2825"/>
        <item m="1" x="2854"/>
        <item m="1" x="2855"/>
        <item m="1" x="2826"/>
        <item m="1" x="2856"/>
        <item m="1" x="2857"/>
        <item m="1" x="2829"/>
        <item m="1" x="2858"/>
        <item m="1" x="2859"/>
        <item m="1" x="2836"/>
        <item m="1" x="2837"/>
        <item m="1" x="2833"/>
        <item m="1" x="2844"/>
        <item m="1" x="2835"/>
        <item m="1" x="2838"/>
        <item m="1" x="2834"/>
        <item m="1" x="2842"/>
        <item m="1" x="2860"/>
        <item m="1" x="2845"/>
        <item m="1" x="2846"/>
        <item m="1" x="2847"/>
        <item m="1" x="2848"/>
        <item m="1" x="2849"/>
        <item m="1" x="2850"/>
        <item m="1" x="2851"/>
        <item m="1" x="2852"/>
        <item m="1" x="2817"/>
        <item m="1" x="2827"/>
        <item m="1" x="2828"/>
        <item m="1" x="2830"/>
        <item m="1" x="2831"/>
        <item m="1" x="2832"/>
        <item m="1" x="2839"/>
        <item m="1" x="2840"/>
        <item m="1" x="2841"/>
        <item m="1" x="2843"/>
        <item m="1" x="2853"/>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482"/>
        <item m="1" x="483"/>
        <item m="1" x="484"/>
        <item m="1" x="485"/>
        <item m="1" x="486"/>
        <item m="1" x="487"/>
        <item m="1" x="488"/>
        <item m="1" x="489"/>
        <item m="1" x="490"/>
        <item m="1" x="491"/>
        <item m="1" x="493"/>
        <item m="1" x="494"/>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7"/>
        <item m="1" x="2218"/>
        <item m="1" x="2219"/>
        <item m="1" x="2220"/>
        <item m="1" x="2221"/>
        <item m="1" x="2222"/>
        <item m="1" x="2223"/>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216"/>
        <item m="1" x="2318"/>
        <item m="1" x="2319"/>
        <item m="1" x="2320"/>
        <item m="1" x="2321"/>
        <item m="1" x="2322"/>
        <item m="1" x="2323"/>
        <item m="1" x="2224"/>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177"/>
        <item m="1" x="2178"/>
        <item m="1" x="2179"/>
        <item m="1" x="2348"/>
        <item m="1" x="2349"/>
        <item m="1" x="2350"/>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82"/>
        <item m="1" x="2173"/>
        <item m="1" x="2183"/>
        <item m="1" x="2184"/>
        <item m="1" x="2185"/>
        <item m="1" x="2169"/>
        <item m="1" x="2168"/>
        <item m="1" x="2130"/>
        <item m="1" x="2131"/>
        <item m="1" x="2132"/>
        <item m="1" x="2186"/>
        <item m="1" x="2134"/>
        <item m="1" x="2187"/>
        <item m="1" x="2151"/>
        <item m="1" x="2137"/>
        <item m="1" x="2138"/>
        <item m="1" x="2139"/>
        <item m="1" x="2140"/>
        <item m="1" x="2141"/>
        <item m="1" x="2142"/>
        <item m="1" x="2143"/>
        <item m="1" x="2144"/>
        <item m="1" x="2145"/>
        <item m="1" x="2146"/>
        <item m="1" x="2147"/>
        <item m="1" x="2148"/>
        <item m="1" x="2149"/>
        <item m="1" x="2150"/>
        <item m="1" x="2152"/>
        <item m="1" x="2153"/>
        <item m="1" x="2154"/>
        <item m="1" x="2155"/>
        <item m="1" x="2156"/>
        <item m="1" x="2157"/>
        <item m="1" x="2158"/>
        <item m="1" x="2159"/>
        <item m="1" x="2160"/>
        <item m="1" x="2161"/>
        <item m="1" x="2162"/>
        <item m="1" x="2163"/>
        <item m="1" x="2164"/>
        <item m="1" x="2165"/>
        <item m="1" x="2166"/>
        <item m="1" x="2167"/>
        <item m="1" x="2170"/>
        <item m="1" x="2171"/>
        <item m="1" x="2172"/>
        <item m="1" x="2174"/>
        <item m="1" x="2136"/>
        <item m="1" x="2175"/>
        <item m="1" x="2176"/>
        <item m="1" x="2180"/>
        <item m="1" x="2188"/>
        <item m="1" x="2181"/>
        <item x="182"/>
        <item m="1" x="2124"/>
        <item m="1" x="2125"/>
        <item m="1" x="2126"/>
        <item m="1" x="2127"/>
        <item m="1" x="2128"/>
        <item m="1" x="2129"/>
        <item m="1" x="2133"/>
        <item m="1" x="2135"/>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1679"/>
        <item m="1" x="1680"/>
        <item m="1" x="1681"/>
        <item m="1" x="1682"/>
        <item m="1" x="1683"/>
        <item m="1" x="1684"/>
        <item m="1" x="1846"/>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931"/>
        <item m="1" x="1847"/>
        <item m="1" x="1685"/>
        <item m="1" x="1473"/>
        <item m="1" x="1474"/>
        <item m="1" x="1475"/>
        <item m="1" x="1476"/>
        <item m="1" x="1477"/>
        <item m="1" x="1478"/>
        <item m="1" x="1678"/>
        <item m="1" x="1480"/>
        <item m="1" x="1481"/>
        <item m="1" x="1482"/>
        <item m="1" x="1483"/>
        <item m="1" x="1484"/>
        <item m="1" x="1485"/>
        <item m="1" x="1486"/>
        <item m="1" x="1487"/>
        <item m="1" x="1488"/>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660"/>
        <item m="1" x="1661"/>
        <item m="1" x="1662"/>
        <item m="1" x="1663"/>
        <item m="1" x="1664"/>
        <item m="1" x="1665"/>
        <item m="1" x="1666"/>
        <item m="1" x="1667"/>
        <item m="1" x="1668"/>
        <item m="1" x="1669"/>
        <item m="1" x="1670"/>
        <item m="1" x="1671"/>
        <item m="1" x="1672"/>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73"/>
        <item m="1" x="1674"/>
        <item m="1" x="1675"/>
        <item m="1" x="1676"/>
        <item m="1" x="1638"/>
        <item m="1" x="1677"/>
        <item m="1" x="1479"/>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94"/>
        <item m="1" x="1595"/>
        <item m="1" x="1596"/>
        <item m="1" x="1597"/>
        <item m="1" x="1598"/>
        <item m="1" x="1599"/>
        <item m="1" x="1600"/>
        <item m="1" x="1601"/>
        <item m="1" x="1602"/>
        <item m="1" x="1603"/>
        <item m="1" x="1604"/>
        <item m="1" x="1605"/>
        <item m="1" x="1606"/>
        <item m="1" x="1634"/>
        <item m="1" x="1635"/>
        <item m="1" x="1636"/>
        <item m="1" x="1637"/>
        <item m="1" x="1639"/>
        <item m="1" x="1268"/>
        <item m="1" x="1269"/>
        <item m="1" x="1270"/>
        <item m="1" x="1271"/>
        <item m="1" x="1272"/>
        <item m="1" x="1273"/>
        <item m="1" x="1274"/>
        <item m="1" x="1275"/>
        <item m="1" x="1276"/>
        <item m="1" x="1277"/>
        <item m="1" x="1278"/>
        <item m="1" x="1279"/>
        <item m="1" x="1280"/>
        <item m="1" x="1281"/>
        <item m="1" x="1282"/>
        <item m="1" x="1283"/>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455"/>
        <item m="1" x="1456"/>
        <item m="1" x="1457"/>
        <item m="1" x="1458"/>
        <item m="1" x="1459"/>
        <item m="1" x="1460"/>
        <item m="1" x="1461"/>
        <item m="1" x="1462"/>
        <item m="1" x="1463"/>
        <item m="1" x="1464"/>
        <item m="1" x="1465"/>
        <item m="1" x="1466"/>
        <item m="1" x="1467"/>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68"/>
        <item m="1" x="1469"/>
        <item m="1" x="1470"/>
        <item m="1" x="1471"/>
        <item m="1" x="1433"/>
        <item m="1" x="1472"/>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89"/>
        <item m="1" x="1390"/>
        <item m="1" x="1391"/>
        <item m="1" x="1392"/>
        <item m="1" x="1393"/>
        <item m="1" x="1394"/>
        <item m="1" x="1395"/>
        <item m="1" x="1396"/>
        <item m="1" x="1397"/>
        <item m="1" x="1398"/>
        <item m="1" x="1399"/>
        <item m="1" x="1400"/>
        <item m="1" x="1401"/>
        <item m="1" x="1429"/>
        <item m="1" x="1430"/>
        <item m="1" x="1431"/>
        <item m="1" x="1432"/>
        <item m="1" x="1434"/>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6"/>
        <item m="1" x="1267"/>
        <item m="1" x="1265"/>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556"/>
        <item m="1" x="362"/>
        <item m="1" x="363"/>
        <item m="1" x="364"/>
        <item m="1" x="365"/>
        <item m="1" x="366"/>
        <item m="1" x="367"/>
        <item m="1" x="555"/>
        <item m="1" x="369"/>
        <item m="1" x="370"/>
        <item m="1" x="371"/>
        <item m="1" x="372"/>
        <item m="1" x="373"/>
        <item m="1" x="374"/>
        <item m="1" x="375"/>
        <item m="1" x="376"/>
        <item m="1" x="377"/>
        <item m="1" x="558"/>
        <item m="1" x="559"/>
        <item m="1" x="560"/>
        <item m="1" x="561"/>
        <item m="1" x="562"/>
        <item m="1" x="563"/>
        <item m="1" x="564"/>
        <item m="1" x="565"/>
        <item m="1" x="566"/>
        <item m="1" x="567"/>
        <item m="1" x="568"/>
        <item m="1" x="569"/>
        <item m="1" x="570"/>
        <item m="1" x="571"/>
        <item m="1" x="572"/>
        <item m="1" x="573"/>
        <item m="1" x="574"/>
        <item m="1" x="575"/>
        <item m="1" x="576"/>
        <item m="1" x="57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594"/>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578"/>
        <item m="1" x="579"/>
        <item m="1" x="580"/>
        <item m="1" x="581"/>
        <item m="1" x="582"/>
        <item m="1" x="583"/>
        <item m="1" x="584"/>
        <item m="1" x="585"/>
        <item m="1" x="586"/>
        <item m="1" x="587"/>
        <item m="1" x="588"/>
        <item m="1" x="589"/>
        <item m="1" x="590"/>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91"/>
        <item m="1" x="592"/>
        <item m="1" x="553"/>
        <item m="1" x="593"/>
        <item m="1" x="419"/>
        <item m="1" x="557"/>
        <item m="1" x="551"/>
        <item m="1" x="378"/>
        <item m="1" x="379"/>
        <item m="1" x="380"/>
        <item m="1" x="381"/>
        <item m="1" x="382"/>
        <item m="1" x="383"/>
        <item m="1" x="384"/>
        <item m="1" x="385"/>
        <item m="1" x="386"/>
        <item m="1" x="387"/>
        <item m="1" x="388"/>
        <item m="1" x="389"/>
        <item m="1" x="390"/>
        <item m="1" x="391"/>
        <item m="1" x="392"/>
        <item m="1" x="393"/>
        <item m="1" x="394"/>
        <item m="1" x="395"/>
        <item m="1" x="396"/>
        <item m="1" x="397"/>
        <item m="1" x="499"/>
        <item m="1" x="500"/>
        <item m="1" x="501"/>
        <item m="1" x="502"/>
        <item m="1" x="503"/>
        <item m="1" x="504"/>
        <item m="1" x="505"/>
        <item m="1" x="506"/>
        <item m="1" x="507"/>
        <item m="1" x="508"/>
        <item m="1" x="509"/>
        <item m="1" x="510"/>
        <item m="1" x="511"/>
        <item m="1" x="549"/>
        <item m="1" x="550"/>
        <item m="1" x="552"/>
        <item m="1" x="554"/>
        <item m="1" x="368"/>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x="114"/>
        <item x="115"/>
        <item x="116"/>
        <item x="117"/>
        <item x="118"/>
        <item x="119"/>
        <item x="120"/>
        <item x="121"/>
        <item x="122"/>
        <item x="123"/>
        <item x="124"/>
        <item x="125"/>
        <item x="126"/>
        <item x="127"/>
        <item x="128"/>
        <item x="129"/>
        <item x="130"/>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x="174"/>
        <item x="175"/>
        <item x="176"/>
        <item x="177"/>
        <item x="178"/>
        <item x="179"/>
        <item x="180"/>
        <item m="1" x="355"/>
        <item m="1" x="356"/>
        <item m="1" x="357"/>
        <item m="1" x="358"/>
        <item m="1" x="359"/>
        <item m="1" x="360"/>
        <item m="1" x="361"/>
        <item x="1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81"/>
        <item x="183"/>
        <item x="184"/>
        <item x="185"/>
        <item x="186"/>
        <item x="187"/>
        <item x="188"/>
        <item x="189"/>
      </items>
      <extLst>
        <ext xmlns:x14="http://schemas.microsoft.com/office/spreadsheetml/2009/9/main" uri="{2946ED86-A175-432a-8AC1-64E0C546D7DE}">
          <x14:pivotField fillDownLabels="1"/>
        </ext>
      </extLst>
    </pivotField>
    <pivotField axis="axisRow" compact="0" outline="0" showAll="0" defaultSubtotal="0">
      <items count="8000">
        <item x="261"/>
        <item m="1" x="3716"/>
        <item m="1" x="3717"/>
        <item m="1" x="3718"/>
        <item m="1" x="3719"/>
        <item m="1" x="3720"/>
        <item m="1" x="3721"/>
        <item m="1" x="3722"/>
        <item m="1" x="3723"/>
        <item m="1" x="3724"/>
        <item m="1" x="3725"/>
        <item m="1" x="660"/>
        <item m="1" x="3726"/>
        <item m="1" x="3727"/>
        <item m="1" x="3728"/>
        <item m="1" x="6369"/>
        <item m="1" x="6370"/>
        <item m="1" x="6371"/>
        <item m="1" x="6372"/>
        <item m="1" x="6373"/>
        <item m="1" x="665"/>
        <item m="1" x="666"/>
        <item m="1" x="668"/>
        <item m="1" x="743"/>
        <item m="1" x="742"/>
        <item m="1" x="667"/>
        <item m="1" x="664"/>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970"/>
        <item m="1" x="7971"/>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839"/>
        <item m="1" x="7840"/>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7"/>
        <item m="1" x="7838"/>
        <item m="1" x="7774"/>
        <item m="1" x="7775"/>
        <item m="1" x="7835"/>
        <item m="1" x="7836"/>
        <item m="1" x="7442"/>
        <item m="1" x="7443"/>
        <item m="1" x="7444"/>
        <item m="1" x="7445"/>
        <item m="1" x="7446"/>
        <item m="1" x="7447"/>
        <item m="1" x="7448"/>
        <item m="1" x="7449"/>
        <item m="1" x="7242"/>
        <item m="1" x="7450"/>
        <item m="1" x="7451"/>
        <item m="1" x="7452"/>
        <item m="1" x="7453"/>
        <item m="1" x="7454"/>
        <item m="1" x="7455"/>
        <item m="1" x="7456"/>
        <item m="1" x="7457"/>
        <item m="1" x="7458"/>
        <item m="1" x="7459"/>
        <item m="1" x="7460"/>
        <item m="1" x="7461"/>
        <item m="1" x="7462"/>
        <item m="1" x="7463"/>
        <item m="1" x="7464"/>
        <item m="1" x="7465"/>
        <item m="1" x="7466"/>
        <item m="1" x="7409"/>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179"/>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186"/>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234"/>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80"/>
        <item m="1" x="7181"/>
        <item m="1" x="7182"/>
        <item m="1" x="7183"/>
        <item m="1" x="7184"/>
        <item m="1" x="7185"/>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5"/>
        <item m="1" x="7236"/>
        <item m="1" x="7237"/>
        <item m="1" x="7238"/>
        <item m="1" x="7239"/>
        <item m="1" x="7240"/>
        <item m="1" x="7241"/>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6785"/>
        <item m="1" x="6786"/>
        <item m="1" x="6787"/>
        <item m="1" x="6788"/>
        <item m="1" x="6789"/>
        <item m="1" x="6790"/>
        <item m="1" x="6791"/>
        <item m="1" x="6792"/>
        <item m="1" x="6793"/>
        <item m="1" x="7122"/>
        <item m="1" x="6798"/>
        <item m="1" x="7123"/>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6796"/>
        <item m="1" x="6795"/>
        <item m="1" x="6794"/>
        <item m="1" x="6801"/>
        <item m="1" x="6800"/>
        <item m="1" x="6799"/>
        <item m="1" x="6797"/>
        <item m="1" x="6804"/>
        <item m="1" x="6803"/>
        <item m="1" x="6802"/>
        <item m="1" x="6840"/>
        <item m="1" x="6841"/>
        <item m="1" x="6842"/>
        <item m="1" x="6843"/>
        <item m="1" x="6844"/>
        <item m="1" x="6845"/>
        <item m="1" x="6846"/>
        <item m="1" x="6847"/>
        <item m="1" x="6925"/>
        <item m="1" x="6926"/>
        <item m="1" x="692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001"/>
        <item m="1" x="6002"/>
        <item m="1" x="6003"/>
        <item m="1" x="6004"/>
        <item m="1" x="6005"/>
        <item m="1" x="6006"/>
        <item m="1" x="6007"/>
        <item m="1" x="6008"/>
        <item m="1" x="6356"/>
        <item m="1" x="6357"/>
        <item m="1" x="6358"/>
        <item m="1" x="6359"/>
        <item m="1" x="6360"/>
        <item m="1" x="6361"/>
        <item m="1" x="6362"/>
        <item m="1" x="6363"/>
        <item m="1" x="6364"/>
        <item m="1" x="6018"/>
        <item m="1" x="6365"/>
        <item m="1" x="6366"/>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444"/>
        <item m="1" x="6445"/>
        <item m="1" x="6446"/>
        <item m="1" x="6447"/>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367"/>
        <item m="1" x="6368"/>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009"/>
        <item m="1" x="6010"/>
        <item m="1" x="6011"/>
        <item m="1" x="6012"/>
        <item m="1" x="6013"/>
        <item m="1" x="6014"/>
        <item m="1" x="6015"/>
        <item m="1" x="6016"/>
        <item m="1" x="6017"/>
        <item m="1" x="6019"/>
        <item m="1" x="6020"/>
        <item m="1" x="6054"/>
        <item m="1" x="6055"/>
        <item m="1" x="737"/>
        <item m="1" x="738"/>
        <item m="1" x="739"/>
        <item m="1" x="740"/>
        <item m="1" x="741"/>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473"/>
        <item m="1" x="4474"/>
        <item m="1" x="4475"/>
        <item m="1" x="4476"/>
        <item m="1" x="4477"/>
        <item m="1" x="4478"/>
        <item m="1" x="4479"/>
        <item m="1" x="4480"/>
        <item m="1" x="4481"/>
        <item m="1" x="4482"/>
        <item m="1" x="4483"/>
        <item m="1" x="4484"/>
        <item m="1" x="4485"/>
        <item m="1" x="4486"/>
        <item m="1" x="4487"/>
        <item m="1" x="4488"/>
        <item m="1" x="4489"/>
        <item m="1" x="4270"/>
        <item m="1" x="4490"/>
        <item m="1" x="4272"/>
        <item m="1" x="4491"/>
        <item m="1" x="4492"/>
        <item m="1" x="4275"/>
        <item m="1" x="4493"/>
        <item m="1" x="4277"/>
        <item m="1" x="4494"/>
        <item m="1" x="4279"/>
        <item m="1" x="4280"/>
        <item m="1" x="4495"/>
        <item m="1" x="4282"/>
        <item m="1" x="4496"/>
        <item m="1" x="4497"/>
        <item m="1" x="4285"/>
        <item m="1" x="4286"/>
        <item m="1" x="4498"/>
        <item m="1" x="4288"/>
        <item m="1" x="4289"/>
        <item m="1" x="4290"/>
        <item m="1" x="4291"/>
        <item m="1" x="4292"/>
        <item m="1" x="4499"/>
        <item m="1" x="4294"/>
        <item m="1" x="4295"/>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405"/>
        <item m="1" x="4609"/>
        <item m="1" x="4407"/>
        <item m="1" x="4610"/>
        <item m="1" x="4409"/>
        <item m="1" x="4611"/>
        <item m="1" x="4411"/>
        <item m="1" x="4612"/>
        <item m="1" x="4613"/>
        <item m="1" x="4414"/>
        <item m="1" x="4614"/>
        <item m="1" x="4416"/>
        <item m="1" x="4615"/>
        <item m="1" x="4418"/>
        <item m="1" x="4616"/>
        <item m="1" x="4420"/>
        <item m="1" x="4617"/>
        <item m="1" x="4422"/>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253"/>
        <item m="1" x="4254"/>
        <item m="1" x="4255"/>
        <item m="1" x="4256"/>
        <item m="1" x="4257"/>
        <item m="1" x="4258"/>
        <item m="1" x="4259"/>
        <item m="1" x="4260"/>
        <item m="1" x="4261"/>
        <item m="1" x="4262"/>
        <item m="1" x="4263"/>
        <item m="1" x="4264"/>
        <item m="1" x="4265"/>
        <item m="1" x="4266"/>
        <item m="1" x="4267"/>
        <item m="1" x="4268"/>
        <item m="1" x="4269"/>
        <item m="1" x="4271"/>
        <item m="1" x="4273"/>
        <item m="1" x="4274"/>
        <item m="1" x="4276"/>
        <item m="1" x="4278"/>
        <item m="1" x="4281"/>
        <item m="1" x="4283"/>
        <item m="1" x="4284"/>
        <item m="1" x="4287"/>
        <item m="1" x="4293"/>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6"/>
        <item m="1" x="4408"/>
        <item m="1" x="4410"/>
        <item m="1" x="4412"/>
        <item m="1" x="4413"/>
        <item m="1" x="4415"/>
        <item m="1" x="4417"/>
        <item m="1" x="4419"/>
        <item m="1" x="4421"/>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3982"/>
        <item m="1" x="3983"/>
        <item m="1" x="3984"/>
        <item m="1" x="3985"/>
        <item m="1" x="3986"/>
        <item m="1" x="3987"/>
        <item m="1" x="3988"/>
        <item m="1" x="3989"/>
        <item m="1" x="3990"/>
        <item m="1" x="3991"/>
        <item m="1" x="3992"/>
        <item m="1" x="3993"/>
        <item m="1" x="3994"/>
        <item m="1" x="3995"/>
        <item m="1" x="3996"/>
        <item m="1" x="3997"/>
        <item m="1" x="3998"/>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231"/>
        <item m="1" x="4232"/>
        <item m="1" x="4233"/>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234"/>
        <item m="1" x="4235"/>
        <item m="1" x="4236"/>
        <item m="1" x="4237"/>
        <item m="1" x="4238"/>
        <item m="1" x="4239"/>
        <item m="1" x="4240"/>
        <item m="1" x="4241"/>
        <item m="1" x="4242"/>
        <item m="1" x="4243"/>
        <item m="1" x="4244"/>
        <item m="1" x="4245"/>
        <item m="1" x="4246"/>
        <item m="1" x="4247"/>
        <item m="1" x="4248"/>
        <item m="1" x="4249"/>
        <item m="1" x="4250"/>
        <item m="1" x="4251"/>
        <item m="1" x="4152"/>
        <item m="1" x="4153"/>
        <item m="1" x="4154"/>
        <item m="1" x="4155"/>
        <item m="1" x="4156"/>
        <item m="1" x="4157"/>
        <item m="1" x="4158"/>
        <item m="1" x="4159"/>
        <item m="1" x="4160"/>
        <item m="1" x="4161"/>
        <item m="1" x="4086"/>
        <item m="1" x="4162"/>
        <item m="1" x="4163"/>
        <item m="1" x="4164"/>
        <item m="1" x="4165"/>
        <item m="1" x="4166"/>
        <item m="1" x="4167"/>
        <item m="1" x="4168"/>
        <item m="1" x="4169"/>
        <item m="1" x="4170"/>
        <item m="1" x="4171"/>
        <item m="1" x="4172"/>
        <item m="1" x="4173"/>
        <item m="1" x="4174"/>
        <item m="1" x="4175"/>
        <item m="1" x="4176"/>
        <item m="1" x="4177"/>
        <item m="1" x="4178"/>
        <item m="1" x="4179"/>
        <item m="1" x="4087"/>
        <item m="1" x="4180"/>
        <item m="1" x="4181"/>
        <item m="1" x="4182"/>
        <item m="1" x="4183"/>
        <item m="1" x="4184"/>
        <item m="1" x="4185"/>
        <item m="1" x="4186"/>
        <item m="1" x="4187"/>
        <item m="1" x="4188"/>
        <item m="1" x="4189"/>
        <item m="1" x="4190"/>
        <item m="1" x="4191"/>
        <item m="1" x="4192"/>
        <item m="1" x="4193"/>
        <item m="1" x="4194"/>
        <item m="1" x="4195"/>
        <item m="1" x="4196"/>
        <item m="1" x="4197"/>
        <item m="1" x="4198"/>
        <item m="1" x="4252"/>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88"/>
        <item m="1" x="4134"/>
        <item m="1" x="4135"/>
        <item m="1" x="4136"/>
        <item m="1" x="4137"/>
        <item m="1" x="4138"/>
        <item m="1" x="4139"/>
        <item m="1" x="4140"/>
        <item m="1" x="4141"/>
        <item m="1" x="4142"/>
        <item m="1" x="4143"/>
        <item m="1" x="4144"/>
        <item m="1" x="4145"/>
        <item m="1" x="4146"/>
        <item m="1" x="4147"/>
        <item m="1" x="4148"/>
        <item m="1" x="4149"/>
        <item m="1" x="4150"/>
        <item m="1" x="4151"/>
        <item m="1" x="4199"/>
        <item m="1" x="4200"/>
        <item m="1" x="4201"/>
        <item m="1" x="3729"/>
        <item m="1" x="4202"/>
        <item m="1" x="4203"/>
        <item m="1" x="4204"/>
        <item m="1" x="758"/>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981"/>
        <item m="1" x="3890"/>
        <item m="1" x="3891"/>
        <item m="1" x="3892"/>
        <item m="1" x="3893"/>
        <item m="1" x="3894"/>
        <item m="1" x="3895"/>
        <item m="1" x="3896"/>
        <item m="1" x="3897"/>
        <item m="1" x="3898"/>
        <item m="1" x="3899"/>
        <item m="1" x="3957"/>
        <item m="1" x="3958"/>
        <item m="1" x="3900"/>
        <item m="1" x="3959"/>
        <item m="1" x="3960"/>
        <item m="1" x="3961"/>
        <item m="1" x="3904"/>
        <item m="1" x="3962"/>
        <item m="1" x="3963"/>
        <item m="1" x="3964"/>
        <item m="1" x="3965"/>
        <item m="1" x="3966"/>
        <item m="1" x="3967"/>
        <item m="1" x="3911"/>
        <item m="1" x="3968"/>
        <item m="1" x="3916"/>
        <item m="1" x="3917"/>
        <item m="1" x="3918"/>
        <item m="1" x="3908"/>
        <item m="1" x="3969"/>
        <item m="1" x="3970"/>
        <item m="1" x="3922"/>
        <item m="1" x="3971"/>
        <item m="1" x="3972"/>
        <item m="1" x="3973"/>
        <item m="1" x="3926"/>
        <item m="1" x="3909"/>
        <item m="1" x="3919"/>
        <item m="1" x="3974"/>
        <item m="1" x="3975"/>
        <item m="1" x="3930"/>
        <item m="1" x="3976"/>
        <item m="1" x="3933"/>
        <item m="1" x="3977"/>
        <item m="1" x="3935"/>
        <item m="1" x="3936"/>
        <item m="1" x="3937"/>
        <item m="1" x="3938"/>
        <item m="1" x="3939"/>
        <item m="1" x="3940"/>
        <item m="1" x="3941"/>
        <item m="1" x="3978"/>
        <item m="1" x="3943"/>
        <item m="1" x="3944"/>
        <item m="1" x="3945"/>
        <item m="1" x="3946"/>
        <item m="1" x="3947"/>
        <item m="1" x="3948"/>
        <item m="1" x="3949"/>
        <item m="1" x="3950"/>
        <item m="1" x="3952"/>
        <item m="1" x="3979"/>
        <item m="1" x="3955"/>
        <item m="1" x="3980"/>
        <item m="1" x="3889"/>
        <item m="1" x="3901"/>
        <item m="1" x="3902"/>
        <item m="1" x="3903"/>
        <item m="1" x="3905"/>
        <item m="1" x="3906"/>
        <item m="1" x="3907"/>
        <item m="1" x="3910"/>
        <item m="1" x="3912"/>
        <item m="1" x="3913"/>
        <item m="1" x="3914"/>
        <item m="1" x="3915"/>
        <item m="1" x="3920"/>
        <item m="1" x="3921"/>
        <item m="1" x="3923"/>
        <item m="1" x="3924"/>
        <item m="1" x="3925"/>
        <item m="1" x="3927"/>
        <item m="1" x="3928"/>
        <item m="1" x="3929"/>
        <item m="1" x="3931"/>
        <item m="1" x="3932"/>
        <item m="1" x="3934"/>
        <item m="1" x="3942"/>
        <item m="1" x="3951"/>
        <item m="1" x="3953"/>
        <item m="1" x="3954"/>
        <item m="1" x="3956"/>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650"/>
        <item m="1" x="651"/>
        <item m="1" x="652"/>
        <item m="1" x="653"/>
        <item m="1" x="654"/>
        <item m="1" x="655"/>
        <item m="1" x="656"/>
        <item m="1" x="657"/>
        <item m="1" x="658"/>
        <item m="1" x="659"/>
        <item m="1" x="661"/>
        <item m="1" x="662"/>
        <item m="1" x="663"/>
        <item m="1" x="754"/>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2"/>
        <item m="1" x="3053"/>
        <item m="1" x="3054"/>
        <item m="1" x="3055"/>
        <item m="1" x="3056"/>
        <item m="1" x="3057"/>
        <item m="1" x="3058"/>
        <item m="1" x="3059"/>
        <item m="1" x="3060"/>
        <item m="1" x="3061"/>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051"/>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2991"/>
        <item m="1" x="2992"/>
        <item m="1" x="2993"/>
        <item m="1" x="3241"/>
        <item m="1" x="3249"/>
        <item m="1" x="3242"/>
        <item m="1" x="3243"/>
        <item m="1" x="3244"/>
        <item m="1" x="3245"/>
        <item m="1" x="3246"/>
        <item m="1" x="3247"/>
        <item m="1" x="3248"/>
        <item m="1" x="306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95"/>
        <item m="1" x="3003"/>
        <item m="1" x="3004"/>
        <item m="1" x="3005"/>
        <item m="1" x="3006"/>
        <item m="1" x="3007"/>
        <item m="1" x="3008"/>
        <item m="1" x="3009"/>
        <item m="1" x="2972"/>
        <item m="1" x="2971"/>
        <item m="1" x="2917"/>
        <item m="1" x="2918"/>
        <item m="1" x="2919"/>
        <item m="1" x="2920"/>
        <item m="1" x="3010"/>
        <item m="1" x="2922"/>
        <item m="1" x="3011"/>
        <item m="1" x="3012"/>
        <item m="1" x="3013"/>
        <item m="1" x="3014"/>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3"/>
        <item m="1" x="2974"/>
        <item m="1" x="2975"/>
        <item m="1" x="2976"/>
        <item m="1" x="2977"/>
        <item m="1" x="2978"/>
        <item m="1" x="2979"/>
        <item m="1" x="2980"/>
        <item m="1" x="2981"/>
        <item m="1" x="2982"/>
        <item m="1" x="2983"/>
        <item m="1" x="2984"/>
        <item m="1" x="3017"/>
        <item m="1" x="2986"/>
        <item m="1" x="3018"/>
        <item m="1" x="2924"/>
        <item m="1" x="2988"/>
        <item m="1" x="2989"/>
        <item m="1" x="2990"/>
        <item m="1" x="2994"/>
        <item m="1" x="2996"/>
        <item m="1" x="2997"/>
        <item m="1" x="3015"/>
        <item m="1" x="2998"/>
        <item m="1" x="2999"/>
        <item m="1" x="3016"/>
        <item m="1" x="3002"/>
        <item m="1" x="2985"/>
        <item m="1" x="2987"/>
        <item x="241"/>
        <item m="1" x="2911"/>
        <item m="1" x="2912"/>
        <item m="1" x="2913"/>
        <item m="1" x="2914"/>
        <item m="1" x="2915"/>
        <item m="1" x="2916"/>
        <item m="1" x="2921"/>
        <item m="1" x="2923"/>
        <item m="1" x="2925"/>
        <item m="1" x="3000"/>
        <item m="1" x="3001"/>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300"/>
        <item m="1" x="2301"/>
        <item m="1" x="2302"/>
        <item m="1" x="2303"/>
        <item m="1" x="2304"/>
        <item m="1" x="2305"/>
        <item m="1" x="2306"/>
        <item m="1" x="2529"/>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531"/>
        <item m="1" x="2532"/>
        <item m="1" x="2533"/>
        <item m="1" x="2534"/>
        <item m="1" x="2535"/>
        <item m="1" x="2536"/>
        <item m="1" x="2537"/>
        <item m="1" x="253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39"/>
        <item m="1" x="2517"/>
        <item m="1" x="2518"/>
        <item m="1" x="2519"/>
        <item m="1" x="2520"/>
        <item m="1" x="2521"/>
        <item m="1" x="2522"/>
        <item m="1" x="2523"/>
        <item m="1" x="2524"/>
        <item m="1" x="2525"/>
        <item m="1" x="2442"/>
        <item m="1" x="2443"/>
        <item m="1" x="2526"/>
        <item m="1" x="2527"/>
        <item m="1" x="2528"/>
        <item m="1" x="1280"/>
        <item m="1" x="2530"/>
        <item m="1" x="2307"/>
        <item m="1" x="2444"/>
        <item m="1" x="2445"/>
        <item m="1" x="2446"/>
        <item m="1" x="2447"/>
        <item m="1" x="2448"/>
        <item m="1" x="2516"/>
        <item m="1" x="2020"/>
        <item m="1" x="2021"/>
        <item m="1" x="2022"/>
        <item m="1" x="2023"/>
        <item m="1" x="2024"/>
        <item m="1" x="2025"/>
        <item m="1" x="2026"/>
        <item m="1" x="2299"/>
        <item m="1" x="2028"/>
        <item m="1" x="2029"/>
        <item m="1" x="2030"/>
        <item m="1" x="2031"/>
        <item m="1" x="2032"/>
        <item m="1" x="2033"/>
        <item m="1" x="2034"/>
        <item m="1" x="2035"/>
        <item m="1" x="2036"/>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277"/>
        <item m="1" x="2278"/>
        <item m="1" x="2279"/>
        <item m="1" x="2280"/>
        <item m="1" x="2281"/>
        <item m="1" x="2282"/>
        <item m="1" x="2283"/>
        <item m="1" x="2284"/>
        <item m="1" x="2285"/>
        <item m="1" x="2286"/>
        <item m="1" x="2287"/>
        <item m="1" x="2288"/>
        <item m="1" x="2289"/>
        <item m="1" x="2290"/>
        <item m="1" x="2291"/>
        <item m="1" x="2292"/>
        <item m="1" x="2293"/>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94"/>
        <item m="1" x="2295"/>
        <item m="1" x="2296"/>
        <item m="1" x="2297"/>
        <item m="1" x="2241"/>
        <item m="1" x="2242"/>
        <item m="1" x="2243"/>
        <item m="1" x="2244"/>
        <item m="1" x="2245"/>
        <item m="1" x="2246"/>
        <item m="1" x="2247"/>
        <item m="1" x="2298"/>
        <item m="1" x="2027"/>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172"/>
        <item m="1" x="2173"/>
        <item m="1" x="2174"/>
        <item m="1" x="2175"/>
        <item m="1" x="2176"/>
        <item m="1" x="2177"/>
        <item m="1" x="2178"/>
        <item m="1" x="2179"/>
        <item m="1" x="2180"/>
        <item m="1" x="2181"/>
        <item m="1" x="2182"/>
        <item m="1" x="2183"/>
        <item m="1" x="2184"/>
        <item m="1" x="2185"/>
        <item m="1" x="2186"/>
        <item m="1" x="2187"/>
        <item m="1" x="2188"/>
        <item m="1" x="2237"/>
        <item m="1" x="2238"/>
        <item m="1" x="2239"/>
        <item m="1" x="2240"/>
        <item m="1" x="2248"/>
        <item m="1" x="1741"/>
        <item m="1" x="1742"/>
        <item m="1" x="1743"/>
        <item m="1" x="1744"/>
        <item m="1" x="1745"/>
        <item m="1" x="1746"/>
        <item m="1" x="1747"/>
        <item m="1" x="1748"/>
        <item m="1" x="1749"/>
        <item m="1" x="1750"/>
        <item m="1" x="1751"/>
        <item m="1" x="1752"/>
        <item m="1" x="1753"/>
        <item m="1" x="1754"/>
        <item m="1" x="1755"/>
        <item m="1" x="1756"/>
        <item m="1" x="1757"/>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998"/>
        <item m="1" x="1999"/>
        <item m="1" x="2000"/>
        <item m="1" x="2001"/>
        <item m="1" x="2002"/>
        <item m="1" x="2003"/>
        <item m="1" x="2004"/>
        <item m="1" x="2005"/>
        <item m="1" x="2006"/>
        <item m="1" x="2007"/>
        <item m="1" x="2008"/>
        <item m="1" x="2009"/>
        <item m="1" x="2010"/>
        <item m="1" x="2011"/>
        <item m="1" x="2012"/>
        <item m="1" x="2013"/>
        <item m="1" x="2014"/>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2015"/>
        <item m="1" x="2016"/>
        <item m="1" x="2017"/>
        <item m="1" x="2018"/>
        <item m="1" x="1962"/>
        <item m="1" x="1963"/>
        <item m="1" x="1964"/>
        <item m="1" x="1965"/>
        <item m="1" x="1966"/>
        <item m="1" x="1967"/>
        <item m="1" x="1968"/>
        <item m="1" x="2019"/>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893"/>
        <item m="1" x="1894"/>
        <item m="1" x="1895"/>
        <item m="1" x="1896"/>
        <item m="1" x="1897"/>
        <item m="1" x="1898"/>
        <item m="1" x="1899"/>
        <item m="1" x="1900"/>
        <item m="1" x="1901"/>
        <item m="1" x="1902"/>
        <item m="1" x="1903"/>
        <item m="1" x="1904"/>
        <item m="1" x="1905"/>
        <item m="1" x="1906"/>
        <item m="1" x="1907"/>
        <item m="1" x="1908"/>
        <item m="1" x="1909"/>
        <item m="1" x="1958"/>
        <item m="1" x="1959"/>
        <item m="1" x="1960"/>
        <item m="1" x="1961"/>
        <item m="1" x="1969"/>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6"/>
        <item m="1" x="1737"/>
        <item m="1" x="1738"/>
        <item m="1" x="1739"/>
        <item m="1" x="1740"/>
        <item m="1" x="1735"/>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764"/>
        <item m="1" x="499"/>
        <item m="1" x="500"/>
        <item m="1" x="501"/>
        <item m="1" x="502"/>
        <item m="1" x="503"/>
        <item m="1" x="504"/>
        <item m="1" x="505"/>
        <item m="1" x="763"/>
        <item m="1" x="507"/>
        <item m="1" x="508"/>
        <item m="1" x="509"/>
        <item m="1" x="510"/>
        <item m="1" x="511"/>
        <item m="1" x="512"/>
        <item m="1" x="513"/>
        <item m="1" x="514"/>
        <item m="1" x="515"/>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818"/>
        <item m="1" x="567"/>
        <item m="1" x="568"/>
        <item m="1" x="569"/>
        <item m="1" x="81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796"/>
        <item m="1" x="797"/>
        <item m="1" x="798"/>
        <item m="1" x="799"/>
        <item m="1" x="800"/>
        <item m="1" x="801"/>
        <item m="1" x="802"/>
        <item m="1" x="803"/>
        <item m="1" x="804"/>
        <item m="1" x="805"/>
        <item m="1" x="806"/>
        <item m="1" x="807"/>
        <item m="1" x="808"/>
        <item m="1" x="809"/>
        <item m="1" x="810"/>
        <item m="1" x="811"/>
        <item m="1" x="812"/>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813"/>
        <item m="1" x="746"/>
        <item m="1" x="814"/>
        <item m="1" x="815"/>
        <item m="1" x="753"/>
        <item m="1" x="816"/>
        <item m="1" x="756"/>
        <item m="1" x="757"/>
        <item m="1" x="759"/>
        <item m="1" x="760"/>
        <item m="1" x="817"/>
        <item m="1" x="566"/>
        <item m="1" x="745"/>
        <item m="1" x="765"/>
        <item m="1" x="766"/>
        <item m="1" x="767"/>
        <item m="1" x="747"/>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669"/>
        <item m="1" x="670"/>
        <item m="1" x="671"/>
        <item m="1" x="672"/>
        <item m="1" x="673"/>
        <item m="1" x="674"/>
        <item m="1" x="675"/>
        <item m="1" x="676"/>
        <item m="1" x="677"/>
        <item m="1" x="678"/>
        <item m="1" x="679"/>
        <item m="1" x="680"/>
        <item m="1" x="681"/>
        <item m="1" x="682"/>
        <item m="1" x="683"/>
        <item m="1" x="684"/>
        <item m="1" x="685"/>
        <item m="1" x="744"/>
        <item m="1" x="748"/>
        <item m="1" x="749"/>
        <item m="1" x="750"/>
        <item m="1" x="751"/>
        <item m="1" x="752"/>
        <item m="1" x="755"/>
        <item m="1" x="761"/>
        <item m="1" x="762"/>
        <item m="1" x="506"/>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x="146"/>
        <item x="147"/>
        <item x="148"/>
        <item x="149"/>
        <item x="150"/>
        <item x="151"/>
        <item x="152"/>
        <item x="153"/>
        <item x="154"/>
        <item x="155"/>
        <item x="156"/>
        <item x="157"/>
        <item x="158"/>
        <item x="159"/>
        <item x="160"/>
        <item x="161"/>
        <item x="162"/>
        <item x="163"/>
        <item x="164"/>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x="233"/>
        <item x="234"/>
        <item x="235"/>
        <item x="236"/>
        <item x="237"/>
        <item x="238"/>
        <item x="239"/>
        <item m="1" x="481"/>
        <item m="1" x="482"/>
        <item m="1" x="483"/>
        <item m="1" x="484"/>
        <item m="1" x="485"/>
        <item m="1" x="486"/>
        <item m="1" x="487"/>
        <item m="1" x="488"/>
        <item m="1" x="489"/>
        <item m="1" x="490"/>
        <item x="250"/>
        <item m="1" x="491"/>
        <item m="1" x="492"/>
        <item m="1" x="493"/>
        <item x="254"/>
        <item m="1" x="494"/>
        <item m="1" x="495"/>
        <item m="1" x="496"/>
        <item m="1" x="497"/>
        <item m="1" x="498"/>
        <item x="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40"/>
        <item x="242"/>
        <item x="243"/>
        <item x="244"/>
        <item x="245"/>
        <item x="246"/>
        <item x="247"/>
        <item x="248"/>
        <item x="249"/>
        <item x="251"/>
        <item x="252"/>
        <item x="253"/>
        <item x="255"/>
        <item x="256"/>
        <item x="257"/>
        <item x="258"/>
        <item x="25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9">
        <item x="4"/>
        <item x="6"/>
        <item x="2"/>
        <item x="0"/>
        <item x="3"/>
        <item m="1" x="8"/>
        <item x="7"/>
        <item x="1"/>
        <item x="5"/>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20"/>
        <item m="1" x="3104"/>
        <item m="1" x="3105"/>
        <item m="1" x="3106"/>
        <item m="1" x="3107"/>
        <item m="1" x="3108"/>
        <item m="1" x="3109"/>
        <item m="1" x="3110"/>
        <item m="1" x="3111"/>
        <item m="1" x="3112"/>
        <item m="1" x="3113"/>
        <item m="1" x="563"/>
        <item m="1" x="3114"/>
        <item m="1" x="3115"/>
        <item m="1" x="5453"/>
        <item m="1" x="5454"/>
        <item m="1" x="5455"/>
        <item m="1" x="5456"/>
        <item m="1" x="5457"/>
        <item m="1" x="567"/>
        <item m="1" x="568"/>
        <item m="1" x="7543"/>
        <item m="1" x="631"/>
        <item m="1" x="630"/>
        <item m="1" x="569"/>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4"/>
        <item m="1" x="7545"/>
        <item m="1" x="7546"/>
        <item m="1" x="7547"/>
        <item m="1" x="7548"/>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566"/>
        <item m="1" x="7378"/>
        <item m="1" x="7379"/>
        <item m="1" x="7380"/>
        <item m="1" x="7381"/>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75"/>
        <item m="1" x="7100"/>
        <item m="1" x="7101"/>
        <item m="1" x="7102"/>
        <item m="1" x="7103"/>
        <item m="1" x="7104"/>
        <item m="1" x="7105"/>
        <item m="1" x="7106"/>
        <item m="1" x="7107"/>
        <item m="1" x="7108"/>
        <item m="1" x="7109"/>
        <item m="1" x="7110"/>
        <item m="1" x="7111"/>
        <item m="1" x="7112"/>
        <item m="1" x="7174"/>
        <item m="1" x="7113"/>
        <item m="1" x="7114"/>
        <item m="1" x="7115"/>
        <item m="1" x="7116"/>
        <item m="1" x="7117"/>
        <item m="1" x="7118"/>
        <item m="1" x="7119"/>
        <item m="1" x="7120"/>
        <item m="1" x="7121"/>
        <item m="1" x="7122"/>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163"/>
        <item m="1" x="7164"/>
        <item m="1" x="7165"/>
        <item m="1" x="7166"/>
        <item m="1" x="7167"/>
        <item m="1" x="7168"/>
        <item m="1" x="7169"/>
        <item m="1" x="7170"/>
        <item m="1" x="7171"/>
        <item m="1" x="7172"/>
        <item m="1" x="7173"/>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7008"/>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6945"/>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840"/>
        <item m="1" x="6841"/>
        <item m="1" x="6782"/>
        <item m="1" x="6783"/>
        <item m="1" x="6784"/>
        <item m="1" x="6780"/>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9"/>
        <item m="1" x="6781"/>
        <item m="1" x="6837"/>
        <item m="1" x="6838"/>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477"/>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25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302"/>
        <item m="1" x="6628"/>
        <item m="1" x="6629"/>
        <item m="1" x="6630"/>
        <item m="1" x="6631"/>
        <item m="1" x="6310"/>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3"/>
        <item m="1" x="6304"/>
        <item m="1" x="6305"/>
        <item m="1" x="6306"/>
        <item m="1" x="6307"/>
        <item m="1" x="6308"/>
        <item m="1" x="6309"/>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5862"/>
        <item m="1" x="5863"/>
        <item m="1" x="5864"/>
        <item m="1" x="5865"/>
        <item m="1" x="5866"/>
        <item m="1" x="5867"/>
        <item m="1" x="5868"/>
        <item m="1" x="5869"/>
        <item m="1" x="5870"/>
        <item m="1" x="6193"/>
        <item m="1" x="5875"/>
        <item m="1" x="6194"/>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5873"/>
        <item m="1" x="5872"/>
        <item m="1" x="5871"/>
        <item m="1" x="5878"/>
        <item m="1" x="5877"/>
        <item m="1" x="5876"/>
        <item m="1" x="5874"/>
        <item m="1" x="5881"/>
        <item m="1" x="5880"/>
        <item m="1" x="5879"/>
        <item m="1" x="5916"/>
        <item m="1" x="5917"/>
        <item m="1" x="5918"/>
        <item m="1" x="5919"/>
        <item m="1" x="5920"/>
        <item m="1" x="5921"/>
        <item m="1" x="5922"/>
        <item m="1" x="5923"/>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091"/>
        <item m="1" x="5092"/>
        <item m="1" x="5093"/>
        <item m="1" x="5094"/>
        <item m="1" x="5095"/>
        <item m="1" x="5096"/>
        <item m="1" x="5097"/>
        <item m="1" x="5098"/>
        <item m="1" x="5440"/>
        <item m="1" x="5441"/>
        <item m="1" x="5442"/>
        <item m="1" x="5443"/>
        <item m="1" x="5444"/>
        <item m="1" x="5445"/>
        <item m="1" x="5446"/>
        <item m="1" x="5447"/>
        <item m="1" x="5448"/>
        <item m="1" x="5108"/>
        <item m="1" x="5449"/>
        <item m="1" x="5450"/>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527"/>
        <item m="1" x="5528"/>
        <item m="1" x="5529"/>
        <item m="1" x="553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451"/>
        <item m="1" x="5452"/>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099"/>
        <item m="1" x="5100"/>
        <item m="1" x="5101"/>
        <item m="1" x="5102"/>
        <item m="1" x="5103"/>
        <item m="1" x="5104"/>
        <item m="1" x="5105"/>
        <item m="1" x="5106"/>
        <item m="1" x="5107"/>
        <item m="1" x="5109"/>
        <item m="1" x="5110"/>
        <item m="1" x="5143"/>
        <item m="1" x="5144"/>
        <item m="1" x="625"/>
        <item m="1" x="626"/>
        <item m="1" x="627"/>
        <item m="1" x="628"/>
        <item m="1" x="62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3720"/>
        <item m="1" x="3721"/>
        <item m="1" x="3722"/>
        <item m="1" x="3723"/>
        <item m="1" x="3724"/>
        <item m="1" x="3725"/>
        <item m="1" x="3726"/>
        <item m="1" x="3727"/>
        <item m="1" x="3728"/>
        <item m="1" x="3729"/>
        <item m="1" x="3730"/>
        <item m="1" x="3731"/>
        <item m="1" x="3732"/>
        <item m="1" x="3733"/>
        <item m="1" x="3734"/>
        <item m="1" x="3735"/>
        <item m="1" x="3554"/>
        <item m="1" x="3736"/>
        <item m="1" x="3556"/>
        <item m="1" x="3737"/>
        <item m="1" x="3558"/>
        <item m="1" x="3738"/>
        <item m="1" x="3560"/>
        <item m="1" x="3739"/>
        <item m="1" x="3562"/>
        <item m="1" x="3740"/>
        <item m="1" x="3741"/>
        <item m="1" x="3565"/>
        <item m="1" x="3566"/>
        <item m="1" x="3742"/>
        <item m="1" x="3568"/>
        <item m="1" x="3569"/>
        <item m="1" x="3743"/>
        <item m="1" x="3571"/>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661"/>
        <item m="1" x="3833"/>
        <item m="1" x="3834"/>
        <item m="1" x="3664"/>
        <item m="1" x="3835"/>
        <item m="1" x="3666"/>
        <item m="1" x="3836"/>
        <item m="1" x="3668"/>
        <item m="1" x="3837"/>
        <item m="1" x="3670"/>
        <item m="1" x="3838"/>
        <item m="1" x="3672"/>
        <item m="1" x="3839"/>
        <item m="1" x="3674"/>
        <item m="1" x="3675"/>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538"/>
        <item m="1" x="3539"/>
        <item m="1" x="3540"/>
        <item m="1" x="3541"/>
        <item m="1" x="3542"/>
        <item m="1" x="3543"/>
        <item m="1" x="3544"/>
        <item m="1" x="3545"/>
        <item m="1" x="3546"/>
        <item m="1" x="3547"/>
        <item m="1" x="3548"/>
        <item m="1" x="3549"/>
        <item m="1" x="3550"/>
        <item m="1" x="3551"/>
        <item m="1" x="3552"/>
        <item m="1" x="3553"/>
        <item m="1" x="3555"/>
        <item m="1" x="3557"/>
        <item m="1" x="3559"/>
        <item m="1" x="3561"/>
        <item m="1" x="3563"/>
        <item m="1" x="3564"/>
        <item m="1" x="3567"/>
        <item m="1" x="3570"/>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2"/>
        <item m="1" x="3663"/>
        <item m="1" x="3665"/>
        <item m="1" x="3667"/>
        <item m="1" x="3669"/>
        <item m="1" x="3671"/>
        <item m="1" x="3673"/>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318"/>
        <item m="1" x="3319"/>
        <item m="1" x="3320"/>
        <item m="1" x="3321"/>
        <item m="1" x="3322"/>
        <item m="1" x="3323"/>
        <item m="1" x="3324"/>
        <item m="1" x="3325"/>
        <item m="1" x="3326"/>
        <item m="1" x="3327"/>
        <item m="1" x="3328"/>
        <item m="1" x="3329"/>
        <item m="1" x="3330"/>
        <item m="1" x="3331"/>
        <item m="1" x="3332"/>
        <item m="1" x="3333"/>
        <item m="1" x="3504"/>
        <item m="1" x="3505"/>
        <item m="1" x="3506"/>
        <item m="1" x="3507"/>
        <item m="1" x="3508"/>
        <item m="1" x="3509"/>
        <item m="1" x="3510"/>
        <item m="1" x="3511"/>
        <item m="1" x="3512"/>
        <item m="1" x="3513"/>
        <item m="1" x="3514"/>
        <item m="1" x="3515"/>
        <item m="1" x="3516"/>
        <item m="1" x="3517"/>
        <item m="1" x="3518"/>
        <item m="1" x="3519"/>
        <item m="1" x="3520"/>
        <item m="1" x="352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402"/>
        <item m="1" x="3403"/>
        <item m="1" x="3404"/>
        <item m="1" x="3405"/>
        <item m="1" x="3406"/>
        <item m="1" x="3407"/>
        <item m="1" x="3408"/>
        <item m="1" x="3409"/>
        <item m="1" x="3410"/>
        <item m="1" x="3411"/>
        <item m="1" x="3412"/>
        <item m="1" x="3413"/>
        <item m="1" x="3399"/>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522"/>
        <item m="1" x="3523"/>
        <item m="1" x="3524"/>
        <item m="1" x="3525"/>
        <item m="1" x="3526"/>
        <item m="1" x="3527"/>
        <item m="1" x="3528"/>
        <item m="1" x="3529"/>
        <item m="1" x="3530"/>
        <item m="1" x="3531"/>
        <item m="1" x="3532"/>
        <item m="1" x="3533"/>
        <item m="1" x="3534"/>
        <item m="1" x="3535"/>
        <item m="1" x="3536"/>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37"/>
        <item m="1" x="3334"/>
        <item m="1" x="3335"/>
        <item m="1" x="3336"/>
        <item m="1" x="3337"/>
        <item m="1" x="3338"/>
        <item m="1" x="3339"/>
        <item m="1" x="3340"/>
        <item m="1" x="3341"/>
        <item m="1" x="3342"/>
        <item m="1" x="3343"/>
        <item m="1" x="3344"/>
        <item m="1" x="3345"/>
        <item m="1" x="3346"/>
        <item m="1" x="3347"/>
        <item m="1" x="3348"/>
        <item m="1" x="3349"/>
        <item m="1" x="3350"/>
        <item m="1" x="3351"/>
        <item m="1" x="3400"/>
        <item m="1" x="3401"/>
        <item m="1" x="3443"/>
        <item m="1" x="3444"/>
        <item m="1" x="3445"/>
        <item m="1" x="3446"/>
        <item m="1" x="3447"/>
        <item m="1" x="3448"/>
        <item m="1" x="3449"/>
        <item m="1" x="3450"/>
        <item m="1" x="3451"/>
        <item m="1" x="3452"/>
        <item m="1" x="3453"/>
        <item m="1" x="3454"/>
        <item m="1" x="3455"/>
        <item m="1" x="3456"/>
        <item m="1" x="3457"/>
        <item m="1" x="3501"/>
        <item m="1" x="3502"/>
        <item m="1" x="3503"/>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317"/>
        <item m="1" x="3248"/>
        <item m="1" x="3249"/>
        <item m="1" x="3250"/>
        <item m="1" x="3251"/>
        <item m="1" x="3252"/>
        <item m="1" x="3253"/>
        <item m="1" x="3254"/>
        <item m="1" x="3255"/>
        <item m="1" x="3306"/>
        <item m="1" x="3307"/>
        <item m="1" x="3256"/>
        <item m="1" x="3308"/>
        <item m="1" x="3309"/>
        <item m="1" x="3310"/>
        <item m="1" x="3260"/>
        <item m="1" x="3311"/>
        <item m="1" x="3312"/>
        <item m="1" x="3313"/>
        <item m="1" x="3264"/>
        <item m="1" x="3288"/>
        <item m="1" x="3268"/>
        <item m="1" x="3314"/>
        <item m="1" x="3315"/>
        <item m="1" x="3269"/>
        <item m="1" x="3276"/>
        <item m="1" x="3304"/>
        <item m="1" x="3270"/>
        <item m="1" x="3271"/>
        <item m="1" x="3272"/>
        <item m="1" x="3265"/>
        <item m="1" x="3289"/>
        <item m="1" x="3267"/>
        <item m="1" x="3275"/>
        <item m="1" x="3266"/>
        <item m="1" x="3274"/>
        <item m="1" x="3282"/>
        <item m="1" x="3280"/>
        <item m="1" x="3283"/>
        <item m="1" x="3281"/>
        <item m="1" x="3286"/>
        <item m="1" x="3316"/>
        <item m="1" x="3290"/>
        <item m="1" x="3291"/>
        <item m="1" x="3292"/>
        <item m="1" x="3293"/>
        <item m="1" x="3273"/>
        <item m="1" x="3295"/>
        <item m="1" x="3296"/>
        <item m="1" x="3297"/>
        <item m="1" x="3298"/>
        <item m="1" x="3299"/>
        <item m="1" x="3300"/>
        <item m="1" x="3302"/>
        <item m="1" x="3303"/>
        <item m="1" x="3247"/>
        <item m="1" x="3257"/>
        <item m="1" x="3258"/>
        <item m="1" x="3259"/>
        <item m="1" x="3261"/>
        <item m="1" x="3262"/>
        <item m="1" x="3263"/>
        <item m="1" x="3277"/>
        <item m="1" x="3278"/>
        <item m="1" x="3279"/>
        <item m="1" x="3284"/>
        <item m="1" x="3285"/>
        <item m="1" x="3287"/>
        <item m="1" x="3294"/>
        <item m="1" x="3301"/>
        <item m="1" x="3305"/>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553"/>
        <item m="1" x="554"/>
        <item m="1" x="555"/>
        <item m="1" x="556"/>
        <item m="1" x="557"/>
        <item m="1" x="558"/>
        <item m="1" x="559"/>
        <item m="1" x="560"/>
        <item m="1" x="561"/>
        <item m="1" x="562"/>
        <item m="1" x="564"/>
        <item m="1" x="56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3"/>
        <item m="1" x="2554"/>
        <item m="1" x="2555"/>
        <item m="1" x="2556"/>
        <item m="1" x="2557"/>
        <item m="1" x="2558"/>
        <item m="1" x="2559"/>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552"/>
        <item m="1" x="2663"/>
        <item m="1" x="2664"/>
        <item m="1" x="2665"/>
        <item m="1" x="2666"/>
        <item m="1" x="2667"/>
        <item m="1" x="2668"/>
        <item m="1" x="2560"/>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500"/>
        <item m="1" x="2501"/>
        <item m="1" x="2502"/>
        <item m="1" x="2710"/>
        <item m="1" x="2711"/>
        <item m="1" x="2712"/>
        <item m="1" x="2713"/>
        <item m="1" x="2714"/>
        <item m="1" x="27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508"/>
        <item m="1" x="2509"/>
        <item m="1" x="2510"/>
        <item m="1" x="2511"/>
        <item m="1" x="2512"/>
        <item m="1" x="2513"/>
        <item m="1" x="2514"/>
        <item m="1" x="2515"/>
        <item m="1" x="2516"/>
        <item m="1" x="2517"/>
        <item m="1" x="2438"/>
        <item m="1" x="2439"/>
        <item m="1" x="2440"/>
        <item m="1" x="2441"/>
        <item m="1" x="2518"/>
        <item m="1" x="2443"/>
        <item m="1" x="2519"/>
        <item m="1" x="2520"/>
        <item m="1" x="2521"/>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523"/>
        <item m="1" x="2495"/>
        <item m="1" x="2524"/>
        <item m="1" x="2496"/>
        <item m="1" x="2497"/>
        <item m="1" x="2498"/>
        <item m="1" x="2499"/>
        <item m="1" x="2503"/>
        <item m="1" x="2504"/>
        <item m="1" x="2522"/>
        <item m="1" x="2505"/>
        <item m="1" x="2506"/>
        <item m="1" x="2507"/>
        <item x="204"/>
        <item m="1" x="2428"/>
        <item m="1" x="2429"/>
        <item m="1" x="2430"/>
        <item m="1" x="2431"/>
        <item m="1" x="2432"/>
        <item m="1" x="2433"/>
        <item m="1" x="2434"/>
        <item m="1" x="2435"/>
        <item m="1" x="2436"/>
        <item m="1" x="2437"/>
        <item m="1" x="2442"/>
        <item m="1" x="2444"/>
        <item m="1" x="2445"/>
        <item m="1" x="2446"/>
        <item m="1" x="2447"/>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1927"/>
        <item m="1" x="1928"/>
        <item m="1" x="1929"/>
        <item m="1" x="1930"/>
        <item m="1" x="1931"/>
        <item m="1" x="1932"/>
        <item m="1" x="2120"/>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1075"/>
        <item m="1" x="2121"/>
        <item m="1" x="1933"/>
        <item m="1" x="1695"/>
        <item m="1" x="1696"/>
        <item m="1" x="1697"/>
        <item m="1" x="1698"/>
        <item m="1" x="1699"/>
        <item m="1" x="1700"/>
        <item m="1" x="1926"/>
        <item m="1" x="1702"/>
        <item m="1" x="1703"/>
        <item m="1" x="1704"/>
        <item m="1" x="1705"/>
        <item m="1" x="1706"/>
        <item m="1" x="1707"/>
        <item m="1" x="1708"/>
        <item m="1" x="1709"/>
        <item m="1" x="1710"/>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908"/>
        <item m="1" x="1909"/>
        <item m="1" x="1910"/>
        <item m="1" x="1911"/>
        <item m="1" x="1912"/>
        <item m="1" x="1913"/>
        <item m="1" x="1914"/>
        <item m="1" x="1915"/>
        <item m="1" x="1916"/>
        <item m="1" x="1917"/>
        <item m="1" x="1918"/>
        <item m="1" x="1919"/>
        <item m="1" x="1920"/>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921"/>
        <item m="1" x="1922"/>
        <item m="1" x="1923"/>
        <item m="1" x="1924"/>
        <item m="1" x="1883"/>
        <item m="1" x="1884"/>
        <item m="1" x="1885"/>
        <item m="1" x="1886"/>
        <item m="1" x="1925"/>
        <item m="1" x="1701"/>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827"/>
        <item m="1" x="1828"/>
        <item m="1" x="1829"/>
        <item m="1" x="1830"/>
        <item m="1" x="1831"/>
        <item m="1" x="1832"/>
        <item m="1" x="1833"/>
        <item m="1" x="1834"/>
        <item m="1" x="1835"/>
        <item m="1" x="1836"/>
        <item m="1" x="1837"/>
        <item m="1" x="1838"/>
        <item m="1" x="1839"/>
        <item m="1" x="1879"/>
        <item m="1" x="1880"/>
        <item m="1" x="1881"/>
        <item m="1" x="1882"/>
        <item m="1" x="1887"/>
        <item m="1" x="1464"/>
        <item m="1" x="1465"/>
        <item m="1" x="1466"/>
        <item m="1" x="1467"/>
        <item m="1" x="1468"/>
        <item m="1" x="1469"/>
        <item m="1" x="1470"/>
        <item m="1" x="1471"/>
        <item m="1" x="1472"/>
        <item m="1" x="1473"/>
        <item m="1" x="1474"/>
        <item m="1" x="1475"/>
        <item m="1" x="1476"/>
        <item m="1" x="1477"/>
        <item m="1" x="1478"/>
        <item m="1" x="1479"/>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677"/>
        <item m="1" x="1678"/>
        <item m="1" x="1679"/>
        <item m="1" x="1680"/>
        <item m="1" x="1681"/>
        <item m="1" x="1682"/>
        <item m="1" x="1683"/>
        <item m="1" x="1684"/>
        <item m="1" x="1685"/>
        <item m="1" x="1686"/>
        <item m="1" x="1687"/>
        <item m="1" x="1688"/>
        <item m="1" x="1689"/>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90"/>
        <item m="1" x="1691"/>
        <item m="1" x="1692"/>
        <item m="1" x="1693"/>
        <item m="1" x="1652"/>
        <item m="1" x="1653"/>
        <item m="1" x="1654"/>
        <item m="1" x="1655"/>
        <item m="1" x="1694"/>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96"/>
        <item m="1" x="1597"/>
        <item m="1" x="1598"/>
        <item m="1" x="1599"/>
        <item m="1" x="1600"/>
        <item m="1" x="1601"/>
        <item m="1" x="1602"/>
        <item m="1" x="1603"/>
        <item m="1" x="1604"/>
        <item m="1" x="1605"/>
        <item m="1" x="1606"/>
        <item m="1" x="1607"/>
        <item m="1" x="1608"/>
        <item m="1" x="1648"/>
        <item m="1" x="1649"/>
        <item m="1" x="1650"/>
        <item m="1" x="1651"/>
        <item m="1" x="1656"/>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60"/>
        <item m="1" x="1461"/>
        <item m="1" x="1462"/>
        <item m="1" x="1463"/>
        <item m="1" x="1459"/>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647"/>
        <item m="1" x="422"/>
        <item m="1" x="423"/>
        <item m="1" x="424"/>
        <item m="1" x="425"/>
        <item m="1" x="426"/>
        <item m="1" x="427"/>
        <item m="1" x="646"/>
        <item m="1" x="429"/>
        <item m="1" x="430"/>
        <item m="1" x="431"/>
        <item m="1" x="432"/>
        <item m="1" x="433"/>
        <item m="1" x="434"/>
        <item m="1" x="435"/>
        <item m="1" x="436"/>
        <item m="1" x="437"/>
        <item m="1" x="650"/>
        <item m="1" x="651"/>
        <item m="1" x="652"/>
        <item m="1" x="653"/>
        <item m="1" x="654"/>
        <item m="1" x="655"/>
        <item m="1" x="656"/>
        <item m="1" x="657"/>
        <item m="1" x="658"/>
        <item m="1" x="659"/>
        <item m="1" x="660"/>
        <item m="1" x="661"/>
        <item m="1" x="662"/>
        <item m="1" x="663"/>
        <item m="1" x="664"/>
        <item m="1" x="665"/>
        <item m="1" x="666"/>
        <item m="1" x="667"/>
        <item m="1" x="668"/>
        <item m="1" x="669"/>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686"/>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670"/>
        <item m="1" x="671"/>
        <item m="1" x="672"/>
        <item m="1" x="673"/>
        <item m="1" x="674"/>
        <item m="1" x="675"/>
        <item m="1" x="676"/>
        <item m="1" x="677"/>
        <item m="1" x="678"/>
        <item m="1" x="679"/>
        <item m="1" x="680"/>
        <item m="1" x="681"/>
        <item m="1" x="6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83"/>
        <item m="1" x="640"/>
        <item m="1" x="684"/>
        <item m="1" x="642"/>
        <item m="1" x="643"/>
        <item m="1" x="644"/>
        <item m="1" x="685"/>
        <item m="1" x="479"/>
        <item m="1" x="633"/>
        <item m="1" x="648"/>
        <item m="1" x="639"/>
        <item m="1" x="649"/>
        <item m="1" x="634"/>
        <item m="1" x="438"/>
        <item m="1" x="439"/>
        <item m="1" x="440"/>
        <item m="1" x="441"/>
        <item m="1" x="442"/>
        <item m="1" x="443"/>
        <item m="1" x="444"/>
        <item m="1" x="445"/>
        <item m="1" x="446"/>
        <item m="1" x="447"/>
        <item m="1" x="448"/>
        <item m="1" x="449"/>
        <item m="1" x="450"/>
        <item m="1" x="451"/>
        <item m="1" x="452"/>
        <item m="1" x="453"/>
        <item m="1" x="454"/>
        <item m="1" x="455"/>
        <item m="1" x="456"/>
        <item m="1" x="457"/>
        <item m="1" x="570"/>
        <item m="1" x="571"/>
        <item m="1" x="572"/>
        <item m="1" x="573"/>
        <item m="1" x="574"/>
        <item m="1" x="575"/>
        <item m="1" x="576"/>
        <item m="1" x="577"/>
        <item m="1" x="578"/>
        <item m="1" x="579"/>
        <item m="1" x="580"/>
        <item m="1" x="581"/>
        <item m="1" x="582"/>
        <item m="1" x="632"/>
        <item m="1" x="635"/>
        <item m="1" x="636"/>
        <item m="1" x="637"/>
        <item m="1" x="638"/>
        <item m="1" x="641"/>
        <item m="1" x="645"/>
        <item m="1" x="428"/>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x="124"/>
        <item x="125"/>
        <item x="126"/>
        <item x="127"/>
        <item x="128"/>
        <item x="129"/>
        <item x="130"/>
        <item x="131"/>
        <item x="132"/>
        <item x="133"/>
        <item x="134"/>
        <item x="135"/>
        <item x="136"/>
        <item x="137"/>
        <item x="138"/>
        <item x="139"/>
        <item x="140"/>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x="196"/>
        <item x="197"/>
        <item x="198"/>
        <item x="199"/>
        <item x="200"/>
        <item x="201"/>
        <item x="202"/>
        <item m="1" x="407"/>
        <item m="1" x="408"/>
        <item m="1" x="409"/>
        <item m="1" x="410"/>
        <item m="1" x="411"/>
        <item m="1" x="412"/>
        <item m="1" x="413"/>
        <item m="1" x="414"/>
        <item m="1" x="415"/>
        <item m="1" x="416"/>
        <item m="1" x="417"/>
        <item m="1" x="418"/>
        <item m="1" x="419"/>
        <item m="1" x="420"/>
        <item m="1" x="421"/>
        <item x="2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203"/>
        <item x="205"/>
        <item x="206"/>
        <item x="207"/>
        <item x="208"/>
        <item x="209"/>
        <item x="210"/>
        <item x="211"/>
        <item x="212"/>
        <item x="213"/>
        <item x="214"/>
        <item x="215"/>
        <item x="216"/>
        <item x="217"/>
        <item x="218"/>
      </items>
      <extLst>
        <ext xmlns:x14="http://schemas.microsoft.com/office/spreadsheetml/2009/9/main" uri="{2946ED86-A175-432a-8AC1-64E0C546D7DE}">
          <x14:pivotField fillDownLabels="1"/>
        </ext>
      </extLst>
    </pivotField>
    <pivotField name="P.Value (R$/M2)" axis="axisRow" compact="0" outline="0" showAll="0" defaultSubtotal="0">
      <items count="8000">
        <item x="271"/>
        <item m="1" x="3884"/>
        <item m="1" x="3885"/>
        <item m="1" x="3886"/>
        <item m="1" x="3887"/>
        <item m="1" x="3888"/>
        <item m="1" x="3889"/>
        <item m="1" x="3890"/>
        <item m="1" x="3891"/>
        <item m="1" x="3892"/>
        <item m="1" x="3893"/>
        <item m="1" x="688"/>
        <item m="1" x="3894"/>
        <item m="1" x="3895"/>
        <item m="1" x="3896"/>
        <item m="1" x="6583"/>
        <item m="1" x="6584"/>
        <item m="1" x="6585"/>
        <item m="1" x="6586"/>
        <item m="1" x="6587"/>
        <item m="1" x="693"/>
        <item m="1" x="694"/>
        <item m="1" x="696"/>
        <item m="1" x="775"/>
        <item m="1" x="774"/>
        <item m="1" x="695"/>
        <item m="1" x="692"/>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5"/>
        <item m="1" x="7996"/>
        <item m="1" x="7997"/>
        <item m="1" x="7998"/>
        <item m="1" x="7999"/>
        <item m="1" x="7993"/>
        <item m="1" x="7994"/>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23"/>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400"/>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448"/>
        <item m="1" x="7805"/>
        <item m="1" x="7806"/>
        <item m="1" x="7807"/>
        <item m="1" x="7808"/>
        <item m="1" x="7456"/>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9"/>
        <item m="1" x="7450"/>
        <item m="1" x="7451"/>
        <item m="1" x="7452"/>
        <item m="1" x="7453"/>
        <item m="1" x="7454"/>
        <item m="1" x="7455"/>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6999"/>
        <item m="1" x="7000"/>
        <item m="1" x="7001"/>
        <item m="1" x="7002"/>
        <item m="1" x="7003"/>
        <item m="1" x="7004"/>
        <item m="1" x="7005"/>
        <item m="1" x="7006"/>
        <item m="1" x="7007"/>
        <item m="1" x="7336"/>
        <item m="1" x="7012"/>
        <item m="1" x="7337"/>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010"/>
        <item m="1" x="7009"/>
        <item m="1" x="7008"/>
        <item m="1" x="7015"/>
        <item m="1" x="7014"/>
        <item m="1" x="7013"/>
        <item m="1" x="7011"/>
        <item m="1" x="7018"/>
        <item m="1" x="7017"/>
        <item m="1" x="7016"/>
        <item m="1" x="7054"/>
        <item m="1" x="7055"/>
        <item m="1" x="7056"/>
        <item m="1" x="7057"/>
        <item m="1" x="7058"/>
        <item m="1" x="7059"/>
        <item m="1" x="7060"/>
        <item m="1" x="7061"/>
        <item m="1" x="7139"/>
        <item m="1" x="7140"/>
        <item m="1" x="714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215"/>
        <item m="1" x="6216"/>
        <item m="1" x="6217"/>
        <item m="1" x="6218"/>
        <item m="1" x="6219"/>
        <item m="1" x="6220"/>
        <item m="1" x="6221"/>
        <item m="1" x="6222"/>
        <item m="1" x="6570"/>
        <item m="1" x="6571"/>
        <item m="1" x="6572"/>
        <item m="1" x="6573"/>
        <item m="1" x="6574"/>
        <item m="1" x="6575"/>
        <item m="1" x="6576"/>
        <item m="1" x="6577"/>
        <item m="1" x="6578"/>
        <item m="1" x="6232"/>
        <item m="1" x="6579"/>
        <item m="1" x="6580"/>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658"/>
        <item m="1" x="6659"/>
        <item m="1" x="6660"/>
        <item m="1" x="6661"/>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581"/>
        <item m="1" x="6582"/>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223"/>
        <item m="1" x="6224"/>
        <item m="1" x="6225"/>
        <item m="1" x="6226"/>
        <item m="1" x="6227"/>
        <item m="1" x="6228"/>
        <item m="1" x="6229"/>
        <item m="1" x="6230"/>
        <item m="1" x="6231"/>
        <item m="1" x="6233"/>
        <item m="1" x="6234"/>
        <item m="1" x="6268"/>
        <item m="1" x="6269"/>
        <item m="1" x="769"/>
        <item m="1" x="770"/>
        <item m="1" x="771"/>
        <item m="1" x="772"/>
        <item m="1" x="773"/>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4667"/>
        <item m="1" x="4668"/>
        <item m="1" x="4669"/>
        <item m="1" x="4670"/>
        <item m="1" x="4671"/>
        <item m="1" x="4672"/>
        <item m="1" x="4673"/>
        <item m="1" x="4674"/>
        <item m="1" x="4675"/>
        <item m="1" x="4676"/>
        <item m="1" x="4677"/>
        <item m="1" x="4678"/>
        <item m="1" x="4679"/>
        <item m="1" x="4680"/>
        <item m="1" x="4681"/>
        <item m="1" x="4682"/>
        <item m="1" x="4683"/>
        <item m="1" x="4459"/>
        <item m="1" x="4684"/>
        <item m="1" x="4461"/>
        <item m="1" x="4685"/>
        <item m="1" x="4686"/>
        <item m="1" x="4464"/>
        <item m="1" x="4687"/>
        <item m="1" x="4466"/>
        <item m="1" x="4688"/>
        <item m="1" x="4468"/>
        <item m="1" x="4469"/>
        <item m="1" x="4689"/>
        <item m="1" x="4471"/>
        <item m="1" x="4690"/>
        <item m="1" x="4691"/>
        <item m="1" x="4474"/>
        <item m="1" x="4475"/>
        <item m="1" x="4692"/>
        <item m="1" x="4477"/>
        <item m="1" x="4478"/>
        <item m="1" x="4479"/>
        <item m="1" x="4480"/>
        <item m="1" x="4481"/>
        <item m="1" x="4693"/>
        <item m="1" x="4483"/>
        <item m="1" x="4484"/>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594"/>
        <item m="1" x="4803"/>
        <item m="1" x="4596"/>
        <item m="1" x="4804"/>
        <item m="1" x="4598"/>
        <item m="1" x="4805"/>
        <item m="1" x="4600"/>
        <item m="1" x="4806"/>
        <item m="1" x="4807"/>
        <item m="1" x="4603"/>
        <item m="1" x="4808"/>
        <item m="1" x="4605"/>
        <item m="1" x="4809"/>
        <item m="1" x="4607"/>
        <item m="1" x="4810"/>
        <item m="1" x="4609"/>
        <item m="1" x="4811"/>
        <item m="1" x="46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442"/>
        <item m="1" x="4443"/>
        <item m="1" x="4444"/>
        <item m="1" x="4445"/>
        <item m="1" x="4446"/>
        <item m="1" x="4447"/>
        <item m="1" x="4448"/>
        <item m="1" x="4449"/>
        <item m="1" x="4450"/>
        <item m="1" x="4451"/>
        <item m="1" x="4452"/>
        <item m="1" x="4453"/>
        <item m="1" x="4454"/>
        <item m="1" x="4455"/>
        <item m="1" x="4456"/>
        <item m="1" x="4457"/>
        <item m="1" x="4458"/>
        <item m="1" x="4460"/>
        <item m="1" x="4462"/>
        <item m="1" x="4463"/>
        <item m="1" x="4465"/>
        <item m="1" x="4467"/>
        <item m="1" x="4470"/>
        <item m="1" x="4472"/>
        <item m="1" x="4473"/>
        <item m="1" x="4476"/>
        <item m="1" x="4482"/>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5"/>
        <item m="1" x="4597"/>
        <item m="1" x="4599"/>
        <item m="1" x="4601"/>
        <item m="1" x="4602"/>
        <item m="1" x="4604"/>
        <item m="1" x="4606"/>
        <item m="1" x="4608"/>
        <item m="1" x="4610"/>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162"/>
        <item m="1" x="4163"/>
        <item m="1" x="4164"/>
        <item m="1" x="4165"/>
        <item m="1" x="4166"/>
        <item m="1" x="4167"/>
        <item m="1" x="4168"/>
        <item m="1" x="4169"/>
        <item m="1" x="4170"/>
        <item m="1" x="4171"/>
        <item m="1" x="4172"/>
        <item m="1" x="4173"/>
        <item m="1" x="4174"/>
        <item m="1" x="4175"/>
        <item m="1" x="4176"/>
        <item m="1" x="4177"/>
        <item m="1" x="4178"/>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420"/>
        <item m="1" x="4421"/>
        <item m="1" x="4422"/>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423"/>
        <item m="1" x="4424"/>
        <item m="1" x="4425"/>
        <item m="1" x="4426"/>
        <item m="1" x="4427"/>
        <item m="1" x="4428"/>
        <item m="1" x="4429"/>
        <item m="1" x="4430"/>
        <item m="1" x="4431"/>
        <item m="1" x="4432"/>
        <item m="1" x="4433"/>
        <item m="1" x="4434"/>
        <item m="1" x="4435"/>
        <item m="1" x="4436"/>
        <item m="1" x="4437"/>
        <item m="1" x="4438"/>
        <item m="1" x="4439"/>
        <item m="1" x="4440"/>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441"/>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66"/>
        <item m="1" x="4267"/>
        <item m="1" x="4268"/>
        <item m="1" x="4314"/>
        <item m="1" x="4315"/>
        <item m="1" x="4316"/>
        <item m="1" x="4317"/>
        <item m="1" x="4318"/>
        <item m="1" x="4319"/>
        <item m="1" x="4320"/>
        <item m="1" x="4321"/>
        <item m="1" x="4322"/>
        <item m="1" x="4323"/>
        <item m="1" x="4324"/>
        <item m="1" x="4325"/>
        <item m="1" x="4326"/>
        <item m="1" x="4327"/>
        <item m="1" x="4328"/>
        <item m="1" x="4329"/>
        <item m="1" x="4330"/>
        <item m="1" x="4331"/>
        <item m="1" x="4386"/>
        <item m="1" x="4387"/>
        <item m="1" x="4388"/>
        <item m="1" x="4389"/>
        <item m="1" x="3897"/>
        <item m="1" x="4390"/>
        <item m="1" x="4391"/>
        <item m="1" x="4392"/>
        <item m="1" x="4393"/>
        <item m="1" x="792"/>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161"/>
        <item m="1" x="4058"/>
        <item m="1" x="4059"/>
        <item m="1" x="4060"/>
        <item m="1" x="4061"/>
        <item m="1" x="4062"/>
        <item m="1" x="4063"/>
        <item m="1" x="4064"/>
        <item m="1" x="4065"/>
        <item m="1" x="4066"/>
        <item m="1" x="4067"/>
        <item m="1" x="4135"/>
        <item m="1" x="4136"/>
        <item m="1" x="4068"/>
        <item m="1" x="4137"/>
        <item m="1" x="4138"/>
        <item m="1" x="4139"/>
        <item m="1" x="4072"/>
        <item m="1" x="4140"/>
        <item m="1" x="4141"/>
        <item m="1" x="4142"/>
        <item m="1" x="4076"/>
        <item m="1" x="4143"/>
        <item m="1" x="4080"/>
        <item m="1" x="4144"/>
        <item m="1" x="4145"/>
        <item m="1" x="4081"/>
        <item m="1" x="4146"/>
        <item m="1" x="4130"/>
        <item m="1" x="4086"/>
        <item m="1" x="4087"/>
        <item m="1" x="4088"/>
        <item m="1" x="4077"/>
        <item m="1" x="4147"/>
        <item m="1" x="4148"/>
        <item m="1" x="4116"/>
        <item m="1" x="4092"/>
        <item m="1" x="4149"/>
        <item m="1" x="4150"/>
        <item m="1" x="4151"/>
        <item m="1" x="4096"/>
        <item m="1" x="4078"/>
        <item m="1" x="4089"/>
        <item m="1" x="4099"/>
        <item m="1" x="4152"/>
        <item m="1" x="4153"/>
        <item m="1" x="4154"/>
        <item m="1" x="4103"/>
        <item m="1" x="4155"/>
        <item m="1" x="4107"/>
        <item m="1" x="4156"/>
        <item m="1" x="4109"/>
        <item m="1" x="4110"/>
        <item m="1" x="4111"/>
        <item m="1" x="4112"/>
        <item m="1" x="4113"/>
        <item m="1" x="4114"/>
        <item m="1" x="4115"/>
        <item m="1" x="4157"/>
        <item m="1" x="4158"/>
        <item m="1" x="4118"/>
        <item m="1" x="4119"/>
        <item m="1" x="4120"/>
        <item m="1" x="4121"/>
        <item m="1" x="4122"/>
        <item m="1" x="4123"/>
        <item m="1" x="4124"/>
        <item m="1" x="4125"/>
        <item m="1" x="4126"/>
        <item m="1" x="4128"/>
        <item m="1" x="4129"/>
        <item m="1" x="4159"/>
        <item m="1" x="4133"/>
        <item m="1" x="4160"/>
        <item m="1" x="4057"/>
        <item m="1" x="4069"/>
        <item m="1" x="4070"/>
        <item m="1" x="4071"/>
        <item m="1" x="4073"/>
        <item m="1" x="4074"/>
        <item m="1" x="4075"/>
        <item m="1" x="4079"/>
        <item m="1" x="4082"/>
        <item m="1" x="4083"/>
        <item m="1" x="4084"/>
        <item m="1" x="4085"/>
        <item m="1" x="4090"/>
        <item m="1" x="4091"/>
        <item m="1" x="4093"/>
        <item m="1" x="4094"/>
        <item m="1" x="4095"/>
        <item m="1" x="4097"/>
        <item m="1" x="4098"/>
        <item m="1" x="4100"/>
        <item m="1" x="4101"/>
        <item m="1" x="4102"/>
        <item m="1" x="4104"/>
        <item m="1" x="4105"/>
        <item m="1" x="4106"/>
        <item m="1" x="4108"/>
        <item m="1" x="4117"/>
        <item m="1" x="4127"/>
        <item m="1" x="4131"/>
        <item m="1" x="4132"/>
        <item m="1" x="4134"/>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678"/>
        <item m="1" x="679"/>
        <item m="1" x="680"/>
        <item m="1" x="681"/>
        <item m="1" x="682"/>
        <item m="1" x="683"/>
        <item m="1" x="684"/>
        <item m="1" x="685"/>
        <item m="1" x="686"/>
        <item m="1" x="687"/>
        <item m="1" x="689"/>
        <item m="1" x="690"/>
        <item m="1" x="691"/>
        <item m="1" x="786"/>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6"/>
        <item m="1" x="3197"/>
        <item m="1" x="3198"/>
        <item m="1" x="3199"/>
        <item m="1" x="3200"/>
        <item m="1" x="3201"/>
        <item m="1" x="3202"/>
        <item m="1" x="3203"/>
        <item m="1" x="3204"/>
        <item m="1" x="3205"/>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195"/>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130"/>
        <item m="1" x="3131"/>
        <item m="1" x="3132"/>
        <item m="1" x="3390"/>
        <item m="1" x="3401"/>
        <item m="1" x="3391"/>
        <item m="1" x="3392"/>
        <item m="1" x="3393"/>
        <item m="1" x="3394"/>
        <item m="1" x="3395"/>
        <item m="1" x="3396"/>
        <item m="1" x="3397"/>
        <item m="1" x="3398"/>
        <item m="1" x="3399"/>
        <item m="1" x="3400"/>
        <item m="1" x="3206"/>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144"/>
        <item m="1" x="3145"/>
        <item m="1" x="3146"/>
        <item m="1" x="3147"/>
        <item m="1" x="3148"/>
        <item m="1" x="3149"/>
        <item m="1" x="3150"/>
        <item m="1" x="3151"/>
        <item m="1" x="3152"/>
        <item m="1" x="3153"/>
        <item m="1" x="3051"/>
        <item m="1" x="3052"/>
        <item m="1" x="3053"/>
        <item m="1" x="3054"/>
        <item m="1" x="3154"/>
        <item m="1" x="3056"/>
        <item m="1" x="3155"/>
        <item m="1" x="3156"/>
        <item m="1" x="3157"/>
        <item m="1" x="3158"/>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61"/>
        <item m="1" x="3123"/>
        <item m="1" x="3162"/>
        <item m="1" x="3125"/>
        <item m="1" x="3126"/>
        <item m="1" x="3127"/>
        <item m="1" x="3128"/>
        <item m="1" x="3129"/>
        <item m="1" x="3133"/>
        <item m="1" x="3134"/>
        <item m="1" x="3135"/>
        <item m="1" x="3136"/>
        <item m="1" x="3159"/>
        <item m="1" x="3137"/>
        <item m="1" x="3138"/>
        <item m="1" x="3139"/>
        <item m="1" x="3140"/>
        <item m="1" x="3160"/>
        <item m="1" x="3143"/>
        <item m="1" x="3122"/>
        <item m="1" x="3124"/>
        <item x="249"/>
        <item m="1" x="3041"/>
        <item m="1" x="3042"/>
        <item m="1" x="3043"/>
        <item m="1" x="3044"/>
        <item m="1" x="3045"/>
        <item m="1" x="3046"/>
        <item m="1" x="3047"/>
        <item m="1" x="3048"/>
        <item m="1" x="3049"/>
        <item m="1" x="3050"/>
        <item m="1" x="3055"/>
        <item m="1" x="3057"/>
        <item m="1" x="3058"/>
        <item m="1" x="3059"/>
        <item m="1" x="3060"/>
        <item m="1" x="3141"/>
        <item m="1" x="3142"/>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407"/>
        <item m="1" x="2408"/>
        <item m="1" x="2409"/>
        <item m="1" x="2410"/>
        <item m="1" x="2411"/>
        <item m="1" x="2412"/>
        <item m="1" x="2413"/>
        <item m="1" x="2648"/>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650"/>
        <item m="1" x="2651"/>
        <item m="1" x="2652"/>
        <item m="1" x="2653"/>
        <item m="1" x="2654"/>
        <item m="1" x="2655"/>
        <item m="1" x="2656"/>
        <item m="1" x="2657"/>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58"/>
        <item m="1" x="2634"/>
        <item m="1" x="2635"/>
        <item m="1" x="2636"/>
        <item m="1" x="2637"/>
        <item m="1" x="2638"/>
        <item m="1" x="2639"/>
        <item m="1" x="2640"/>
        <item m="1" x="2641"/>
        <item m="1" x="2642"/>
        <item m="1" x="2643"/>
        <item m="1" x="2644"/>
        <item m="1" x="2553"/>
        <item m="1" x="2554"/>
        <item m="1" x="2645"/>
        <item m="1" x="2646"/>
        <item m="1" x="2647"/>
        <item m="1" x="1339"/>
        <item m="1" x="2649"/>
        <item m="1" x="2414"/>
        <item m="1" x="2555"/>
        <item m="1" x="2556"/>
        <item m="1" x="2557"/>
        <item m="1" x="2558"/>
        <item m="1" x="2559"/>
        <item m="1" x="2560"/>
        <item m="1" x="2633"/>
        <item m="1" x="2115"/>
        <item m="1" x="2116"/>
        <item m="1" x="2117"/>
        <item m="1" x="2118"/>
        <item m="1" x="2119"/>
        <item m="1" x="2120"/>
        <item m="1" x="2121"/>
        <item m="1" x="2406"/>
        <item m="1" x="2123"/>
        <item m="1" x="2124"/>
        <item m="1" x="2125"/>
        <item m="1" x="2126"/>
        <item m="1" x="2127"/>
        <item m="1" x="2128"/>
        <item m="1" x="2129"/>
        <item m="1" x="2130"/>
        <item m="1" x="2131"/>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384"/>
        <item m="1" x="2385"/>
        <item m="1" x="2386"/>
        <item m="1" x="2387"/>
        <item m="1" x="2388"/>
        <item m="1" x="2389"/>
        <item m="1" x="2390"/>
        <item m="1" x="2391"/>
        <item m="1" x="2392"/>
        <item m="1" x="2393"/>
        <item m="1" x="2394"/>
        <item m="1" x="2395"/>
        <item m="1" x="2396"/>
        <item m="1" x="2397"/>
        <item m="1" x="2398"/>
        <item m="1" x="2399"/>
        <item m="1" x="2400"/>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401"/>
        <item m="1" x="2402"/>
        <item m="1" x="2403"/>
        <item m="1" x="2404"/>
        <item m="1" x="2346"/>
        <item m="1" x="2347"/>
        <item m="1" x="2348"/>
        <item m="1" x="2349"/>
        <item m="1" x="2350"/>
        <item m="1" x="2351"/>
        <item m="1" x="2352"/>
        <item m="1" x="2353"/>
        <item m="1" x="2354"/>
        <item m="1" x="2405"/>
        <item m="1" x="2122"/>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273"/>
        <item m="1" x="2274"/>
        <item m="1" x="2275"/>
        <item m="1" x="2276"/>
        <item m="1" x="2277"/>
        <item m="1" x="2278"/>
        <item m="1" x="2279"/>
        <item m="1" x="2280"/>
        <item m="1" x="2281"/>
        <item m="1" x="2282"/>
        <item m="1" x="2283"/>
        <item m="1" x="2284"/>
        <item m="1" x="2285"/>
        <item m="1" x="2286"/>
        <item m="1" x="2287"/>
        <item m="1" x="2288"/>
        <item m="1" x="2289"/>
        <item m="1" x="2342"/>
        <item m="1" x="2343"/>
        <item m="1" x="2344"/>
        <item m="1" x="2345"/>
        <item m="1" x="2355"/>
        <item m="1" x="1824"/>
        <item m="1" x="1825"/>
        <item m="1" x="1826"/>
        <item m="1" x="1827"/>
        <item m="1" x="1828"/>
        <item m="1" x="1829"/>
        <item m="1" x="1830"/>
        <item m="1" x="1831"/>
        <item m="1" x="1832"/>
        <item m="1" x="1833"/>
        <item m="1" x="1834"/>
        <item m="1" x="1835"/>
        <item m="1" x="1836"/>
        <item m="1" x="1837"/>
        <item m="1" x="1838"/>
        <item m="1" x="1839"/>
        <item m="1" x="1840"/>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2093"/>
        <item m="1" x="2094"/>
        <item m="1" x="2095"/>
        <item m="1" x="2096"/>
        <item m="1" x="2097"/>
        <item m="1" x="2098"/>
        <item m="1" x="2099"/>
        <item m="1" x="2100"/>
        <item m="1" x="2101"/>
        <item m="1" x="2102"/>
        <item m="1" x="2103"/>
        <item m="1" x="2104"/>
        <item m="1" x="2105"/>
        <item m="1" x="2106"/>
        <item m="1" x="2107"/>
        <item m="1" x="2108"/>
        <item m="1" x="2109"/>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110"/>
        <item m="1" x="2111"/>
        <item m="1" x="2112"/>
        <item m="1" x="2113"/>
        <item m="1" x="2055"/>
        <item m="1" x="2056"/>
        <item m="1" x="2057"/>
        <item m="1" x="2058"/>
        <item m="1" x="2059"/>
        <item m="1" x="2060"/>
        <item m="1" x="2061"/>
        <item m="1" x="2062"/>
        <item m="1" x="2063"/>
        <item m="1" x="2114"/>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982"/>
        <item m="1" x="1983"/>
        <item m="1" x="1984"/>
        <item m="1" x="1985"/>
        <item m="1" x="1986"/>
        <item m="1" x="1987"/>
        <item m="1" x="1988"/>
        <item m="1" x="1989"/>
        <item m="1" x="1990"/>
        <item m="1" x="1991"/>
        <item m="1" x="1992"/>
        <item m="1" x="1993"/>
        <item m="1" x="1994"/>
        <item m="1" x="1995"/>
        <item m="1" x="1996"/>
        <item m="1" x="1997"/>
        <item m="1" x="1998"/>
        <item m="1" x="2051"/>
        <item m="1" x="2052"/>
        <item m="1" x="2053"/>
        <item m="1" x="2054"/>
        <item m="1" x="2064"/>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7"/>
        <item m="1" x="1818"/>
        <item m="1" x="1819"/>
        <item m="1" x="1820"/>
        <item m="1" x="1821"/>
        <item m="1" x="1822"/>
        <item m="1" x="1823"/>
        <item m="1" x="1816"/>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798"/>
        <item m="1" x="521"/>
        <item m="1" x="522"/>
        <item m="1" x="523"/>
        <item m="1" x="524"/>
        <item m="1" x="525"/>
        <item m="1" x="526"/>
        <item m="1" x="527"/>
        <item m="1" x="797"/>
        <item m="1" x="529"/>
        <item m="1" x="530"/>
        <item m="1" x="531"/>
        <item m="1" x="532"/>
        <item m="1" x="533"/>
        <item m="1" x="534"/>
        <item m="1" x="535"/>
        <item m="1" x="536"/>
        <item m="1" x="537"/>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853"/>
        <item m="1" x="589"/>
        <item m="1" x="590"/>
        <item m="1" x="591"/>
        <item m="1" x="854"/>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831"/>
        <item m="1" x="832"/>
        <item m="1" x="833"/>
        <item m="1" x="834"/>
        <item m="1" x="835"/>
        <item m="1" x="836"/>
        <item m="1" x="837"/>
        <item m="1" x="838"/>
        <item m="1" x="839"/>
        <item m="1" x="840"/>
        <item m="1" x="841"/>
        <item m="1" x="842"/>
        <item m="1" x="843"/>
        <item m="1" x="844"/>
        <item m="1" x="845"/>
        <item m="1" x="846"/>
        <item m="1" x="847"/>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848"/>
        <item m="1" x="778"/>
        <item m="1" x="849"/>
        <item m="1" x="850"/>
        <item m="1" x="785"/>
        <item m="1" x="851"/>
        <item m="1" x="788"/>
        <item m="1" x="789"/>
        <item m="1" x="790"/>
        <item m="1" x="791"/>
        <item m="1" x="793"/>
        <item m="1" x="794"/>
        <item m="1" x="852"/>
        <item m="1" x="588"/>
        <item m="1" x="777"/>
        <item m="1" x="799"/>
        <item m="1" x="800"/>
        <item m="1" x="801"/>
        <item m="1" x="779"/>
        <item m="1" x="802"/>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697"/>
        <item m="1" x="698"/>
        <item m="1" x="699"/>
        <item m="1" x="700"/>
        <item m="1" x="701"/>
        <item m="1" x="702"/>
        <item m="1" x="703"/>
        <item m="1" x="704"/>
        <item m="1" x="705"/>
        <item m="1" x="706"/>
        <item m="1" x="707"/>
        <item m="1" x="708"/>
        <item m="1" x="709"/>
        <item m="1" x="710"/>
        <item m="1" x="711"/>
        <item m="1" x="712"/>
        <item m="1" x="713"/>
        <item m="1" x="776"/>
        <item m="1" x="780"/>
        <item m="1" x="781"/>
        <item m="1" x="782"/>
        <item m="1" x="783"/>
        <item m="1" x="784"/>
        <item m="1" x="787"/>
        <item m="1" x="795"/>
        <item m="1" x="796"/>
        <item m="1" x="528"/>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x="150"/>
        <item x="151"/>
        <item x="152"/>
        <item x="153"/>
        <item x="154"/>
        <item x="155"/>
        <item x="156"/>
        <item x="157"/>
        <item x="158"/>
        <item x="159"/>
        <item x="160"/>
        <item x="161"/>
        <item x="162"/>
        <item x="163"/>
        <item x="164"/>
        <item x="165"/>
        <item x="166"/>
        <item x="167"/>
        <item x="16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x="241"/>
        <item x="242"/>
        <item x="243"/>
        <item x="244"/>
        <item x="245"/>
        <item x="246"/>
        <item x="247"/>
        <item m="1" x="501"/>
        <item m="1" x="502"/>
        <item m="1" x="503"/>
        <item m="1" x="504"/>
        <item m="1" x="505"/>
        <item m="1" x="506"/>
        <item m="1" x="507"/>
        <item m="1" x="508"/>
        <item m="1" x="509"/>
        <item m="1" x="510"/>
        <item x="258"/>
        <item m="1" x="511"/>
        <item m="1" x="512"/>
        <item m="1" x="513"/>
        <item m="1" x="514"/>
        <item m="1" x="515"/>
        <item x="264"/>
        <item m="1" x="516"/>
        <item m="1" x="517"/>
        <item m="1" x="518"/>
        <item m="1" x="519"/>
        <item m="1" x="520"/>
        <item x="27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8"/>
        <item x="250"/>
        <item x="251"/>
        <item x="252"/>
        <item x="253"/>
        <item x="254"/>
        <item x="255"/>
        <item x="256"/>
        <item x="257"/>
        <item x="259"/>
        <item x="260"/>
        <item x="261"/>
        <item x="262"/>
        <item x="263"/>
        <item x="265"/>
        <item x="266"/>
        <item x="267"/>
        <item x="268"/>
        <item x="269"/>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6">
    <i>
      <x/>
      <x/>
      <x v="5"/>
      <x v="2"/>
      <x v="2"/>
      <x v="47"/>
      <x v="2"/>
      <x v="15"/>
      <x v="7872"/>
      <x v="7815"/>
      <x v="5"/>
      <x v="4"/>
      <x v="7843"/>
      <x v="7805"/>
      <x v="89"/>
    </i>
    <i r="5">
      <x v="49"/>
      <x v="2"/>
      <x v="14"/>
      <x v="7873"/>
      <x v="7816"/>
      <x v="5"/>
      <x v="4"/>
      <x v="7844"/>
      <x v="7806"/>
      <x v="89"/>
    </i>
    <i r="5">
      <x v="50"/>
      <x v="2"/>
      <x v="12"/>
      <x v="7874"/>
      <x v="7817"/>
      <x v="5"/>
      <x v="4"/>
      <x v="7845"/>
      <x v="7807"/>
      <x v="89"/>
    </i>
    <i r="5">
      <x v="52"/>
      <x v="2"/>
      <x v="11"/>
      <x v="7875"/>
      <x v="7818"/>
      <x v="5"/>
      <x v="4"/>
      <x v="7846"/>
      <x v="7808"/>
      <x v="89"/>
    </i>
    <i r="5">
      <x v="54"/>
      <x v="2"/>
      <x v="10"/>
      <x v="7871"/>
      <x v="7814"/>
      <x v="5"/>
      <x v="4"/>
      <x v="7842"/>
      <x v="7804"/>
      <x v="89"/>
    </i>
    <i r="5">
      <x v="57"/>
      <x v="2"/>
      <x v="7"/>
      <x v="7877"/>
      <x v="7820"/>
      <x v="5"/>
      <x v="4"/>
      <x v="7848"/>
      <x v="7810"/>
      <x v="89"/>
    </i>
    <i r="5">
      <x v="60"/>
      <x v="2"/>
      <x v="5"/>
      <x v="7878"/>
      <x v="7821"/>
      <x v="5"/>
      <x v="4"/>
      <x v="7849"/>
      <x v="7811"/>
      <x v="89"/>
    </i>
    <i r="5">
      <x v="176"/>
      <x v="2"/>
      <x v="8"/>
      <x v="7876"/>
      <x v="7819"/>
      <x v="5"/>
      <x v="4"/>
      <x v="7847"/>
      <x v="7809"/>
      <x v="89"/>
    </i>
    <i r="2">
      <x v="6"/>
      <x v="3"/>
      <x v="2"/>
      <x v="92"/>
      <x v="1"/>
      <x v="9"/>
      <x v="7844"/>
      <x v="7874"/>
      <x v="1"/>
      <x/>
      <x v="7888"/>
      <x v="7864"/>
      <x v="89"/>
    </i>
    <i r="5">
      <x v="94"/>
      <x v="1"/>
      <x v="7"/>
      <x v="7916"/>
      <x v="7875"/>
      <x v="1"/>
      <x/>
      <x v="7889"/>
      <x v="7865"/>
      <x v="89"/>
    </i>
    <i r="5">
      <x v="96"/>
      <x v="1"/>
      <x v="3"/>
      <x v="7917"/>
      <x v="7876"/>
      <x v="1"/>
      <x/>
      <x v="7890"/>
      <x v="7866"/>
      <x v="89"/>
    </i>
    <i r="3">
      <x v="6"/>
      <x v="1"/>
      <x v="186"/>
      <x v="4"/>
      <x v="10"/>
      <x v="7949"/>
      <x v="7915"/>
      <x v="4"/>
      <x v="7"/>
      <x v="7930"/>
      <x v="7909"/>
      <x v="56"/>
    </i>
    <i r="4">
      <x v="2"/>
      <x v="12"/>
      <x v="5"/>
      <x v="10"/>
      <x v="7950"/>
      <x v="7916"/>
      <x v="4"/>
      <x v="7"/>
      <x v="7931"/>
      <x v="7910"/>
      <x v="7"/>
    </i>
    <i r="3">
      <x v="7"/>
      <x v="2"/>
      <x v="70"/>
      <x/>
      <x v="3"/>
      <x v="7975"/>
      <x v="7952"/>
      <x v="5"/>
      <x v="4"/>
      <x v="7961"/>
      <x v="7947"/>
      <x v="89"/>
    </i>
    <i r="5">
      <x v="77"/>
      <x/>
      <x v="1"/>
      <x v="7976"/>
      <x v="7953"/>
      <x v="5"/>
      <x v="4"/>
      <x v="7962"/>
      <x v="7948"/>
      <x v="89"/>
    </i>
    <i r="5">
      <x v="149"/>
      <x/>
      <x v="5"/>
      <x v="7971"/>
      <x v="7942"/>
      <x v="5"/>
      <x v="4"/>
      <x v="7953"/>
      <x v="7936"/>
      <x v="89"/>
    </i>
    <i r="5">
      <x v="154"/>
      <x/>
      <x v="7"/>
      <x v="7970"/>
      <x v="7941"/>
      <x v="5"/>
      <x v="4"/>
      <x v="7952"/>
      <x v="7935"/>
      <x v="89"/>
    </i>
    <i r="2">
      <x v="10"/>
      <x v="6"/>
      <x v="1"/>
      <x v="186"/>
      <x v="4"/>
      <x v="10"/>
      <x v="7949"/>
      <x v="7917"/>
      <x v="4"/>
      <x v="7"/>
      <x v="7930"/>
      <x v="7911"/>
      <x v="56"/>
    </i>
    <i r="4">
      <x v="2"/>
      <x v="10"/>
      <x v="5"/>
      <x v="10"/>
      <x v="7951"/>
      <x v="7918"/>
      <x v="4"/>
      <x v="7"/>
      <x v="7932"/>
      <x v="7912"/>
      <x v="7"/>
    </i>
    <i r="1">
      <x v="3"/>
      <x v="10"/>
      <x v="5"/>
      <x/>
      <x v="224"/>
      <x v="2"/>
      <x v="6"/>
      <x v="7772"/>
      <x v="7666"/>
      <x/>
      <x v="2"/>
      <x v="7723"/>
      <x v="7650"/>
      <x v="89"/>
    </i>
    <i r="1">
      <x v="4"/>
      <x v="10"/>
      <x v="3"/>
      <x v="2"/>
      <x v="9"/>
      <x v="1"/>
      <x v="9"/>
      <x v="7913"/>
      <x v="7871"/>
      <x v="1"/>
      <x/>
      <x v="7885"/>
      <x v="7861"/>
      <x v="89"/>
    </i>
    <i r="5">
      <x v="168"/>
      <x v="1"/>
      <x v="3"/>
      <x v="7915"/>
      <x v="7873"/>
      <x v="1"/>
      <x/>
      <x v="7887"/>
      <x v="7863"/>
      <x v="89"/>
    </i>
    <i r="5">
      <x v="191"/>
      <x v="1"/>
      <x v="12"/>
      <x v="7912"/>
      <x v="7870"/>
      <x v="1"/>
      <x/>
      <x v="7884"/>
      <x v="7860"/>
      <x v="50"/>
    </i>
    <i r="5">
      <x v="212"/>
      <x v="1"/>
      <x v="7"/>
      <x v="7914"/>
      <x v="7872"/>
      <x v="1"/>
      <x/>
      <x v="7886"/>
      <x v="7862"/>
      <x v="89"/>
    </i>
    <i r="3">
      <x v="6"/>
      <x v="1"/>
      <x v="186"/>
      <x v="4"/>
      <x v="10"/>
      <x v="7949"/>
      <x v="7917"/>
      <x v="4"/>
      <x v="7"/>
      <x v="7930"/>
      <x v="7911"/>
      <x v="56"/>
    </i>
    <i r="4">
      <x v="2"/>
      <x v="10"/>
      <x v="5"/>
      <x v="10"/>
      <x v="7951"/>
      <x v="7918"/>
      <x v="4"/>
      <x v="7"/>
      <x v="7932"/>
      <x v="7912"/>
      <x v="7"/>
    </i>
    <i r="1">
      <x v="5"/>
      <x v="10"/>
      <x v="3"/>
      <x v="2"/>
      <x v="9"/>
      <x v="1"/>
      <x v="9"/>
      <x v="7913"/>
      <x v="7871"/>
      <x v="1"/>
      <x/>
      <x v="7885"/>
      <x v="7861"/>
      <x v="89"/>
    </i>
    <i r="5">
      <x v="168"/>
      <x v="1"/>
      <x v="3"/>
      <x v="7915"/>
      <x v="7873"/>
      <x v="1"/>
      <x/>
      <x v="7887"/>
      <x v="7863"/>
      <x v="89"/>
    </i>
    <i r="5">
      <x v="191"/>
      <x v="1"/>
      <x v="12"/>
      <x v="7912"/>
      <x v="7870"/>
      <x v="1"/>
      <x/>
      <x v="7884"/>
      <x v="7860"/>
      <x v="50"/>
    </i>
    <i r="5">
      <x v="212"/>
      <x v="1"/>
      <x v="7"/>
      <x v="7914"/>
      <x v="7872"/>
      <x v="1"/>
      <x/>
      <x v="7886"/>
      <x v="7862"/>
      <x v="89"/>
    </i>
    <i r="3">
      <x v="5"/>
      <x/>
      <x v="224"/>
      <x v="2"/>
      <x v="6"/>
      <x v="7772"/>
      <x v="7666"/>
      <x/>
      <x v="2"/>
      <x v="7723"/>
      <x v="7650"/>
      <x v="89"/>
    </i>
    <i r="3">
      <x v="6"/>
      <x v="1"/>
      <x v="186"/>
      <x v="4"/>
      <x v="10"/>
      <x v="7949"/>
      <x v="7917"/>
      <x v="4"/>
      <x v="7"/>
      <x v="7930"/>
      <x v="7911"/>
      <x v="56"/>
    </i>
    <i r="4">
      <x v="2"/>
      <x v="10"/>
      <x v="5"/>
      <x v="10"/>
      <x v="7951"/>
      <x v="7918"/>
      <x v="4"/>
      <x v="7"/>
      <x v="7932"/>
      <x v="7912"/>
      <x v="7"/>
    </i>
    <i r="1">
      <x v="7"/>
      <x v="6"/>
      <x v="1"/>
      <x v="1"/>
      <x v="192"/>
      <x v="4"/>
      <x v="10"/>
      <x v="7859"/>
      <x v="7795"/>
      <x v="4"/>
      <x v="7"/>
      <x v="7830"/>
      <x v="7785"/>
      <x v="46"/>
    </i>
    <i r="4">
      <x v="2"/>
      <x v="15"/>
      <x v="5"/>
      <x v="10"/>
      <x v="7852"/>
      <x v="7797"/>
      <x v="4"/>
      <x v="7"/>
      <x v="7823"/>
      <x v="7787"/>
      <x v="4"/>
    </i>
    <i r="3">
      <x v="3"/>
      <x v="2"/>
      <x v="44"/>
      <x v="1"/>
      <x v="12"/>
      <x v="7908"/>
      <x v="7866"/>
      <x v="1"/>
      <x/>
      <x v="7880"/>
      <x v="7856"/>
      <x v="8"/>
    </i>
    <i r="5">
      <x v="85"/>
      <x v="1"/>
      <x v="9"/>
      <x v="7909"/>
      <x v="7867"/>
      <x v="1"/>
      <x/>
      <x v="7881"/>
      <x v="7857"/>
      <x v="89"/>
    </i>
    <i r="5">
      <x v="88"/>
      <x v="1"/>
      <x v="3"/>
      <x v="7911"/>
      <x v="7869"/>
      <x v="1"/>
      <x/>
      <x v="7883"/>
      <x v="7859"/>
      <x v="89"/>
    </i>
    <i r="5">
      <x v="173"/>
      <x v="1"/>
      <x v="7"/>
      <x v="7910"/>
      <x v="7868"/>
      <x v="1"/>
      <x/>
      <x v="7882"/>
      <x v="7858"/>
      <x v="89"/>
    </i>
    <i r="3">
      <x v="5"/>
      <x/>
      <x v="224"/>
      <x v="2"/>
      <x v="8"/>
      <x v="7772"/>
      <x v="7667"/>
      <x/>
      <x v="2"/>
      <x v="7723"/>
      <x v="7651"/>
      <x v="89"/>
    </i>
    <i r="3">
      <x v="6"/>
      <x v="1"/>
      <x v="186"/>
      <x v="4"/>
      <x v="10"/>
      <x v="7949"/>
      <x v="7915"/>
      <x v="4"/>
      <x v="7"/>
      <x v="7930"/>
      <x v="7909"/>
      <x v="56"/>
    </i>
    <i r="4">
      <x v="2"/>
      <x v="12"/>
      <x v="5"/>
      <x v="10"/>
      <x v="7950"/>
      <x v="7916"/>
      <x v="4"/>
      <x v="7"/>
      <x v="7931"/>
      <x v="7910"/>
      <x v="7"/>
    </i>
    <i r="3">
      <x v="7"/>
      <x v="2"/>
      <x v="70"/>
      <x/>
      <x v="3"/>
      <x v="7975"/>
      <x v="7952"/>
      <x v="5"/>
      <x v="4"/>
      <x v="7961"/>
      <x v="7947"/>
      <x v="89"/>
    </i>
    <i r="5">
      <x v="77"/>
      <x/>
      <x v="1"/>
      <x v="7976"/>
      <x v="7953"/>
      <x v="5"/>
      <x v="4"/>
      <x v="7962"/>
      <x v="7948"/>
      <x v="89"/>
    </i>
    <i r="5">
      <x v="149"/>
      <x/>
      <x v="5"/>
      <x v="7971"/>
      <x v="7942"/>
      <x v="5"/>
      <x v="4"/>
      <x v="7953"/>
      <x v="7936"/>
      <x v="89"/>
    </i>
    <i r="5">
      <x v="154"/>
      <x/>
      <x v="7"/>
      <x v="7970"/>
      <x v="7941"/>
      <x v="5"/>
      <x v="4"/>
      <x v="7952"/>
      <x v="7935"/>
      <x v="89"/>
    </i>
    <i r="3">
      <x v="12"/>
      <x v="1"/>
      <x v="113"/>
      <x v="4"/>
      <x v="17"/>
      <x v="7853"/>
      <x v="7806"/>
      <x v="4"/>
      <x v="7"/>
      <x v="7824"/>
      <x v="7796"/>
      <x v="56"/>
    </i>
    <i r="2">
      <x v="10"/>
      <x v="1"/>
      <x v="1"/>
      <x v="192"/>
      <x v="4"/>
      <x v="10"/>
      <x v="7859"/>
      <x v="7796"/>
      <x v="4"/>
      <x v="7"/>
      <x v="7830"/>
      <x v="7786"/>
      <x v="46"/>
    </i>
    <i r="3">
      <x v="2"/>
      <x v="2"/>
      <x v="47"/>
      <x v="2"/>
      <x v="15"/>
      <x v="7872"/>
      <x v="7850"/>
      <x v="5"/>
      <x v="4"/>
      <x v="7843"/>
      <x v="7840"/>
      <x v="89"/>
    </i>
    <i r="5">
      <x v="49"/>
      <x v="2"/>
      <x v="14"/>
      <x v="7873"/>
      <x v="7851"/>
      <x v="5"/>
      <x v="4"/>
      <x v="7844"/>
      <x v="7841"/>
      <x v="89"/>
    </i>
    <i r="5">
      <x v="50"/>
      <x v="2"/>
      <x v="12"/>
      <x v="7874"/>
      <x v="7852"/>
      <x v="5"/>
      <x v="4"/>
      <x v="7845"/>
      <x v="7842"/>
      <x v="89"/>
    </i>
    <i r="5">
      <x v="52"/>
      <x v="2"/>
      <x v="11"/>
      <x v="7875"/>
      <x v="7853"/>
      <x v="5"/>
      <x v="4"/>
      <x v="7846"/>
      <x v="7843"/>
      <x v="89"/>
    </i>
    <i r="5">
      <x v="54"/>
      <x v="2"/>
      <x v="10"/>
      <x v="7871"/>
      <x v="7849"/>
      <x v="5"/>
      <x v="4"/>
      <x v="7842"/>
      <x v="7839"/>
      <x v="89"/>
    </i>
    <i r="5">
      <x v="57"/>
      <x v="2"/>
      <x v="7"/>
      <x v="7877"/>
      <x v="7855"/>
      <x v="5"/>
      <x v="4"/>
      <x v="7848"/>
      <x v="7845"/>
      <x v="89"/>
    </i>
    <i r="5">
      <x v="60"/>
      <x v="2"/>
      <x v="5"/>
      <x v="7878"/>
      <x v="7856"/>
      <x v="5"/>
      <x v="4"/>
      <x v="7849"/>
      <x v="7846"/>
      <x v="89"/>
    </i>
    <i r="5">
      <x v="176"/>
      <x v="2"/>
      <x v="8"/>
      <x v="7876"/>
      <x v="7854"/>
      <x v="5"/>
      <x v="4"/>
      <x v="7847"/>
      <x v="7844"/>
      <x v="89"/>
    </i>
    <i r="3">
      <x v="3"/>
      <x v="2"/>
      <x v="9"/>
      <x v="1"/>
      <x v="9"/>
      <x v="7913"/>
      <x v="7871"/>
      <x v="1"/>
      <x/>
      <x v="7885"/>
      <x v="7861"/>
      <x v="89"/>
    </i>
    <i r="5">
      <x v="168"/>
      <x v="1"/>
      <x v="3"/>
      <x v="7915"/>
      <x v="7873"/>
      <x v="1"/>
      <x/>
      <x v="7887"/>
      <x v="7863"/>
      <x v="89"/>
    </i>
    <i r="5">
      <x v="191"/>
      <x v="1"/>
      <x v="12"/>
      <x v="7912"/>
      <x v="7870"/>
      <x v="1"/>
      <x/>
      <x v="7884"/>
      <x v="7860"/>
      <x v="50"/>
    </i>
    <i r="5">
      <x v="212"/>
      <x v="1"/>
      <x v="7"/>
      <x v="7914"/>
      <x v="7872"/>
      <x v="1"/>
      <x/>
      <x v="7886"/>
      <x v="7862"/>
      <x v="89"/>
    </i>
    <i r="3">
      <x v="12"/>
      <x v="1"/>
      <x v="113"/>
      <x v="4"/>
      <x v="17"/>
      <x v="7853"/>
      <x v="7805"/>
      <x v="4"/>
      <x v="7"/>
      <x v="7824"/>
      <x v="7795"/>
      <x v="56"/>
    </i>
    <i r="1">
      <x v="12"/>
      <x v="6"/>
      <x v="5"/>
      <x/>
      <x v="224"/>
      <x v="2"/>
      <x v="8"/>
      <x v="7772"/>
      <x v="7667"/>
      <x/>
      <x v="2"/>
      <x v="7723"/>
      <x v="7651"/>
      <x v="89"/>
    </i>
    <i r="1">
      <x v="13"/>
      <x v="6"/>
      <x v="6"/>
      <x v="1"/>
      <x v="186"/>
      <x v="4"/>
      <x v="10"/>
      <x v="7949"/>
      <x v="7915"/>
      <x v="4"/>
      <x v="7"/>
      <x v="7930"/>
      <x v="7909"/>
      <x v="56"/>
    </i>
    <i r="4">
      <x v="2"/>
      <x v="12"/>
      <x v="5"/>
      <x v="10"/>
      <x v="7950"/>
      <x v="7916"/>
      <x v="4"/>
      <x v="7"/>
      <x v="7931"/>
      <x v="7910"/>
      <x v="7"/>
    </i>
    <i r="1">
      <x v="14"/>
      <x v="6"/>
      <x v="3"/>
      <x v="2"/>
      <x v="85"/>
      <x v="1"/>
      <x v="9"/>
      <x v="7909"/>
      <x v="7867"/>
      <x v="1"/>
      <x/>
      <x v="7881"/>
      <x v="7857"/>
      <x v="89"/>
    </i>
    <i r="5">
      <x v="88"/>
      <x v="1"/>
      <x v="3"/>
      <x v="7911"/>
      <x v="7869"/>
      <x v="1"/>
      <x/>
      <x v="7883"/>
      <x v="7859"/>
      <x v="89"/>
    </i>
    <i r="5">
      <x v="173"/>
      <x v="1"/>
      <x v="7"/>
      <x v="7910"/>
      <x v="7868"/>
      <x v="1"/>
      <x/>
      <x v="7882"/>
      <x v="7858"/>
      <x v="89"/>
    </i>
    <i r="3">
      <x v="5"/>
      <x/>
      <x v="224"/>
      <x v="2"/>
      <x v="8"/>
      <x v="7772"/>
      <x v="7667"/>
      <x/>
      <x v="2"/>
      <x v="7723"/>
      <x v="7651"/>
      <x v="89"/>
    </i>
    <i r="3">
      <x v="6"/>
      <x v="1"/>
      <x v="186"/>
      <x v="4"/>
      <x v="10"/>
      <x v="7949"/>
      <x v="7915"/>
      <x v="4"/>
      <x v="7"/>
      <x v="7930"/>
      <x v="7909"/>
      <x v="56"/>
    </i>
    <i r="4">
      <x v="2"/>
      <x v="12"/>
      <x v="5"/>
      <x v="10"/>
      <x v="7950"/>
      <x v="7916"/>
      <x v="4"/>
      <x v="7"/>
      <x v="7931"/>
      <x v="7910"/>
      <x v="7"/>
    </i>
    <i r="3">
      <x v="7"/>
      <x v="2"/>
      <x v="70"/>
      <x/>
      <x v="3"/>
      <x v="7975"/>
      <x v="7952"/>
      <x v="5"/>
      <x v="4"/>
      <x v="7961"/>
      <x v="7947"/>
      <x v="89"/>
    </i>
    <i r="5">
      <x v="77"/>
      <x/>
      <x v="1"/>
      <x v="7976"/>
      <x v="7953"/>
      <x v="5"/>
      <x v="4"/>
      <x v="7962"/>
      <x v="7948"/>
      <x v="89"/>
    </i>
    <i r="5">
      <x v="149"/>
      <x/>
      <x v="5"/>
      <x v="7971"/>
      <x v="7942"/>
      <x v="5"/>
      <x v="4"/>
      <x v="7953"/>
      <x v="7936"/>
      <x v="89"/>
    </i>
    <i r="5">
      <x v="154"/>
      <x/>
      <x v="7"/>
      <x v="7970"/>
      <x v="7941"/>
      <x v="5"/>
      <x v="4"/>
      <x v="7952"/>
      <x v="7935"/>
      <x v="89"/>
    </i>
    <i r="2">
      <x v="10"/>
      <x v="6"/>
      <x v="1"/>
      <x v="186"/>
      <x v="4"/>
      <x v="10"/>
      <x v="7949"/>
      <x v="7917"/>
      <x v="4"/>
      <x v="7"/>
      <x v="7930"/>
      <x v="7911"/>
      <x v="56"/>
    </i>
    <i r="4">
      <x v="2"/>
      <x v="10"/>
      <x v="5"/>
      <x v="10"/>
      <x v="7951"/>
      <x v="7918"/>
      <x v="4"/>
      <x v="7"/>
      <x v="7932"/>
      <x v="7912"/>
      <x v="7"/>
    </i>
    <i r="1">
      <x v="15"/>
    </i>
    <i r="1">
      <x v="17"/>
      <x v="10"/>
      <x v="3"/>
      <x v="2"/>
      <x v="20"/>
      <x v="1"/>
      <x v="9"/>
      <x v="7918"/>
      <x v="7877"/>
      <x v="1"/>
      <x/>
      <x v="7891"/>
      <x v="7867"/>
      <x v="50"/>
    </i>
    <i>
      <x v="1"/>
      <x v="5"/>
      <x v="3"/>
      <x v="1"/>
      <x v="1"/>
      <x v="114"/>
      <x v="4"/>
      <x v="10"/>
      <x v="7855"/>
      <x v="7791"/>
      <x v="4"/>
      <x v="7"/>
      <x v="7826"/>
      <x v="7781"/>
      <x v="9"/>
    </i>
    <i r="1">
      <x v="7"/>
      <x v="3"/>
      <x v="1"/>
      <x v="1"/>
      <x v="114"/>
      <x v="4"/>
      <x v="10"/>
      <x v="7855"/>
      <x v="7791"/>
      <x v="4"/>
      <x v="7"/>
      <x v="7826"/>
      <x v="7781"/>
      <x v="9"/>
    </i>
    <i r="4">
      <x v="2"/>
      <x v="7"/>
      <x v="5"/>
      <x v="10"/>
      <x v="7856"/>
      <x v="7792"/>
      <x v="4"/>
      <x v="7"/>
      <x v="7827"/>
      <x v="7782"/>
      <x v="4"/>
    </i>
    <i r="3">
      <x v="6"/>
      <x v="1"/>
      <x v="187"/>
      <x v="4"/>
      <x v="10"/>
      <x v="7952"/>
      <x v="7919"/>
      <x v="4"/>
      <x v="7"/>
      <x v="7933"/>
      <x v="7913"/>
      <x v="56"/>
    </i>
    <i r="4">
      <x v="2"/>
      <x v="8"/>
      <x v="5"/>
      <x v="10"/>
      <x v="7953"/>
      <x v="7920"/>
      <x v="4"/>
      <x v="7"/>
      <x v="7934"/>
      <x v="7914"/>
      <x v="7"/>
    </i>
    <i r="3">
      <x v="12"/>
      <x v="1"/>
      <x v="190"/>
      <x v="4"/>
      <x v="17"/>
      <x v="7866"/>
      <x v="7807"/>
      <x v="4"/>
      <x v="7"/>
      <x v="7837"/>
      <x v="7797"/>
      <x v="56"/>
    </i>
    <i r="1">
      <x v="14"/>
      <x v="3"/>
      <x v="6"/>
      <x v="1"/>
      <x v="187"/>
      <x v="4"/>
      <x v="10"/>
      <x v="7952"/>
      <x v="7919"/>
      <x v="4"/>
      <x v="7"/>
      <x v="7933"/>
      <x v="7913"/>
      <x v="56"/>
    </i>
    <i r="1">
      <x v="15"/>
    </i>
    <i>
      <x v="2"/>
      <x/>
      <x v="3"/>
      <x v="3"/>
      <x v="2"/>
      <x v="47"/>
      <x v="1"/>
      <x v="9"/>
      <x v="7926"/>
      <x v="7886"/>
      <x v="1"/>
      <x/>
      <x v="7899"/>
      <x v="7876"/>
      <x v="89"/>
    </i>
    <i r="5">
      <x v="50"/>
      <x v="1"/>
      <x v="7"/>
      <x v="7923"/>
      <x v="7883"/>
      <x v="1"/>
      <x/>
      <x v="7896"/>
      <x v="7873"/>
      <x v="89"/>
    </i>
    <i r="5">
      <x v="53"/>
      <x v="1"/>
      <x v="3"/>
      <x v="7927"/>
      <x v="7887"/>
      <x v="1"/>
      <x/>
      <x v="7900"/>
      <x v="7877"/>
      <x v="89"/>
    </i>
    <i r="1">
      <x v="7"/>
      <x v="3"/>
      <x v="1"/>
      <x v="1"/>
      <x v="120"/>
      <x v="4"/>
      <x v="10"/>
      <x v="7851"/>
      <x v="7786"/>
      <x v="4"/>
      <x v="7"/>
      <x v="7822"/>
      <x v="7776"/>
      <x v="9"/>
    </i>
    <i r="4">
      <x v="2"/>
      <x v="15"/>
      <x v="5"/>
      <x v="10"/>
      <x v="7852"/>
      <x v="7787"/>
      <x v="4"/>
      <x v="7"/>
      <x v="7823"/>
      <x v="7777"/>
      <x v="3"/>
    </i>
    <i r="3">
      <x v="2"/>
      <x v="2"/>
      <x v="47"/>
      <x v="2"/>
      <x v="10"/>
      <x v="7872"/>
      <x v="7840"/>
      <x v="5"/>
      <x v="4"/>
      <x v="7843"/>
      <x v="7830"/>
      <x v="89"/>
    </i>
    <i r="5">
      <x v="50"/>
      <x v="2"/>
      <x v="8"/>
      <x v="7874"/>
      <x v="7841"/>
      <x v="5"/>
      <x v="4"/>
      <x v="7845"/>
      <x v="7831"/>
      <x v="89"/>
    </i>
    <i r="5">
      <x v="53"/>
      <x v="2"/>
      <x v="7"/>
      <x v="7894"/>
      <x v="7842"/>
      <x v="5"/>
      <x v="4"/>
      <x v="7865"/>
      <x v="7832"/>
      <x v="89"/>
    </i>
    <i r="5">
      <x v="177"/>
      <x v="2"/>
      <x v="5"/>
      <x v="7895"/>
      <x v="7843"/>
      <x v="5"/>
      <x v="4"/>
      <x v="7866"/>
      <x v="7833"/>
      <x v="89"/>
    </i>
    <i r="3">
      <x v="3"/>
      <x v="2"/>
      <x v="33"/>
      <x v="1"/>
      <x v="9"/>
      <x v="7924"/>
      <x v="7884"/>
      <x v="1"/>
      <x/>
      <x v="7897"/>
      <x v="7874"/>
      <x v="89"/>
    </i>
    <i r="5">
      <x v="35"/>
      <x v="1"/>
      <x v="7"/>
      <x v="7921"/>
      <x v="7880"/>
      <x v="1"/>
      <x/>
      <x v="7894"/>
      <x v="7870"/>
      <x v="89"/>
    </i>
    <i r="5">
      <x v="155"/>
      <x v="1"/>
      <x v="3"/>
      <x v="7925"/>
      <x v="7885"/>
      <x v="1"/>
      <x/>
      <x v="7898"/>
      <x v="7875"/>
      <x v="89"/>
    </i>
    <i r="3">
      <x v="6"/>
      <x v="1"/>
      <x v="189"/>
      <x v="4"/>
      <x v="10"/>
      <x v="7870"/>
      <x v="7931"/>
      <x v="4"/>
      <x v="7"/>
      <x v="7841"/>
      <x v="7925"/>
      <x v="50"/>
    </i>
    <i r="1">
      <x v="15"/>
    </i>
    <i>
      <x v="3"/>
      <x/>
      <x v="3"/>
      <x v="1"/>
      <x v="2"/>
      <x v="5"/>
      <x v="5"/>
      <x v="10"/>
      <x v="7858"/>
      <x v="7794"/>
      <x v="4"/>
      <x v="7"/>
      <x v="7829"/>
      <x v="7784"/>
      <x v="9"/>
    </i>
    <i r="3">
      <x v="3"/>
      <x v="2"/>
      <x v="86"/>
      <x v="1"/>
      <x v="3"/>
      <x v="7904"/>
      <x v="7862"/>
      <x v="1"/>
      <x/>
      <x v="7876"/>
      <x v="7852"/>
      <x v="89"/>
    </i>
    <i r="5">
      <x v="146"/>
      <x v="1"/>
      <x v="9"/>
      <x v="7902"/>
      <x v="7860"/>
      <x v="1"/>
      <x/>
      <x v="7874"/>
      <x v="7850"/>
      <x v="89"/>
    </i>
    <i r="5">
      <x v="211"/>
      <x v="1"/>
      <x v="7"/>
      <x v="7903"/>
      <x v="7861"/>
      <x v="1"/>
      <x/>
      <x v="7875"/>
      <x v="7851"/>
      <x v="89"/>
    </i>
    <i r="1">
      <x v="7"/>
      <x v="3"/>
      <x v="1"/>
      <x v="1"/>
      <x v="164"/>
      <x v="4"/>
      <x v="10"/>
      <x v="7864"/>
      <x v="7803"/>
      <x v="4"/>
      <x v="7"/>
      <x v="7835"/>
      <x v="7793"/>
      <x v="56"/>
    </i>
    <i r="4">
      <x v="2"/>
      <x v="5"/>
      <x v="5"/>
      <x v="10"/>
      <x v="7858"/>
      <x v="7794"/>
      <x v="4"/>
      <x v="7"/>
      <x v="7829"/>
      <x v="7784"/>
      <x v="9"/>
    </i>
    <i r="3">
      <x v="2"/>
      <x v="2"/>
      <x v="60"/>
      <x v="2"/>
      <x v="10"/>
      <x v="7878"/>
      <x v="7844"/>
      <x v="5"/>
      <x v="4"/>
      <x v="7849"/>
      <x v="7834"/>
      <x v="89"/>
    </i>
    <i r="5">
      <x v="62"/>
      <x v="2"/>
      <x v="8"/>
      <x v="7896"/>
      <x v="7845"/>
      <x v="5"/>
      <x v="4"/>
      <x v="7867"/>
      <x v="7835"/>
      <x v="89"/>
    </i>
    <i r="5">
      <x v="64"/>
      <x v="2"/>
      <x v="7"/>
      <x v="7897"/>
      <x v="7846"/>
      <x v="5"/>
      <x v="4"/>
      <x v="7868"/>
      <x v="7836"/>
      <x v="89"/>
    </i>
    <i r="5">
      <x v="67"/>
      <x v="2"/>
      <x v="5"/>
      <x v="7898"/>
      <x v="7847"/>
      <x v="5"/>
      <x v="4"/>
      <x v="7869"/>
      <x v="7837"/>
      <x v="89"/>
    </i>
    <i r="3">
      <x v="3"/>
      <x v="2"/>
      <x v="67"/>
      <x v="1"/>
      <x v="9"/>
      <x v="7835"/>
      <x v="7857"/>
      <x v="1"/>
      <x/>
      <x v="7871"/>
      <x v="7847"/>
      <x v="89"/>
    </i>
    <i r="5">
      <x v="69"/>
      <x v="1"/>
      <x v="7"/>
      <x v="7900"/>
      <x v="7858"/>
      <x v="1"/>
      <x/>
      <x v="7872"/>
      <x v="7848"/>
      <x v="89"/>
    </i>
    <i r="5">
      <x v="71"/>
      <x v="1"/>
      <x v="3"/>
      <x v="7901"/>
      <x v="7859"/>
      <x v="1"/>
      <x/>
      <x v="7873"/>
      <x v="7849"/>
      <x v="89"/>
    </i>
    <i r="3">
      <x v="6"/>
      <x v="2"/>
      <x v="15"/>
      <x v="5"/>
      <x v="10"/>
      <x v="7852"/>
      <x v="7787"/>
      <x v="4"/>
      <x v="7"/>
      <x v="7823"/>
      <x v="7777"/>
      <x v="12"/>
    </i>
    <i r="1">
      <x v="15"/>
    </i>
    <i>
      <x v="4"/>
      <x/>
      <x v="3"/>
      <x v="3"/>
      <x v="2"/>
      <x v="67"/>
      <x v="1"/>
      <x v="9"/>
      <x v="7835"/>
      <x v="7857"/>
      <x v="1"/>
      <x/>
      <x v="7871"/>
      <x v="7847"/>
      <x v="89"/>
    </i>
    <i r="5">
      <x v="69"/>
      <x v="1"/>
      <x v="7"/>
      <x v="7900"/>
      <x v="7858"/>
      <x v="1"/>
      <x/>
      <x v="7872"/>
      <x v="7848"/>
      <x v="89"/>
    </i>
    <i r="5">
      <x v="71"/>
      <x v="1"/>
      <x v="3"/>
      <x v="7901"/>
      <x v="7859"/>
      <x v="1"/>
      <x/>
      <x v="7873"/>
      <x v="7849"/>
      <x v="89"/>
    </i>
    <i r="1">
      <x v="7"/>
      <x v="3"/>
      <x v="1"/>
      <x v="1"/>
      <x v="122"/>
      <x v="4"/>
      <x v="10"/>
      <x v="7857"/>
      <x v="7793"/>
      <x v="4"/>
      <x v="7"/>
      <x v="7828"/>
      <x v="7783"/>
      <x v="9"/>
    </i>
    <i r="4">
      <x v="2"/>
      <x v="15"/>
      <x v="5"/>
      <x v="10"/>
      <x v="7852"/>
      <x v="7787"/>
      <x v="4"/>
      <x v="7"/>
      <x v="7823"/>
      <x v="7777"/>
      <x v="3"/>
    </i>
    <i r="3">
      <x v="3"/>
      <x v="2"/>
      <x v="54"/>
      <x v="1"/>
      <x v="9"/>
      <x v="7905"/>
      <x v="7863"/>
      <x v="1"/>
      <x/>
      <x v="7877"/>
      <x v="7853"/>
      <x v="89"/>
    </i>
    <i r="5">
      <x v="57"/>
      <x v="1"/>
      <x v="3"/>
      <x v="7907"/>
      <x v="7865"/>
      <x v="1"/>
      <x/>
      <x v="7879"/>
      <x v="7855"/>
      <x v="89"/>
    </i>
    <i r="5">
      <x v="176"/>
      <x v="1"/>
      <x v="7"/>
      <x v="7906"/>
      <x v="7864"/>
      <x v="1"/>
      <x/>
      <x v="7878"/>
      <x v="7854"/>
      <x v="89"/>
    </i>
    <i r="3">
      <x v="18"/>
      <x v="2"/>
      <x v="53"/>
      <x v="2"/>
      <x v="7"/>
      <x v="7927"/>
      <x v="7887"/>
      <x v="2"/>
      <x v="2"/>
      <x v="7915"/>
      <x v="7894"/>
      <x v="89"/>
    </i>
    <i r="5">
      <x v="63"/>
      <x v="2"/>
      <x v="3"/>
      <x v="7843"/>
      <x v="7890"/>
      <x v="2"/>
      <x v="2"/>
      <x v="7917"/>
      <x v="7896"/>
      <x v="89"/>
    </i>
    <i r="5">
      <x v="180"/>
      <x v="2"/>
      <x v="10"/>
      <x v="7939"/>
      <x v="7904"/>
      <x v="2"/>
      <x v="2"/>
      <x v="7916"/>
      <x v="7895"/>
      <x v="89"/>
    </i>
    <i r="1">
      <x v="12"/>
      <x v="3"/>
      <x v="3"/>
      <x v="2"/>
      <x v="54"/>
      <x v="1"/>
      <x v="9"/>
      <x v="7905"/>
      <x v="7863"/>
      <x v="1"/>
      <x/>
      <x v="7877"/>
      <x v="7853"/>
      <x v="89"/>
    </i>
    <i r="5">
      <x v="57"/>
      <x v="1"/>
      <x v="3"/>
      <x v="7907"/>
      <x v="7865"/>
      <x v="1"/>
      <x/>
      <x v="7879"/>
      <x v="7855"/>
      <x v="89"/>
    </i>
    <i r="5">
      <x v="176"/>
      <x v="1"/>
      <x v="7"/>
      <x v="7906"/>
      <x v="7864"/>
      <x v="1"/>
      <x/>
      <x v="7878"/>
      <x v="7854"/>
      <x v="89"/>
    </i>
    <i r="1">
      <x v="15"/>
    </i>
    <i>
      <x v="5"/>
      <x v="5"/>
      <x v="8"/>
      <x v="6"/>
      <x v="2"/>
      <x v="7"/>
      <x v="5"/>
      <x v="10"/>
      <x v="7856"/>
      <x v="7923"/>
      <x v="4"/>
      <x v="7"/>
      <x v="7827"/>
      <x v="7917"/>
      <x v="2"/>
    </i>
    <i>
      <x v="6"/>
      <x v="7"/>
      <x v="5"/>
      <x v="7"/>
      <x v="2"/>
      <x v="62"/>
      <x/>
      <x v="7"/>
      <x v="7836"/>
      <x v="7770"/>
      <x v="5"/>
      <x v="4"/>
      <x v="7957"/>
      <x v="7974"/>
      <x v="89"/>
    </i>
    <i r="5">
      <x v="66"/>
      <x/>
      <x v="5"/>
      <x v="7974"/>
      <x v="7955"/>
      <x v="5"/>
      <x v="4"/>
      <x v="7958"/>
      <x v="7950"/>
      <x v="89"/>
    </i>
    <i r="5">
      <x v="69"/>
      <x/>
      <x v="3"/>
      <x v="7900"/>
      <x v="7956"/>
      <x v="5"/>
      <x v="4"/>
      <x v="7964"/>
      <x v="7951"/>
      <x v="89"/>
    </i>
    <i r="5">
      <x v="76"/>
      <x/>
      <x v="1"/>
      <x v="7839"/>
      <x v="7977"/>
      <x v="5"/>
      <x v="4"/>
      <x v="7979"/>
      <x v="7975"/>
      <x v="89"/>
    </i>
    <i r="1">
      <x v="15"/>
    </i>
    <i>
      <x v="7"/>
      <x/>
      <x v="4"/>
      <x v="5"/>
      <x/>
      <x v="216"/>
      <x v="2"/>
      <x v="7"/>
      <x v="7763"/>
      <x v="7657"/>
      <x/>
      <x v="2"/>
      <x v="7714"/>
      <x v="7641"/>
      <x v="89"/>
    </i>
    <i r="2">
      <x v="5"/>
      <x v="7"/>
      <x v="2"/>
      <x v="84"/>
      <x/>
      <x v="7"/>
      <x v="7962"/>
      <x v="7932"/>
      <x v="5"/>
      <x v="4"/>
      <x v="7943"/>
      <x v="7926"/>
      <x v="89"/>
    </i>
    <i r="5">
      <x v="85"/>
      <x/>
      <x v="5"/>
      <x v="7909"/>
      <x v="7933"/>
      <x v="5"/>
      <x v="4"/>
      <x v="7944"/>
      <x v="7927"/>
      <x v="89"/>
    </i>
    <i r="5">
      <x v="185"/>
      <x/>
      <x v="3"/>
      <x v="7963"/>
      <x v="7934"/>
      <x v="5"/>
      <x v="4"/>
      <x v="7945"/>
      <x v="7928"/>
      <x v="89"/>
    </i>
    <i r="5">
      <x v="208"/>
      <x/>
      <x v="1"/>
      <x v="7964"/>
      <x v="7935"/>
      <x v="5"/>
      <x v="4"/>
      <x v="7946"/>
      <x v="7929"/>
      <x v="89"/>
    </i>
    <i r="1">
      <x v="7"/>
      <x v="4"/>
      <x v="5"/>
      <x/>
      <x v="216"/>
      <x v="2"/>
      <x v="7"/>
      <x v="7763"/>
      <x v="7657"/>
      <x/>
      <x v="2"/>
      <x v="7714"/>
      <x v="7641"/>
      <x v="89"/>
    </i>
    <i r="2">
      <x v="5"/>
      <x/>
      <x v="2"/>
      <x v="62"/>
      <x v="2"/>
      <x v="10"/>
      <x v="7836"/>
      <x v="7770"/>
      <x v="4"/>
      <x v="3"/>
      <x v="7807"/>
      <x v="7760"/>
      <x v="5"/>
    </i>
    <i r="5">
      <x v="67"/>
      <x v="2"/>
      <x v="7"/>
      <x v="7835"/>
      <x v="7769"/>
      <x v="4"/>
      <x v="3"/>
      <x v="7806"/>
      <x v="7759"/>
      <x v="5"/>
    </i>
    <i r="3">
      <x v="7"/>
      <x v="2"/>
      <x v="84"/>
      <x/>
      <x v="7"/>
      <x v="7962"/>
      <x v="7932"/>
      <x v="5"/>
      <x v="4"/>
      <x v="7943"/>
      <x v="7926"/>
      <x v="89"/>
    </i>
    <i r="5">
      <x v="85"/>
      <x/>
      <x v="5"/>
      <x v="7909"/>
      <x v="7933"/>
      <x v="5"/>
      <x v="4"/>
      <x v="7944"/>
      <x v="7927"/>
      <x v="89"/>
    </i>
    <i r="5">
      <x v="185"/>
      <x/>
      <x v="3"/>
      <x v="7963"/>
      <x v="7934"/>
      <x v="5"/>
      <x v="4"/>
      <x v="7945"/>
      <x v="7928"/>
      <x v="89"/>
    </i>
    <i r="5">
      <x v="208"/>
      <x/>
      <x v="1"/>
      <x v="7964"/>
      <x v="7935"/>
      <x v="5"/>
      <x v="4"/>
      <x v="7946"/>
      <x v="7929"/>
      <x v="89"/>
    </i>
    <i r="1">
      <x v="14"/>
      <x v="4"/>
      <x v="5"/>
      <x/>
      <x v="216"/>
      <x v="2"/>
      <x v="7"/>
      <x v="7763"/>
      <x v="7657"/>
      <x/>
      <x v="2"/>
      <x v="7714"/>
      <x v="7641"/>
      <x v="89"/>
    </i>
    <i r="2">
      <x v="5"/>
      <x v="7"/>
      <x v="2"/>
      <x v="84"/>
      <x/>
      <x v="7"/>
      <x v="7962"/>
      <x v="7932"/>
      <x v="5"/>
      <x v="4"/>
      <x v="7943"/>
      <x v="7926"/>
      <x v="89"/>
    </i>
    <i r="5">
      <x v="85"/>
      <x/>
      <x v="5"/>
      <x v="7909"/>
      <x v="7933"/>
      <x v="5"/>
      <x v="4"/>
      <x v="7944"/>
      <x v="7927"/>
      <x v="89"/>
    </i>
    <i r="5">
      <x v="185"/>
      <x/>
      <x v="3"/>
      <x v="7963"/>
      <x v="7934"/>
      <x v="5"/>
      <x v="4"/>
      <x v="7945"/>
      <x v="7928"/>
      <x v="89"/>
    </i>
    <i r="5">
      <x v="208"/>
      <x/>
      <x v="1"/>
      <x v="7964"/>
      <x v="7935"/>
      <x v="5"/>
      <x v="4"/>
      <x v="7946"/>
      <x v="7929"/>
      <x v="89"/>
    </i>
    <i r="1">
      <x v="15"/>
    </i>
    <i r="1">
      <x v="17"/>
      <x v="4"/>
      <x v="5"/>
      <x/>
      <x v="216"/>
      <x v="2"/>
      <x v="7"/>
      <x v="7763"/>
      <x v="7657"/>
      <x/>
      <x v="2"/>
      <x v="7714"/>
      <x v="7641"/>
      <x v="89"/>
    </i>
    <i r="1">
      <x v="20"/>
      <x v="4"/>
      <x v="5"/>
      <x/>
      <x v="216"/>
      <x v="2"/>
      <x v="7"/>
      <x v="7763"/>
      <x v="7657"/>
      <x/>
      <x v="2"/>
      <x v="7714"/>
      <x v="7641"/>
      <x v="89"/>
    </i>
    <i>
      <x v="8"/>
      <x v="7"/>
      <x v="3"/>
      <x v="3"/>
      <x v="2"/>
      <x v="61"/>
      <x v="1"/>
      <x v="7"/>
      <x v="7929"/>
      <x v="7889"/>
      <x v="1"/>
      <x/>
      <x v="7902"/>
      <x v="7879"/>
      <x v="89"/>
    </i>
    <i r="5">
      <x v="63"/>
      <x v="1"/>
      <x v="3"/>
      <x v="7843"/>
      <x v="7890"/>
      <x v="1"/>
      <x/>
      <x v="7903"/>
      <x v="7880"/>
      <x v="89"/>
    </i>
    <i r="5">
      <x v="150"/>
      <x v="1"/>
      <x v="9"/>
      <x v="7928"/>
      <x v="7888"/>
      <x v="1"/>
      <x/>
      <x v="7901"/>
      <x v="7878"/>
      <x v="89"/>
    </i>
    <i>
      <x v="9"/>
      <x v="7"/>
      <x v="5"/>
      <x v="1"/>
      <x v="1"/>
      <x v="113"/>
      <x v="4"/>
      <x v="10"/>
      <x v="7853"/>
      <x v="7788"/>
      <x v="4"/>
      <x v="7"/>
      <x v="7824"/>
      <x v="7778"/>
      <x v="56"/>
    </i>
    <i r="14">
      <x v="89"/>
    </i>
    <i r="4">
      <x v="2"/>
      <x v="9"/>
      <x v="5"/>
      <x v="11"/>
      <x v="7854"/>
      <x v="7789"/>
      <x v="4"/>
      <x v="7"/>
      <x v="7825"/>
      <x v="7779"/>
      <x v="4"/>
    </i>
    <i r="5">
      <x v="15"/>
      <x v="5"/>
      <x v="10"/>
      <x v="7852"/>
      <x v="7790"/>
      <x v="4"/>
      <x v="7"/>
      <x v="7823"/>
      <x v="7780"/>
      <x v="3"/>
    </i>
    <i r="3">
      <x v="2"/>
      <x v="2"/>
      <x v="13"/>
      <x v="2"/>
      <x v="12"/>
      <x v="7893"/>
      <x v="7837"/>
      <x v="5"/>
      <x v="4"/>
      <x v="7864"/>
      <x v="7827"/>
      <x v="89"/>
    </i>
    <i r="3">
      <x v="3"/>
      <x v="2"/>
      <x v="36"/>
      <x v="1"/>
      <x v="9"/>
      <x v="7932"/>
      <x v="7896"/>
      <x v="1"/>
      <x/>
      <x v="7908"/>
      <x v="7886"/>
      <x v="89"/>
    </i>
    <i r="5">
      <x v="155"/>
      <x v="1"/>
      <x v="7"/>
      <x v="7925"/>
      <x v="7897"/>
      <x v="1"/>
      <x/>
      <x v="7898"/>
      <x v="7887"/>
      <x v="89"/>
    </i>
    <i r="5">
      <x v="174"/>
      <x v="1"/>
      <x v="3"/>
      <x v="7933"/>
      <x v="7898"/>
      <x v="1"/>
      <x/>
      <x v="7909"/>
      <x v="7888"/>
      <x v="89"/>
    </i>
    <i r="3">
      <x v="6"/>
      <x v="1"/>
      <x v="171"/>
      <x v="4"/>
      <x v="10"/>
      <x v="7961"/>
      <x v="7929"/>
      <x v="4"/>
      <x v="7"/>
      <x v="7942"/>
      <x v="7923"/>
      <x v="56"/>
    </i>
    <i r="4">
      <x v="2"/>
      <x v="7"/>
      <x v="5"/>
      <x v="10"/>
      <x v="7856"/>
      <x v="7930"/>
      <x v="4"/>
      <x v="7"/>
      <x v="7827"/>
      <x v="7924"/>
      <x v="7"/>
    </i>
    <i r="2">
      <x v="6"/>
      <x/>
      <x v="2"/>
      <x v="11"/>
      <x v="2"/>
      <x v="18"/>
      <x v="7845"/>
      <x v="7780"/>
      <x v="4"/>
      <x v="3"/>
      <x v="7816"/>
      <x v="7770"/>
      <x v="56"/>
    </i>
    <i r="5">
      <x v="20"/>
      <x v="2"/>
      <x v="18"/>
      <x v="7918"/>
      <x v="7986"/>
      <x v="4"/>
      <x v="3"/>
      <x v="7988"/>
      <x v="7984"/>
      <x v="89"/>
    </i>
    <i r="5">
      <x v="25"/>
      <x v="2"/>
      <x v="10"/>
      <x v="7847"/>
      <x v="7782"/>
      <x v="4"/>
      <x v="3"/>
      <x v="7818"/>
      <x v="7772"/>
      <x v="56"/>
    </i>
    <i r="5">
      <x v="38"/>
      <x v="2"/>
      <x v="7"/>
      <x v="7848"/>
      <x v="7783"/>
      <x v="4"/>
      <x v="3"/>
      <x v="7819"/>
      <x v="7773"/>
      <x v="56"/>
    </i>
    <i r="5">
      <x v="51"/>
      <x v="2"/>
      <x v="7"/>
      <x v="7994"/>
      <x v="7989"/>
      <x v="4"/>
      <x v="3"/>
      <x v="7991"/>
      <x v="7987"/>
      <x v="89"/>
    </i>
    <i r="5">
      <x v="60"/>
      <x v="2"/>
      <x v="4"/>
      <x v="7849"/>
      <x v="7784"/>
      <x v="4"/>
      <x v="3"/>
      <x v="7820"/>
      <x v="7774"/>
      <x v="56"/>
    </i>
    <i r="5">
      <x v="80"/>
      <x v="2"/>
      <x v="4"/>
      <x v="7995"/>
      <x v="7990"/>
      <x v="4"/>
      <x v="3"/>
      <x v="7992"/>
      <x v="7988"/>
      <x v="89"/>
    </i>
    <i r="5">
      <x v="155"/>
      <x v="2"/>
      <x v="11"/>
      <x v="7925"/>
      <x v="7987"/>
      <x v="4"/>
      <x v="3"/>
      <x v="7989"/>
      <x v="7985"/>
      <x v="89"/>
    </i>
    <i r="5">
      <x v="180"/>
      <x v="2"/>
      <x v="10"/>
      <x v="7939"/>
      <x v="7988"/>
      <x v="4"/>
      <x v="3"/>
      <x v="7990"/>
      <x v="7986"/>
      <x v="89"/>
    </i>
    <i r="5">
      <x v="181"/>
      <x v="2"/>
      <x v="11"/>
      <x v="7846"/>
      <x v="7781"/>
      <x v="4"/>
      <x v="3"/>
      <x v="7817"/>
      <x v="7771"/>
      <x v="56"/>
    </i>
    <i>
      <x v="10"/>
      <x v="4"/>
      <x v="10"/>
      <x v="5"/>
      <x/>
      <x v="222"/>
      <x v="2"/>
      <x v="3"/>
      <x v="7769"/>
      <x v="7663"/>
      <x/>
      <x v="2"/>
      <x v="7720"/>
      <x v="7647"/>
      <x v="89"/>
    </i>
    <i>
      <x v="11"/>
      <x v="15"/>
    </i>
    <i>
      <x v="12"/>
      <x/>
      <x v="5"/>
      <x v="1"/>
      <x v="1"/>
      <x v="113"/>
      <x v="4"/>
      <x v="10"/>
      <x v="7853"/>
      <x v="7788"/>
      <x v="4"/>
      <x v="7"/>
      <x v="7824"/>
      <x v="7778"/>
      <x v="56"/>
    </i>
    <i r="4">
      <x v="2"/>
      <x v="9"/>
      <x v="5"/>
      <x v="10"/>
      <x v="7854"/>
      <x v="7789"/>
      <x v="4"/>
      <x v="7"/>
      <x v="7825"/>
      <x v="7779"/>
      <x v="4"/>
    </i>
    <i r="1">
      <x v="7"/>
      <x v="5"/>
      <x v="1"/>
      <x v="1"/>
      <x v="113"/>
      <x v="4"/>
      <x v="10"/>
      <x v="7853"/>
      <x v="7788"/>
      <x v="4"/>
      <x v="7"/>
      <x v="7824"/>
      <x v="7778"/>
      <x v="56"/>
    </i>
    <i r="4">
      <x v="2"/>
      <x v="9"/>
      <x v="5"/>
      <x v="11"/>
      <x v="7854"/>
      <x v="7789"/>
      <x v="4"/>
      <x v="7"/>
      <x v="7825"/>
      <x v="7779"/>
      <x v="4"/>
    </i>
    <i r="5">
      <x v="15"/>
      <x v="5"/>
      <x v="10"/>
      <x v="7852"/>
      <x v="7790"/>
      <x v="4"/>
      <x v="7"/>
      <x v="7823"/>
      <x v="7780"/>
      <x v="3"/>
    </i>
    <i r="3">
      <x v="2"/>
      <x v="2"/>
      <x v="11"/>
      <x v="2"/>
      <x v="10"/>
      <x v="7892"/>
      <x v="7836"/>
      <x v="5"/>
      <x v="4"/>
      <x v="7863"/>
      <x v="7826"/>
      <x v="90"/>
    </i>
    <i r="5">
      <x v="13"/>
      <x v="2"/>
      <x v="7"/>
      <x v="7893"/>
      <x v="7837"/>
      <x v="5"/>
      <x v="4"/>
      <x v="7864"/>
      <x v="7827"/>
      <x v="89"/>
    </i>
    <i r="7">
      <x v="8"/>
      <x v="7893"/>
      <x v="7837"/>
      <x v="5"/>
      <x v="4"/>
      <x v="7864"/>
      <x v="7827"/>
      <x v="90"/>
    </i>
    <i r="5">
      <x v="15"/>
      <x v="2"/>
      <x v="7"/>
      <x v="7888"/>
      <x v="7838"/>
      <x v="5"/>
      <x v="4"/>
      <x v="7859"/>
      <x v="7828"/>
      <x v="90"/>
    </i>
    <i r="5">
      <x v="20"/>
      <x v="2"/>
      <x v="5"/>
      <x v="7890"/>
      <x v="7839"/>
      <x v="5"/>
      <x v="4"/>
      <x v="7861"/>
      <x v="7829"/>
      <x v="90"/>
    </i>
    <i r="3">
      <x v="3"/>
      <x v="2"/>
      <x v="26"/>
      <x v="1"/>
      <x v="9"/>
      <x v="7930"/>
      <x v="7893"/>
      <x v="1"/>
      <x/>
      <x v="7906"/>
      <x v="7883"/>
      <x v="89"/>
    </i>
    <i r="5">
      <x v="28"/>
      <x v="1"/>
      <x v="7"/>
      <x v="7931"/>
      <x v="7894"/>
      <x v="1"/>
      <x/>
      <x v="7907"/>
      <x v="7884"/>
      <x v="89"/>
    </i>
    <i r="5">
      <x v="31"/>
      <x v="1"/>
      <x v="3"/>
      <x v="7919"/>
      <x v="7895"/>
      <x v="1"/>
      <x/>
      <x v="7892"/>
      <x v="7885"/>
      <x v="89"/>
    </i>
    <i r="3">
      <x v="6"/>
      <x v="1"/>
      <x v="171"/>
      <x v="4"/>
      <x v="10"/>
      <x v="7961"/>
      <x v="7929"/>
      <x v="4"/>
      <x v="7"/>
      <x v="7942"/>
      <x v="7923"/>
      <x v="56"/>
    </i>
    <i r="2">
      <x v="6"/>
      <x/>
      <x v="2"/>
      <x v="24"/>
      <x v="2"/>
      <x v="7"/>
      <x v="7850"/>
      <x v="7785"/>
      <x v="4"/>
      <x v="3"/>
      <x v="7821"/>
      <x v="7775"/>
      <x v="56"/>
    </i>
    <i r="5">
      <x v="60"/>
      <x v="2"/>
      <x v="4"/>
      <x v="7849"/>
      <x v="7784"/>
      <x v="4"/>
      <x v="3"/>
      <x v="7820"/>
      <x v="7774"/>
      <x v="56"/>
    </i>
    <i r="5">
      <x v="181"/>
      <x v="2"/>
      <x v="10"/>
      <x v="7846"/>
      <x v="7781"/>
      <x v="4"/>
      <x v="3"/>
      <x v="7817"/>
      <x v="7771"/>
      <x v="56"/>
    </i>
    <i r="1">
      <x v="14"/>
      <x v="5"/>
      <x v="1"/>
      <x v="1"/>
      <x v="113"/>
      <x v="4"/>
      <x v="10"/>
      <x v="7853"/>
      <x v="7788"/>
      <x v="4"/>
      <x v="7"/>
      <x v="7824"/>
      <x v="7778"/>
      <x v="56"/>
    </i>
    <i r="4">
      <x v="2"/>
      <x v="9"/>
      <x v="5"/>
      <x v="10"/>
      <x v="7854"/>
      <x v="7789"/>
      <x v="4"/>
      <x v="7"/>
      <x v="7825"/>
      <x v="7779"/>
      <x v="4"/>
    </i>
    <i r="1">
      <x v="15"/>
    </i>
    <i>
      <x v="13"/>
      <x v="4"/>
      <x v="10"/>
      <x/>
      <x v="2"/>
      <x v="67"/>
      <x v="2"/>
      <x v="10"/>
      <x v="7835"/>
      <x v="7774"/>
      <x v="4"/>
      <x v="3"/>
      <x v="7806"/>
      <x v="7764"/>
      <x v="5"/>
    </i>
    <i r="5">
      <x v="76"/>
      <x v="2"/>
      <x v="7"/>
      <x v="7839"/>
      <x v="7773"/>
      <x v="4"/>
      <x v="3"/>
      <x v="7810"/>
      <x v="7763"/>
      <x v="5"/>
    </i>
    <i r="5">
      <x v="93"/>
      <x v="2"/>
      <x v="4"/>
      <x v="7837"/>
      <x v="7771"/>
      <x v="4"/>
      <x v="3"/>
      <x v="7808"/>
      <x v="7761"/>
      <x v="5"/>
    </i>
    <i r="5">
      <x v="106"/>
      <x v="2"/>
      <x v="2"/>
      <x v="7838"/>
      <x v="7772"/>
      <x v="4"/>
      <x v="3"/>
      <x v="7809"/>
      <x v="7762"/>
      <x v="5"/>
    </i>
    <i r="3">
      <x v="5"/>
      <x/>
      <x v="220"/>
      <x v="2"/>
      <x v="3"/>
      <x v="7767"/>
      <x v="7661"/>
      <x/>
      <x v="2"/>
      <x v="7718"/>
      <x v="7645"/>
      <x v="89"/>
    </i>
    <i r="1">
      <x v="15"/>
    </i>
    <i>
      <x v="14"/>
      <x v="15"/>
    </i>
    <i>
      <x v="15"/>
      <x v="5"/>
      <x v="5"/>
      <x v="2"/>
      <x v="2"/>
      <x v="65"/>
      <x v="2"/>
      <x v="10"/>
      <x v="7899"/>
      <x v="7848"/>
      <x v="5"/>
      <x v="4"/>
      <x v="7870"/>
      <x v="7838"/>
      <x v="2"/>
    </i>
    <i r="3">
      <x v="3"/>
      <x v="2"/>
      <x v="181"/>
      <x v="1"/>
      <x v="9"/>
      <x v="7846"/>
      <x v="7891"/>
      <x v="1"/>
      <x/>
      <x v="7904"/>
      <x v="7881"/>
      <x v="89"/>
    </i>
    <i r="3">
      <x v="17"/>
      <x v="2"/>
      <x v="30"/>
      <x v="2"/>
      <x v="10"/>
      <x v="7934"/>
      <x v="7899"/>
      <x v="2"/>
      <x v="2"/>
      <x v="7910"/>
      <x v="7889"/>
      <x v="89"/>
    </i>
    <i r="5">
      <x v="34"/>
      <x v="2"/>
      <x v="7"/>
      <x v="7935"/>
      <x v="7900"/>
      <x v="2"/>
      <x v="2"/>
      <x v="7911"/>
      <x v="7890"/>
      <x v="89"/>
    </i>
    <i r="5">
      <x v="179"/>
      <x v="2"/>
      <x v="3"/>
      <x v="7936"/>
      <x v="7901"/>
      <x v="2"/>
      <x v="2"/>
      <x v="7912"/>
      <x v="7891"/>
      <x v="89"/>
    </i>
    <i r="1">
      <x v="15"/>
    </i>
    <i>
      <x v="16"/>
      <x v="7"/>
      <x v="5"/>
      <x v="2"/>
      <x v="2"/>
      <x v="65"/>
      <x v="2"/>
      <x v="10"/>
      <x v="7899"/>
      <x v="7848"/>
      <x v="5"/>
      <x v="4"/>
      <x v="7870"/>
      <x v="7838"/>
      <x v="2"/>
    </i>
    <i r="3">
      <x v="3"/>
      <x v="2"/>
      <x v="25"/>
      <x v="1"/>
      <x v="9"/>
      <x v="7847"/>
      <x v="7892"/>
      <x v="1"/>
      <x/>
      <x v="7905"/>
      <x v="7882"/>
      <x v="89"/>
    </i>
    <i r="3">
      <x v="17"/>
      <x v="2"/>
      <x v="30"/>
      <x v="2"/>
      <x v="10"/>
      <x v="7934"/>
      <x v="7899"/>
      <x v="2"/>
      <x v="2"/>
      <x v="7910"/>
      <x v="7889"/>
      <x v="89"/>
    </i>
    <i r="5">
      <x v="34"/>
      <x v="2"/>
      <x v="7"/>
      <x v="7935"/>
      <x v="7900"/>
      <x v="2"/>
      <x v="2"/>
      <x v="7911"/>
      <x v="7890"/>
      <x v="89"/>
    </i>
    <i r="5">
      <x v="78"/>
      <x v="2"/>
      <x v="1"/>
      <x v="7937"/>
      <x v="7902"/>
      <x v="2"/>
      <x v="2"/>
      <x v="7913"/>
      <x v="7892"/>
      <x v="89"/>
    </i>
    <i r="5">
      <x v="179"/>
      <x v="2"/>
      <x v="3"/>
      <x v="7936"/>
      <x v="7901"/>
      <x v="2"/>
      <x v="2"/>
      <x v="7912"/>
      <x v="7891"/>
      <x v="89"/>
    </i>
    <i r="5">
      <x v="226"/>
      <x v="2"/>
      <x/>
      <x v="7938"/>
      <x v="7903"/>
      <x v="2"/>
      <x v="2"/>
      <x v="7914"/>
      <x v="7893"/>
      <x v="89"/>
    </i>
    <i r="1">
      <x v="15"/>
    </i>
    <i>
      <x v="17"/>
      <x/>
      <x v="4"/>
      <x v="5"/>
      <x/>
      <x v="217"/>
      <x v="2"/>
      <x v="7"/>
      <x v="7764"/>
      <x v="7658"/>
      <x/>
      <x v="2"/>
      <x v="7715"/>
      <x v="7642"/>
      <x v="89"/>
    </i>
    <i r="1">
      <x v="7"/>
      <x v="4"/>
      <x v="5"/>
      <x/>
      <x v="217"/>
      <x v="2"/>
      <x v="7"/>
      <x v="7764"/>
      <x v="7658"/>
      <x/>
      <x v="2"/>
      <x v="7715"/>
      <x v="7642"/>
      <x v="89"/>
    </i>
    <i r="2">
      <x v="5"/>
      <x v="6"/>
      <x v="1"/>
      <x v="124"/>
      <x v="4"/>
      <x v="10"/>
      <x v="7959"/>
      <x v="7927"/>
      <x v="4"/>
      <x v="7"/>
      <x v="7940"/>
      <x v="7921"/>
      <x v="56"/>
    </i>
    <i r="4">
      <x v="2"/>
      <x v="14"/>
      <x v="5"/>
      <x v="10"/>
      <x v="7960"/>
      <x v="7928"/>
      <x v="4"/>
      <x v="7"/>
      <x v="7941"/>
      <x v="7922"/>
      <x v="7"/>
    </i>
    <i r="3">
      <x v="7"/>
      <x v="2"/>
      <x v="77"/>
      <x/>
      <x v="7"/>
      <x v="7976"/>
      <x v="7959"/>
      <x v="5"/>
      <x v="4"/>
      <x v="7962"/>
      <x v="7954"/>
      <x v="89"/>
    </i>
    <i r="5">
      <x v="82"/>
      <x/>
      <x v="5"/>
      <x v="7980"/>
      <x v="7960"/>
      <x v="5"/>
      <x v="4"/>
      <x v="7967"/>
      <x v="7955"/>
      <x v="89"/>
    </i>
    <i r="5">
      <x v="183"/>
      <x/>
      <x v="3"/>
      <x v="7981"/>
      <x v="7961"/>
      <x v="5"/>
      <x v="4"/>
      <x v="7968"/>
      <x v="7956"/>
      <x v="89"/>
    </i>
    <i r="5">
      <x v="185"/>
      <x/>
      <x v="1"/>
      <x v="7963"/>
      <x v="7934"/>
      <x v="5"/>
      <x v="4"/>
      <x v="7945"/>
      <x v="7928"/>
      <x v="89"/>
    </i>
    <i r="1">
      <x v="15"/>
    </i>
    <i>
      <x v="18"/>
      <x v="7"/>
      <x v="3"/>
      <x v="7"/>
      <x v="2"/>
      <x v="79"/>
      <x/>
      <x v="7"/>
      <x v="7983"/>
      <x v="7965"/>
      <x v="5"/>
      <x v="4"/>
      <x v="7970"/>
      <x v="7961"/>
      <x v="89"/>
    </i>
    <i r="5">
      <x v="83"/>
      <x/>
      <x v="5"/>
      <x v="7840"/>
      <x v="7966"/>
      <x v="5"/>
      <x v="4"/>
      <x v="7971"/>
      <x v="7962"/>
      <x v="89"/>
    </i>
    <i r="5">
      <x v="88"/>
      <x/>
      <x v="1"/>
      <x v="7911"/>
      <x v="7968"/>
      <x v="5"/>
      <x v="4"/>
      <x v="7974"/>
      <x v="7964"/>
      <x v="89"/>
    </i>
    <i r="5">
      <x v="163"/>
      <x/>
      <x v="3"/>
      <x v="7984"/>
      <x v="7967"/>
      <x v="5"/>
      <x v="4"/>
      <x v="7973"/>
      <x v="7963"/>
      <x v="89"/>
    </i>
    <i r="2">
      <x v="6"/>
      <x v="7"/>
      <x v="2"/>
      <x v="74"/>
      <x/>
      <x v="7"/>
      <x v="7982"/>
      <x v="7962"/>
      <x v="5"/>
      <x v="4"/>
      <x v="7969"/>
      <x v="7957"/>
      <x v="89"/>
    </i>
    <i r="5">
      <x v="79"/>
      <x/>
      <x v="5"/>
      <x v="7983"/>
      <x v="7963"/>
      <x v="5"/>
      <x v="4"/>
      <x v="7970"/>
      <x v="7958"/>
      <x v="89"/>
    </i>
    <i r="5">
      <x v="83"/>
      <x/>
      <x v="3"/>
      <x v="7840"/>
      <x v="7964"/>
      <x v="5"/>
      <x v="4"/>
      <x v="7971"/>
      <x v="7959"/>
      <x v="89"/>
    </i>
    <i r="5">
      <x v="173"/>
      <x/>
      <x v="1"/>
      <x v="7910"/>
      <x v="7868"/>
      <x v="5"/>
      <x v="4"/>
      <x v="7972"/>
      <x v="7960"/>
      <x v="89"/>
    </i>
    <i r="1">
      <x v="15"/>
    </i>
    <i>
      <x v="19"/>
      <x v="1"/>
      <x v="3"/>
      <x v="1"/>
      <x v="1"/>
      <x v="113"/>
      <x v="4"/>
      <x v="10"/>
      <x v="7853"/>
      <x v="7798"/>
      <x v="4"/>
      <x v="7"/>
      <x v="7824"/>
      <x v="7788"/>
      <x v="56"/>
    </i>
    <i r="4">
      <x v="2"/>
      <x v="4"/>
      <x v="5"/>
      <x v="10"/>
      <x v="7860"/>
      <x v="7799"/>
      <x v="4"/>
      <x v="7"/>
      <x v="7831"/>
      <x v="7789"/>
      <x v="9"/>
    </i>
    <i r="2">
      <x v="10"/>
      <x v="7"/>
      <x v="2"/>
      <x v="59"/>
      <x/>
      <x v="17"/>
      <x v="7973"/>
      <x v="7974"/>
      <x v="5"/>
      <x v="4"/>
      <x v="7956"/>
      <x v="7970"/>
      <x v="9"/>
    </i>
    <i r="5">
      <x v="225"/>
      <x/>
      <x v="17"/>
      <x v="6001"/>
      <x v="5245"/>
      <x v="5"/>
      <x v="4"/>
      <x v="5694"/>
      <x v="5109"/>
      <x v="81"/>
    </i>
    <i r="3">
      <x v="19"/>
      <x v="2"/>
      <x v="93"/>
      <x v="2"/>
      <x v="7"/>
      <x v="7837"/>
      <x v="7771"/>
      <x v="2"/>
      <x v="2"/>
      <x v="7929"/>
      <x v="7908"/>
      <x v="89"/>
    </i>
    <i r="1">
      <x v="2"/>
      <x v="6"/>
      <x v="7"/>
      <x v="2"/>
      <x v="50"/>
      <x/>
      <x v="17"/>
      <x v="7923"/>
      <x v="7975"/>
      <x v="5"/>
      <x v="4"/>
      <x v="7977"/>
      <x v="7971"/>
      <x v="2"/>
    </i>
    <i r="1">
      <x v="15"/>
    </i>
    <i>
      <x v="20"/>
      <x v="1"/>
      <x v="10"/>
      <x v="7"/>
      <x v="2"/>
      <x v="98"/>
      <x/>
      <x v="17"/>
      <x v="7948"/>
      <x v="7913"/>
      <x v="5"/>
      <x v="4"/>
      <x v="7978"/>
      <x v="7973"/>
      <x v="1"/>
    </i>
    <i>
      <x v="21"/>
      <x/>
      <x v="5"/>
      <x v="2"/>
      <x v="2"/>
      <x v="40"/>
      <x v="2"/>
      <x v="10"/>
      <x v="7879"/>
      <x v="7822"/>
      <x v="5"/>
      <x v="4"/>
      <x v="7850"/>
      <x v="7812"/>
      <x v="89"/>
    </i>
    <i r="5">
      <x v="41"/>
      <x v="2"/>
      <x v="8"/>
      <x v="7880"/>
      <x v="7823"/>
      <x v="5"/>
      <x v="4"/>
      <x v="7851"/>
      <x v="7813"/>
      <x v="89"/>
    </i>
    <i r="5">
      <x v="49"/>
      <x v="2"/>
      <x v="5"/>
      <x v="7873"/>
      <x v="7816"/>
      <x v="5"/>
      <x v="4"/>
      <x v="7844"/>
      <x v="7806"/>
      <x v="89"/>
    </i>
    <i r="5">
      <x v="179"/>
      <x v="2"/>
      <x v="7"/>
      <x v="7881"/>
      <x v="7824"/>
      <x v="5"/>
      <x v="4"/>
      <x v="7852"/>
      <x v="7814"/>
      <x v="89"/>
    </i>
    <i r="3">
      <x v="5"/>
      <x/>
      <x v="215"/>
      <x v="2"/>
      <x v="7"/>
      <x v="7762"/>
      <x v="7656"/>
      <x/>
      <x v="2"/>
      <x v="7713"/>
      <x v="7640"/>
      <x v="89"/>
    </i>
    <i r="2">
      <x v="6"/>
      <x v="7"/>
      <x v="2"/>
      <x v="11"/>
      <x/>
      <x v="10"/>
      <x v="7845"/>
      <x v="7780"/>
      <x v="5"/>
      <x v="4"/>
      <x v="7955"/>
      <x v="7938"/>
      <x v="8"/>
    </i>
    <i r="5">
      <x v="72"/>
      <x/>
      <x v="1"/>
      <x v="7972"/>
      <x v="7943"/>
      <x v="5"/>
      <x v="4"/>
      <x v="7954"/>
      <x v="7937"/>
      <x v="89"/>
    </i>
    <i r="5">
      <x v="149"/>
      <x/>
      <x v="3"/>
      <x v="7971"/>
      <x v="7942"/>
      <x v="5"/>
      <x v="4"/>
      <x v="7953"/>
      <x v="7936"/>
      <x v="89"/>
    </i>
    <i r="5">
      <x v="153"/>
      <x/>
      <x v="7"/>
      <x v="7969"/>
      <x v="7940"/>
      <x v="5"/>
      <x v="4"/>
      <x v="7951"/>
      <x v="7934"/>
      <x v="89"/>
    </i>
    <i r="5">
      <x v="154"/>
      <x/>
      <x v="5"/>
      <x v="7970"/>
      <x v="7941"/>
      <x v="5"/>
      <x v="4"/>
      <x v="7952"/>
      <x v="7935"/>
      <x v="89"/>
    </i>
    <i r="1">
      <x v="7"/>
      <x v="5"/>
      <x v="2"/>
      <x v="2"/>
      <x v="40"/>
      <x v="2"/>
      <x v="10"/>
      <x v="7879"/>
      <x v="7822"/>
      <x v="5"/>
      <x v="4"/>
      <x v="7850"/>
      <x v="7812"/>
      <x v="89"/>
    </i>
    <i r="5">
      <x v="41"/>
      <x v="2"/>
      <x v="8"/>
      <x v="7880"/>
      <x v="7823"/>
      <x v="5"/>
      <x v="4"/>
      <x v="7851"/>
      <x v="7813"/>
      <x v="89"/>
    </i>
    <i r="5">
      <x v="49"/>
      <x v="2"/>
      <x v="5"/>
      <x v="7873"/>
      <x v="7816"/>
      <x v="5"/>
      <x v="4"/>
      <x v="7844"/>
      <x v="7806"/>
      <x v="89"/>
    </i>
    <i r="5">
      <x v="179"/>
      <x v="2"/>
      <x v="7"/>
      <x v="7881"/>
      <x v="7824"/>
      <x v="5"/>
      <x v="4"/>
      <x v="7852"/>
      <x v="7814"/>
      <x v="89"/>
    </i>
    <i r="3">
      <x v="5"/>
      <x/>
      <x v="215"/>
      <x v="2"/>
      <x v="7"/>
      <x v="7762"/>
      <x v="7656"/>
      <x/>
      <x v="2"/>
      <x v="7713"/>
      <x v="7640"/>
      <x v="89"/>
    </i>
    <i r="2">
      <x v="6"/>
      <x v="7"/>
      <x v="2"/>
      <x v="11"/>
      <x/>
      <x v="10"/>
      <x v="7845"/>
      <x v="7780"/>
      <x v="5"/>
      <x v="4"/>
      <x v="7955"/>
      <x v="7938"/>
      <x v="8"/>
    </i>
    <i r="5">
      <x v="72"/>
      <x/>
      <x v="1"/>
      <x v="7972"/>
      <x v="7943"/>
      <x v="5"/>
      <x v="4"/>
      <x v="7954"/>
      <x v="7937"/>
      <x v="89"/>
    </i>
    <i r="5">
      <x v="149"/>
      <x/>
      <x v="3"/>
      <x v="7971"/>
      <x v="7942"/>
      <x v="5"/>
      <x v="4"/>
      <x v="7953"/>
      <x v="7936"/>
      <x v="89"/>
    </i>
    <i r="5">
      <x v="153"/>
      <x/>
      <x v="7"/>
      <x v="7969"/>
      <x v="7940"/>
      <x v="5"/>
      <x v="4"/>
      <x v="7951"/>
      <x v="7934"/>
      <x v="89"/>
    </i>
    <i r="5">
      <x v="154"/>
      <x/>
      <x v="5"/>
      <x v="7970"/>
      <x v="7941"/>
      <x v="5"/>
      <x v="4"/>
      <x v="7952"/>
      <x v="7935"/>
      <x v="89"/>
    </i>
    <i r="1">
      <x v="12"/>
      <x v="5"/>
      <x v="2"/>
      <x v="2"/>
      <x v="40"/>
      <x v="2"/>
      <x v="10"/>
      <x v="7879"/>
      <x v="7822"/>
      <x v="5"/>
      <x v="4"/>
      <x v="7850"/>
      <x v="7812"/>
      <x v="89"/>
    </i>
    <i r="5">
      <x v="41"/>
      <x v="2"/>
      <x v="8"/>
      <x v="7880"/>
      <x v="7823"/>
      <x v="5"/>
      <x v="4"/>
      <x v="7851"/>
      <x v="7813"/>
      <x v="89"/>
    </i>
    <i r="5">
      <x v="49"/>
      <x v="2"/>
      <x v="5"/>
      <x v="7873"/>
      <x v="7816"/>
      <x v="5"/>
      <x v="4"/>
      <x v="7844"/>
      <x v="7806"/>
      <x v="89"/>
    </i>
    <i r="5">
      <x v="179"/>
      <x v="2"/>
      <x v="7"/>
      <x v="7881"/>
      <x v="7824"/>
      <x v="5"/>
      <x v="4"/>
      <x v="7852"/>
      <x v="7814"/>
      <x v="89"/>
    </i>
    <i r="3">
      <x v="5"/>
      <x/>
      <x v="215"/>
      <x v="2"/>
      <x v="7"/>
      <x v="7762"/>
      <x v="7656"/>
      <x/>
      <x v="2"/>
      <x v="7713"/>
      <x v="7640"/>
      <x v="89"/>
    </i>
    <i r="2">
      <x v="6"/>
      <x v="7"/>
      <x v="2"/>
      <x v="11"/>
      <x/>
      <x v="10"/>
      <x v="7845"/>
      <x v="7780"/>
      <x v="5"/>
      <x v="4"/>
      <x v="7955"/>
      <x v="7938"/>
      <x v="8"/>
    </i>
    <i r="5">
      <x v="72"/>
      <x/>
      <x v="1"/>
      <x v="7972"/>
      <x v="7943"/>
      <x v="5"/>
      <x v="4"/>
      <x v="7954"/>
      <x v="7937"/>
      <x v="89"/>
    </i>
    <i r="5">
      <x v="149"/>
      <x/>
      <x v="3"/>
      <x v="7971"/>
      <x v="7942"/>
      <x v="5"/>
      <x v="4"/>
      <x v="7953"/>
      <x v="7936"/>
      <x v="89"/>
    </i>
    <i r="5">
      <x v="153"/>
      <x/>
      <x v="7"/>
      <x v="7969"/>
      <x v="7940"/>
      <x v="5"/>
      <x v="4"/>
      <x v="7951"/>
      <x v="7934"/>
      <x v="89"/>
    </i>
    <i r="5">
      <x v="154"/>
      <x/>
      <x v="5"/>
      <x v="7970"/>
      <x v="7941"/>
      <x v="5"/>
      <x v="4"/>
      <x v="7952"/>
      <x v="7935"/>
      <x v="89"/>
    </i>
    <i r="1">
      <x v="15"/>
    </i>
    <i r="1">
      <x v="19"/>
      <x v="5"/>
      <x v="5"/>
      <x/>
      <x v="215"/>
      <x v="2"/>
      <x v="7"/>
      <x v="7762"/>
      <x v="7656"/>
      <x/>
      <x v="2"/>
      <x v="7713"/>
      <x v="7640"/>
      <x v="89"/>
    </i>
    <i>
      <x v="22"/>
      <x v="7"/>
      <x v="8"/>
      <x v="7"/>
      <x v="2"/>
      <x v="65"/>
      <x/>
      <x v="7"/>
      <x v="7985"/>
      <x v="7970"/>
      <x v="5"/>
      <x v="4"/>
      <x v="7975"/>
      <x v="7966"/>
      <x v="89"/>
    </i>
    <i r="5">
      <x v="68"/>
      <x/>
      <x v="1"/>
      <x v="7986"/>
      <x v="7973"/>
      <x v="5"/>
      <x v="4"/>
      <x v="7976"/>
      <x v="7969"/>
      <x v="50"/>
    </i>
    <i r="5">
      <x v="153"/>
      <x/>
      <x v="5"/>
      <x v="7969"/>
      <x v="7971"/>
      <x v="5"/>
      <x v="4"/>
      <x v="7951"/>
      <x v="7967"/>
      <x v="50"/>
    </i>
    <i r="5">
      <x v="154"/>
      <x/>
      <x v="3"/>
      <x v="7970"/>
      <x v="7972"/>
      <x v="5"/>
      <x v="4"/>
      <x v="7952"/>
      <x v="7968"/>
      <x v="50"/>
    </i>
    <i>
      <x v="23"/>
      <x v="7"/>
      <x v="6"/>
      <x v="7"/>
      <x v="2"/>
      <x v="62"/>
      <x/>
      <x v="5"/>
      <x v="7836"/>
      <x v="7949"/>
      <x v="5"/>
      <x v="4"/>
      <x v="7957"/>
      <x v="7944"/>
      <x v="50"/>
    </i>
    <i r="5">
      <x v="66"/>
      <x/>
      <x v="3"/>
      <x v="7974"/>
      <x v="7950"/>
      <x v="5"/>
      <x v="4"/>
      <x v="7958"/>
      <x v="7945"/>
      <x v="50"/>
    </i>
    <i r="5">
      <x v="67"/>
      <x/>
      <x v="7"/>
      <x v="7835"/>
      <x v="7948"/>
      <x v="5"/>
      <x v="4"/>
      <x v="7960"/>
      <x v="7943"/>
      <x v="89"/>
    </i>
    <i r="5">
      <x v="71"/>
      <x/>
      <x v="1"/>
      <x v="7901"/>
      <x v="7951"/>
      <x v="5"/>
      <x v="4"/>
      <x v="7959"/>
      <x v="7946"/>
      <x v="50"/>
    </i>
    <i r="1">
      <x v="9"/>
      <x v="6"/>
      <x v="7"/>
      <x v="2"/>
      <x v="62"/>
      <x/>
      <x v="5"/>
      <x v="7836"/>
      <x v="7949"/>
      <x v="5"/>
      <x v="4"/>
      <x v="7957"/>
      <x v="7944"/>
      <x v="50"/>
    </i>
    <i r="5">
      <x v="66"/>
      <x/>
      <x v="3"/>
      <x v="7974"/>
      <x v="7950"/>
      <x v="5"/>
      <x v="4"/>
      <x v="7958"/>
      <x v="7945"/>
      <x v="50"/>
    </i>
    <i r="5">
      <x v="67"/>
      <x/>
      <x v="7"/>
      <x v="7835"/>
      <x v="7948"/>
      <x v="5"/>
      <x v="4"/>
      <x v="7960"/>
      <x v="7943"/>
      <x v="89"/>
    </i>
    <i r="5">
      <x v="71"/>
      <x/>
      <x v="1"/>
      <x v="7901"/>
      <x v="7951"/>
      <x v="5"/>
      <x v="4"/>
      <x v="7959"/>
      <x v="7946"/>
      <x v="50"/>
    </i>
    <i>
      <x v="24"/>
      <x v="15"/>
    </i>
    <i>
      <x v="25"/>
      <x v="4"/>
      <x v="10"/>
      <x v="5"/>
      <x/>
      <x v="219"/>
      <x v="2"/>
      <x v="6"/>
      <x v="7766"/>
      <x v="7660"/>
      <x/>
      <x v="2"/>
      <x v="7717"/>
      <x v="7644"/>
      <x v="89"/>
    </i>
    <i r="1">
      <x v="15"/>
    </i>
    <i>
      <x v="26"/>
      <x v="4"/>
      <x v="10"/>
      <x v="5"/>
      <x/>
      <x v="218"/>
      <x v="2"/>
      <x v="6"/>
      <x v="7765"/>
      <x v="7659"/>
      <x/>
      <x v="2"/>
      <x v="7716"/>
      <x v="7643"/>
      <x v="89"/>
    </i>
    <i>
      <x v="27"/>
      <x v="8"/>
      <x v="10"/>
      <x v="19"/>
      <x v="2"/>
      <x v="96"/>
      <x v="2"/>
      <x v="10"/>
      <x v="7917"/>
      <x v="7914"/>
      <x v="2"/>
      <x v="2"/>
      <x v="7928"/>
      <x v="7907"/>
      <x v="89"/>
    </i>
    <i r="5">
      <x v="98"/>
      <x v="2"/>
      <x v="7"/>
      <x v="7948"/>
      <x v="7913"/>
      <x v="2"/>
      <x v="2"/>
      <x v="7927"/>
      <x v="7906"/>
      <x v="89"/>
    </i>
    <i r="5">
      <x v="230"/>
      <x v="2"/>
      <x v="3"/>
      <x v="7947"/>
      <x v="7912"/>
      <x v="2"/>
      <x v="2"/>
      <x v="7926"/>
      <x v="7905"/>
      <x v="89"/>
    </i>
    <i>
      <x v="28"/>
      <x/>
      <x v="5"/>
      <x v="2"/>
      <x v="2"/>
      <x v="36"/>
      <x v="2"/>
      <x v="10"/>
      <x v="7882"/>
      <x v="7825"/>
      <x v="5"/>
      <x v="4"/>
      <x v="7853"/>
      <x v="7815"/>
      <x v="66"/>
    </i>
    <i r="5">
      <x v="41"/>
      <x v="2"/>
      <x v="5"/>
      <x v="7880"/>
      <x v="7823"/>
      <x v="5"/>
      <x v="4"/>
      <x v="7851"/>
      <x v="7813"/>
      <x v="66"/>
    </i>
    <i r="5">
      <x v="155"/>
      <x v="2"/>
      <x v="8"/>
      <x v="7883"/>
      <x v="7826"/>
      <x v="5"/>
      <x v="4"/>
      <x v="7854"/>
      <x v="7816"/>
      <x v="66"/>
    </i>
    <i r="5">
      <x v="174"/>
      <x v="2"/>
      <x v="7"/>
      <x v="7884"/>
      <x v="7827"/>
      <x v="5"/>
      <x v="4"/>
      <x v="7855"/>
      <x v="7817"/>
      <x v="66"/>
    </i>
    <i r="1">
      <x v="7"/>
      <x v="7"/>
      <x v="7"/>
      <x v="2"/>
      <x v="59"/>
      <x/>
      <x v="7"/>
      <x v="7973"/>
      <x v="7944"/>
      <x v="5"/>
      <x v="4"/>
      <x v="7956"/>
      <x v="7939"/>
      <x v="89"/>
    </i>
    <i r="5">
      <x v="62"/>
      <x/>
      <x v="5"/>
      <x v="7836"/>
      <x v="7945"/>
      <x v="5"/>
      <x v="4"/>
      <x v="7957"/>
      <x v="7940"/>
      <x v="89"/>
    </i>
    <i r="5">
      <x v="66"/>
      <x/>
      <x v="3"/>
      <x v="7974"/>
      <x v="7946"/>
      <x v="5"/>
      <x v="4"/>
      <x v="7958"/>
      <x v="7941"/>
      <x v="89"/>
    </i>
    <i r="5">
      <x v="71"/>
      <x/>
      <x v="1"/>
      <x v="7901"/>
      <x v="7947"/>
      <x v="5"/>
      <x v="4"/>
      <x v="7959"/>
      <x v="7942"/>
      <x v="89"/>
    </i>
    <i r="1">
      <x v="11"/>
      <x v="7"/>
      <x v="7"/>
      <x v="2"/>
      <x v="59"/>
      <x/>
      <x v="7"/>
      <x v="7973"/>
      <x v="7944"/>
      <x v="5"/>
      <x v="4"/>
      <x v="7956"/>
      <x v="7939"/>
      <x v="89"/>
    </i>
    <i r="5">
      <x v="62"/>
      <x/>
      <x v="5"/>
      <x v="7836"/>
      <x v="7945"/>
      <x v="5"/>
      <x v="4"/>
      <x v="7957"/>
      <x v="7940"/>
      <x v="89"/>
    </i>
    <i r="5">
      <x v="66"/>
      <x/>
      <x v="3"/>
      <x v="7974"/>
      <x v="7946"/>
      <x v="5"/>
      <x v="4"/>
      <x v="7958"/>
      <x v="7941"/>
      <x v="89"/>
    </i>
    <i r="5">
      <x v="71"/>
      <x/>
      <x v="1"/>
      <x v="7901"/>
      <x v="7947"/>
      <x v="5"/>
      <x v="4"/>
      <x v="7959"/>
      <x v="7942"/>
      <x v="89"/>
    </i>
    <i r="1">
      <x v="15"/>
    </i>
    <i>
      <x v="29"/>
      <x v="10"/>
      <x v="2"/>
      <x v="5"/>
      <x/>
      <x v="223"/>
      <x v="2"/>
      <x v="6"/>
      <x v="7771"/>
      <x v="7665"/>
      <x/>
      <x v="2"/>
      <x v="7722"/>
      <x v="7649"/>
      <x v="89"/>
    </i>
    <i r="1">
      <x v="15"/>
    </i>
    <i r="1">
      <x v="18"/>
      <x v="2"/>
      <x/>
      <x v="2"/>
      <x v="144"/>
      <x v="2"/>
      <x v="10"/>
      <x v="7841"/>
      <x v="7776"/>
      <x v="4"/>
      <x v="3"/>
      <x v="7812"/>
      <x v="7766"/>
      <x v="11"/>
    </i>
    <i r="3">
      <x v="7"/>
      <x v="2"/>
      <x v="3"/>
      <x/>
      <x v="17"/>
      <x v="7987"/>
      <x v="7978"/>
      <x v="5"/>
      <x v="4"/>
      <x v="7980"/>
      <x v="7976"/>
      <x v="6"/>
    </i>
    <i r="3">
      <x v="8"/>
      <x/>
      <x v="160"/>
      <x v="2"/>
      <x v="17"/>
      <x v="7826"/>
      <x v="7747"/>
      <x/>
      <x v="2"/>
      <x v="7789"/>
      <x v="7735"/>
      <x v="50"/>
    </i>
    <i r="3">
      <x v="12"/>
      <x v="1"/>
      <x v="145"/>
      <x v="4"/>
      <x v="17"/>
      <x v="7869"/>
      <x v="7811"/>
      <x v="4"/>
      <x v="7"/>
      <x v="7840"/>
      <x v="7801"/>
      <x v="56"/>
    </i>
    <i r="2">
      <x v="16"/>
      <x/>
      <x v="2"/>
      <x v="159"/>
      <x v="2"/>
      <x v="10"/>
      <x v="7842"/>
      <x v="7777"/>
      <x v="4"/>
      <x v="3"/>
      <x v="7813"/>
      <x v="7767"/>
      <x v="11"/>
    </i>
    <i r="3">
      <x v="12"/>
      <x v="1"/>
      <x v="145"/>
      <x v="4"/>
      <x v="17"/>
      <x v="7869"/>
      <x v="7813"/>
      <x v="4"/>
      <x v="7"/>
      <x v="7840"/>
      <x v="7803"/>
      <x v="50"/>
    </i>
    <i>
      <x v="30"/>
      <x v="8"/>
      <x/>
      <x v="8"/>
      <x/>
      <x v="201"/>
      <x v="2"/>
      <x v="17"/>
      <x v="7820"/>
      <x v="7741"/>
      <x/>
      <x v="2"/>
      <x v="7783"/>
      <x v="7729"/>
      <x v="76"/>
    </i>
    <i r="3">
      <x v="10"/>
      <x/>
      <x v="166"/>
      <x v="2"/>
      <x v="17"/>
      <x v="7776"/>
      <x v="7671"/>
      <x v="1"/>
      <x v="3"/>
      <x v="7727"/>
      <x v="7655"/>
      <x v="9"/>
    </i>
    <i r="3">
      <x v="11"/>
      <x v="3"/>
      <x v="48"/>
      <x v="2"/>
      <x v="17"/>
      <x v="7989"/>
      <x v="7980"/>
      <x v="4"/>
      <x v="7"/>
      <x v="7982"/>
      <x v="7978"/>
      <x v="4"/>
    </i>
    <i r="3">
      <x v="13"/>
      <x v="2"/>
      <x v="11"/>
      <x v="2"/>
      <x v="3"/>
      <x v="7992"/>
      <x v="7983"/>
      <x/>
      <x v="8"/>
      <x v="7985"/>
      <x v="7981"/>
      <x v="85"/>
    </i>
    <i r="2">
      <x v="14"/>
      <x v="11"/>
      <x v="3"/>
      <x v="33"/>
      <x v="2"/>
      <x v="17"/>
      <x v="7991"/>
      <x v="7982"/>
      <x v="4"/>
      <x v="7"/>
      <x v="7984"/>
      <x v="7980"/>
      <x v="8"/>
    </i>
    <i r="1">
      <x v="22"/>
      <x v="14"/>
      <x v="10"/>
      <x/>
      <x v="110"/>
      <x v="2"/>
      <x v="17"/>
      <x v="7775"/>
      <x v="7670"/>
      <x v="1"/>
      <x v="3"/>
      <x v="7726"/>
      <x v="7654"/>
      <x v="12"/>
    </i>
    <i>
      <x v="31"/>
      <x v="8"/>
      <x/>
      <x v="8"/>
      <x/>
      <x v="204"/>
      <x v="2"/>
      <x v="17"/>
      <x v="7823"/>
      <x v="7744"/>
      <x/>
      <x v="2"/>
      <x v="7786"/>
      <x v="7732"/>
      <x v="76"/>
    </i>
    <i>
      <x v="32"/>
      <x v="8"/>
      <x/>
      <x v="8"/>
      <x/>
      <x v="202"/>
      <x v="2"/>
      <x v="17"/>
      <x v="7821"/>
      <x v="7742"/>
      <x/>
      <x v="2"/>
      <x v="7784"/>
      <x v="7730"/>
      <x v="76"/>
    </i>
    <i r="3">
      <x v="11"/>
      <x v="3"/>
      <x v="43"/>
      <x v="2"/>
      <x v="17"/>
      <x v="7990"/>
      <x v="7981"/>
      <x v="4"/>
      <x v="7"/>
      <x v="7983"/>
      <x v="7979"/>
      <x v="4"/>
    </i>
    <i r="3">
      <x v="12"/>
      <x v="2"/>
      <x v="81"/>
      <x v="5"/>
      <x v="21"/>
      <x v="7865"/>
      <x v="7804"/>
      <x v="3"/>
      <x v="2"/>
      <x v="7836"/>
      <x v="7794"/>
      <x v="9"/>
    </i>
    <i r="3">
      <x v="13"/>
      <x v="2"/>
      <x v="11"/>
      <x v="2"/>
      <x v="3"/>
      <x v="7992"/>
      <x v="7983"/>
      <x/>
      <x v="8"/>
      <x v="7985"/>
      <x v="7981"/>
      <x v="85"/>
    </i>
    <i r="2">
      <x v="14"/>
      <x v="11"/>
      <x v="3"/>
      <x v="33"/>
      <x v="2"/>
      <x v="17"/>
      <x v="7991"/>
      <x v="7982"/>
      <x v="4"/>
      <x v="7"/>
      <x v="7984"/>
      <x v="7980"/>
      <x v="8"/>
    </i>
    <i r="1">
      <x v="23"/>
      <x/>
      <x v="8"/>
      <x/>
      <x v="202"/>
      <x v="2"/>
      <x v="17"/>
      <x v="7821"/>
      <x v="7742"/>
      <x/>
      <x v="2"/>
      <x v="7784"/>
      <x v="7730"/>
      <x v="76"/>
    </i>
    <i>
      <x v="33"/>
      <x v="8"/>
      <x v="1"/>
      <x v="8"/>
      <x/>
      <x v="205"/>
      <x v="2"/>
      <x v="17"/>
      <x v="7824"/>
      <x v="7745"/>
      <x/>
      <x v="2"/>
      <x v="7787"/>
      <x v="7733"/>
      <x v="76"/>
    </i>
    <i>
      <x v="34"/>
      <x v="8"/>
      <x/>
      <x v="8"/>
      <x/>
      <x v="203"/>
      <x v="2"/>
      <x v="17"/>
      <x v="7822"/>
      <x v="7743"/>
      <x/>
      <x v="2"/>
      <x v="7785"/>
      <x v="7731"/>
      <x v="76"/>
    </i>
    <i>
      <x v="35"/>
      <x v="15"/>
    </i>
    <i>
      <x v="36"/>
      <x v="8"/>
      <x/>
      <x v="10"/>
      <x/>
      <x v="108"/>
      <x v="2"/>
      <x v="17"/>
      <x v="7774"/>
      <x v="7669"/>
      <x v="1"/>
      <x v="3"/>
      <x v="7725"/>
      <x v="7653"/>
      <x v="12"/>
    </i>
    <i r="1">
      <x v="15"/>
    </i>
    <i r="1">
      <x v="16"/>
      <x/>
      <x v="10"/>
      <x/>
      <x v="108"/>
      <x v="2"/>
      <x v="17"/>
      <x v="7774"/>
      <x v="7669"/>
      <x v="1"/>
      <x v="3"/>
      <x v="7725"/>
      <x v="7653"/>
      <x v="12"/>
    </i>
    <i>
      <x v="37"/>
      <x v="2"/>
      <x v="10"/>
      <x/>
      <x v="2"/>
      <x v="83"/>
      <x v="2"/>
      <x v="10"/>
      <x v="7840"/>
      <x v="7775"/>
      <x v="4"/>
      <x v="3"/>
      <x v="7811"/>
      <x v="7765"/>
      <x v="5"/>
    </i>
    <i r="3">
      <x v="7"/>
      <x v="2"/>
      <x v="69"/>
      <x/>
      <x v="10"/>
      <x v="7900"/>
      <x v="7976"/>
      <x v="5"/>
      <x v="4"/>
      <x v="7964"/>
      <x v="7972"/>
      <x v="9"/>
    </i>
    <i>
      <x v="38"/>
      <x v="8"/>
      <x v="6"/>
      <x v="7"/>
      <x v="2"/>
      <x v="90"/>
      <x/>
      <x v="3"/>
      <x v="7988"/>
      <x v="7979"/>
      <x v="5"/>
      <x v="4"/>
      <x v="7981"/>
      <x v="7977"/>
      <x v="12"/>
    </i>
    <i r="3">
      <x v="12"/>
      <x v="2"/>
      <x v="136"/>
      <x v="5"/>
      <x v="21"/>
      <x v="7868"/>
      <x v="7810"/>
      <x v="3"/>
      <x v="2"/>
      <x v="7839"/>
      <x v="7800"/>
      <x v="46"/>
    </i>
    <i r="3">
      <x v="19"/>
      <x v="2"/>
      <x v="94"/>
      <x v="2"/>
      <x v="16"/>
      <x v="7916"/>
      <x v="7875"/>
      <x v="2"/>
      <x v="2"/>
      <x v="7920"/>
      <x v="7899"/>
      <x v="6"/>
    </i>
    <i r="5">
      <x v="100"/>
      <x v="2"/>
      <x v="16"/>
      <x v="7946"/>
      <x v="7911"/>
      <x v="2"/>
      <x v="2"/>
      <x v="7925"/>
      <x v="7904"/>
      <x v="6"/>
    </i>
    <i r="5">
      <x v="102"/>
      <x v="2"/>
      <x v="11"/>
      <x v="7944"/>
      <x v="7909"/>
      <x v="2"/>
      <x v="2"/>
      <x v="7923"/>
      <x v="7902"/>
      <x/>
    </i>
    <i r="5">
      <x v="103"/>
      <x v="2"/>
      <x v="10"/>
      <x v="7943"/>
      <x v="7908"/>
      <x v="2"/>
      <x v="2"/>
      <x v="7922"/>
      <x v="7901"/>
      <x/>
    </i>
    <i r="5">
      <x v="105"/>
      <x v="2"/>
      <x v="7"/>
      <x v="7942"/>
      <x v="7907"/>
      <x v="2"/>
      <x v="2"/>
      <x v="7921"/>
      <x v="7900"/>
      <x/>
    </i>
    <i r="5">
      <x v="227"/>
      <x v="2"/>
      <x v="13"/>
      <x v="7940"/>
      <x v="7905"/>
      <x v="2"/>
      <x v="2"/>
      <x v="7918"/>
      <x v="7897"/>
      <x v="89"/>
    </i>
    <i r="5">
      <x v="228"/>
      <x v="2"/>
      <x v="20"/>
      <x v="7941"/>
      <x v="7906"/>
      <x v="2"/>
      <x v="2"/>
      <x v="7919"/>
      <x v="7898"/>
      <x v="89"/>
    </i>
    <i r="5">
      <x v="229"/>
      <x v="2"/>
      <x v="13"/>
      <x v="7945"/>
      <x v="7910"/>
      <x v="2"/>
      <x v="2"/>
      <x v="7924"/>
      <x v="7903"/>
      <x v="89"/>
    </i>
    <i r="1">
      <x v="15"/>
    </i>
    <i r="1">
      <x v="22"/>
      <x v="3"/>
      <x v="12"/>
      <x v="1"/>
      <x v="136"/>
      <x v="4"/>
      <x v="10"/>
      <x v="7867"/>
      <x v="7808"/>
      <x v="4"/>
      <x v="7"/>
      <x v="7838"/>
      <x v="7798"/>
      <x v="56"/>
    </i>
    <i r="14">
      <x v="89"/>
    </i>
    <i r="2">
      <x v="6"/>
      <x v="12"/>
      <x v="1"/>
      <x v="136"/>
      <x v="4"/>
      <x v="10"/>
      <x v="7867"/>
      <x v="7809"/>
      <x v="4"/>
      <x v="7"/>
      <x v="7838"/>
      <x v="7799"/>
      <x v="56"/>
    </i>
    <i r="14">
      <x v="89"/>
    </i>
    <i r="3">
      <x v="19"/>
      <x v="2"/>
      <x v="227"/>
      <x v="2"/>
      <x v="13"/>
      <x v="7940"/>
      <x v="7905"/>
      <x v="2"/>
      <x v="2"/>
      <x v="7918"/>
      <x v="7897"/>
      <x v="89"/>
    </i>
    <i r="5">
      <x v="228"/>
      <x v="2"/>
      <x v="20"/>
      <x v="7941"/>
      <x v="7906"/>
      <x v="2"/>
      <x v="2"/>
      <x v="7919"/>
      <x v="7898"/>
      <x v="89"/>
    </i>
    <i>
      <x v="39"/>
      <x v="7"/>
      <x v="6"/>
      <x v="7"/>
      <x v="2"/>
      <x v="163"/>
      <x/>
      <x v="7"/>
      <x v="7984"/>
      <x v="7969"/>
      <x v="5"/>
      <x v="4"/>
      <x v="7973"/>
      <x v="7965"/>
      <x v="12"/>
    </i>
    <i>
      <x v="40"/>
      <x v="7"/>
      <x v="6"/>
      <x v="7"/>
      <x v="2"/>
      <x v="163"/>
      <x/>
      <x v="7"/>
      <x v="7984"/>
      <x v="7969"/>
      <x v="5"/>
      <x v="4"/>
      <x v="7973"/>
      <x v="7965"/>
      <x v="12"/>
    </i>
    <i>
      <x v="41"/>
      <x/>
      <x/>
      <x v="8"/>
      <x/>
      <x v="107"/>
      <x v="2"/>
      <x v="17"/>
      <x v="7825"/>
      <x v="7746"/>
      <x/>
      <x v="2"/>
      <x v="7788"/>
      <x v="7734"/>
      <x v="50"/>
    </i>
    <i>
      <x v="42"/>
      <x v="3"/>
      <x v="10"/>
      <x v="6"/>
      <x v="1"/>
      <x v="167"/>
      <x v="4"/>
      <x v="10"/>
      <x v="7954"/>
      <x v="7921"/>
      <x v="4"/>
      <x v="7"/>
      <x v="7935"/>
      <x v="7915"/>
      <x v="56"/>
    </i>
    <i r="4">
      <x v="2"/>
      <x v="30"/>
      <x v="5"/>
      <x v="10"/>
      <x v="7955"/>
      <x v="7922"/>
      <x v="4"/>
      <x v="7"/>
      <x v="7936"/>
      <x v="7916"/>
      <x v="10"/>
    </i>
    <i r="1">
      <x v="4"/>
      <x v="10"/>
      <x v="6"/>
      <x v="1"/>
      <x v="167"/>
      <x v="4"/>
      <x v="10"/>
      <x v="7954"/>
      <x v="7921"/>
      <x v="4"/>
      <x v="7"/>
      <x v="7935"/>
      <x v="7915"/>
      <x v="56"/>
    </i>
    <i r="1">
      <x v="6"/>
      <x v="10"/>
      <x/>
      <x v="2"/>
      <x v="63"/>
      <x v="2"/>
      <x v="10"/>
      <x v="7843"/>
      <x v="7778"/>
      <x v="4"/>
      <x v="3"/>
      <x v="7814"/>
      <x v="7768"/>
      <x v="56"/>
    </i>
    <i r="5">
      <x v="67"/>
      <x v="2"/>
      <x v="7"/>
      <x v="7835"/>
      <x v="7774"/>
      <x v="4"/>
      <x v="3"/>
      <x v="7806"/>
      <x v="7764"/>
      <x v="56"/>
    </i>
    <i r="5">
      <x v="92"/>
      <x v="2"/>
      <x v="4"/>
      <x v="7844"/>
      <x v="7779"/>
      <x v="4"/>
      <x v="3"/>
      <x v="7815"/>
      <x v="7769"/>
      <x v="56"/>
    </i>
    <i r="3">
      <x v="6"/>
      <x v="1"/>
      <x v="167"/>
      <x v="4"/>
      <x v="10"/>
      <x v="7954"/>
      <x v="7921"/>
      <x v="4"/>
      <x v="7"/>
      <x v="7935"/>
      <x v="7915"/>
      <x v="56"/>
    </i>
    <i r="4">
      <x v="2"/>
      <x v="30"/>
      <x v="5"/>
      <x v="10"/>
      <x v="7955"/>
      <x v="7922"/>
      <x v="4"/>
      <x v="7"/>
      <x v="7936"/>
      <x v="7916"/>
      <x v="10"/>
    </i>
    <i r="1">
      <x v="15"/>
    </i>
    <i>
      <x v="43"/>
      <x v="5"/>
      <x v="6"/>
      <x v="1"/>
      <x v="1"/>
      <x v="169"/>
      <x v="4"/>
      <x v="10"/>
      <x v="7862"/>
      <x v="7801"/>
      <x v="4"/>
      <x v="7"/>
      <x v="7833"/>
      <x v="7791"/>
      <x v="56"/>
    </i>
    <i r="3">
      <x v="6"/>
      <x v="1"/>
      <x v="169"/>
      <x v="4"/>
      <x v="10"/>
      <x v="7862"/>
      <x v="7801"/>
      <x v="4"/>
      <x v="7"/>
      <x v="7833"/>
      <x v="7791"/>
      <x v="56"/>
    </i>
    <i r="14">
      <x v="89"/>
    </i>
    <i r="4">
      <x v="2"/>
      <x v="170"/>
      <x v="5"/>
      <x v="10"/>
      <x v="7956"/>
      <x v="7924"/>
      <x v="4"/>
      <x v="7"/>
      <x v="7937"/>
      <x v="7918"/>
      <x v="38"/>
    </i>
    <i r="1">
      <x v="7"/>
      <x v="6"/>
      <x v="6"/>
      <x v="1"/>
      <x v="169"/>
      <x v="4"/>
      <x v="10"/>
      <x v="7862"/>
      <x v="7801"/>
      <x v="4"/>
      <x v="7"/>
      <x v="7833"/>
      <x v="7791"/>
      <x v="56"/>
    </i>
    <i r="1">
      <x v="21"/>
      <x v="6"/>
      <x v="6"/>
      <x v="1"/>
      <x v="169"/>
      <x v="4"/>
      <x v="10"/>
      <x v="7862"/>
      <x v="7801"/>
      <x v="4"/>
      <x v="7"/>
      <x v="7833"/>
      <x v="7791"/>
      <x v="56"/>
    </i>
    <i>
      <x v="46"/>
      <x v="7"/>
      <x v="6"/>
      <x v="1"/>
      <x v="1"/>
      <x v="188"/>
      <x v="4"/>
      <x v="10"/>
      <x v="7863"/>
      <x v="7802"/>
      <x v="4"/>
      <x v="7"/>
      <x v="7834"/>
      <x v="7792"/>
      <x v="56"/>
    </i>
    <i r="4">
      <x v="2"/>
      <x v="1"/>
      <x v="5"/>
      <x v="10"/>
      <x v="7861"/>
      <x v="7800"/>
      <x v="4"/>
      <x v="7"/>
      <x v="7832"/>
      <x v="7790"/>
      <x v="9"/>
    </i>
    <i>
      <x v="47"/>
      <x v="7"/>
      <x v="6"/>
      <x v="2"/>
      <x v="2"/>
      <x v="15"/>
      <x v="2"/>
      <x v="10"/>
      <x v="7888"/>
      <x v="7832"/>
      <x v="5"/>
      <x v="4"/>
      <x v="7859"/>
      <x v="7822"/>
      <x v="89"/>
    </i>
    <i r="5">
      <x v="17"/>
      <x v="2"/>
      <x v="8"/>
      <x v="7889"/>
      <x v="7833"/>
      <x v="5"/>
      <x v="4"/>
      <x v="7860"/>
      <x v="7823"/>
      <x v="89"/>
    </i>
    <i r="5">
      <x v="20"/>
      <x v="2"/>
      <x v="7"/>
      <x v="7890"/>
      <x v="7834"/>
      <x v="5"/>
      <x v="4"/>
      <x v="7861"/>
      <x v="7824"/>
      <x v="89"/>
    </i>
    <i r="5">
      <x v="25"/>
      <x v="2"/>
      <x v="5"/>
      <x v="7891"/>
      <x v="7835"/>
      <x v="5"/>
      <x v="4"/>
      <x v="7862"/>
      <x v="7825"/>
      <x v="89"/>
    </i>
    <i r="1">
      <x v="15"/>
    </i>
    <i>
      <x v="48"/>
      <x v="7"/>
      <x v="8"/>
      <x v="2"/>
      <x v="2"/>
      <x v="27"/>
      <x v="2"/>
      <x v="10"/>
      <x v="7885"/>
      <x v="7828"/>
      <x v="5"/>
      <x v="4"/>
      <x v="7856"/>
      <x v="7818"/>
      <x v="89"/>
    </i>
    <i r="5">
      <x v="29"/>
      <x v="2"/>
      <x v="8"/>
      <x v="7886"/>
      <x v="7829"/>
      <x v="5"/>
      <x v="4"/>
      <x v="7857"/>
      <x v="7819"/>
      <x v="89"/>
    </i>
    <i r="5">
      <x v="36"/>
      <x v="2"/>
      <x v="5"/>
      <x v="7882"/>
      <x v="7831"/>
      <x v="5"/>
      <x v="4"/>
      <x v="7853"/>
      <x v="7821"/>
      <x v="89"/>
    </i>
    <i r="5">
      <x v="157"/>
      <x v="2"/>
      <x v="7"/>
      <x v="7887"/>
      <x v="7830"/>
      <x v="5"/>
      <x v="4"/>
      <x v="7858"/>
      <x v="7820"/>
      <x v="89"/>
    </i>
    <i>
      <x v="49"/>
      <x v="4"/>
      <x v="10"/>
      <x v="5"/>
      <x/>
      <x v="213"/>
      <x v="2"/>
      <x v="3"/>
      <x v="7760"/>
      <x v="7654"/>
      <x/>
      <x v="2"/>
      <x v="7711"/>
      <x v="7638"/>
      <x v="89"/>
    </i>
    <i>
      <x v="50"/>
      <x v="4"/>
      <x v="11"/>
      <x v="5"/>
      <x/>
      <x v="214"/>
      <x v="2"/>
      <x v="7"/>
      <x v="7761"/>
      <x v="7655"/>
      <x/>
      <x v="2"/>
      <x v="7712"/>
      <x v="7639"/>
      <x v="89"/>
    </i>
    <i r="1">
      <x v="14"/>
      <x v="11"/>
      <x v="5"/>
      <x/>
      <x v="214"/>
      <x v="2"/>
      <x v="7"/>
      <x v="7761"/>
      <x v="7655"/>
      <x/>
      <x v="2"/>
      <x v="7712"/>
      <x v="7639"/>
      <x v="89"/>
    </i>
    <i>
      <x v="51"/>
      <x v="7"/>
      <x v="5"/>
      <x v="7"/>
      <x v="2"/>
      <x v="64"/>
      <x/>
      <x v="10"/>
      <x v="7977"/>
      <x v="7954"/>
      <x v="5"/>
      <x v="4"/>
      <x v="7963"/>
      <x v="7949"/>
      <x v="89"/>
    </i>
    <i r="5">
      <x v="66"/>
      <x/>
      <x v="7"/>
      <x v="7974"/>
      <x v="7955"/>
      <x v="5"/>
      <x v="4"/>
      <x v="7958"/>
      <x v="7950"/>
      <x v="89"/>
    </i>
    <i r="5">
      <x v="69"/>
      <x/>
      <x v="5"/>
      <x v="7900"/>
      <x v="7956"/>
      <x v="5"/>
      <x v="4"/>
      <x v="7964"/>
      <x v="7951"/>
      <x v="89"/>
    </i>
    <i r="5">
      <x v="73"/>
      <x/>
      <x v="3"/>
      <x v="7978"/>
      <x v="7957"/>
      <x v="5"/>
      <x v="4"/>
      <x v="7965"/>
      <x v="7952"/>
      <x v="89"/>
    </i>
    <i r="5">
      <x v="81"/>
      <x/>
      <x v="1"/>
      <x v="7979"/>
      <x v="7958"/>
      <x v="5"/>
      <x v="4"/>
      <x v="7966"/>
      <x v="7953"/>
      <x v="89"/>
    </i>
    <i>
      <x v="52"/>
      <x/>
      <x v="3"/>
      <x v="3"/>
      <x v="2"/>
      <x v="44"/>
      <x v="1"/>
      <x v="9"/>
      <x v="7908"/>
      <x v="7881"/>
      <x v="1"/>
      <x/>
      <x v="7880"/>
      <x v="7871"/>
      <x v="89"/>
    </i>
    <i r="5">
      <x v="46"/>
      <x v="1"/>
      <x v="7"/>
      <x v="7922"/>
      <x v="7882"/>
      <x v="1"/>
      <x/>
      <x v="7895"/>
      <x v="7872"/>
      <x v="89"/>
    </i>
    <i r="5">
      <x v="50"/>
      <x v="1"/>
      <x v="3"/>
      <x v="7923"/>
      <x v="7883"/>
      <x v="1"/>
      <x/>
      <x v="7896"/>
      <x v="7873"/>
      <x v="89"/>
    </i>
    <i r="1">
      <x v="7"/>
      <x v="3"/>
      <x v="3"/>
      <x v="2"/>
      <x v="31"/>
      <x v="1"/>
      <x v="9"/>
      <x v="7919"/>
      <x v="7878"/>
      <x v="1"/>
      <x/>
      <x v="7892"/>
      <x v="7868"/>
      <x v="89"/>
    </i>
    <i r="5">
      <x v="32"/>
      <x v="1"/>
      <x v="7"/>
      <x v="7920"/>
      <x v="7879"/>
      <x v="1"/>
      <x/>
      <x v="7893"/>
      <x v="7869"/>
      <x v="89"/>
    </i>
    <i r="5">
      <x v="35"/>
      <x v="1"/>
      <x v="3"/>
      <x v="7921"/>
      <x v="7880"/>
      <x v="1"/>
      <x/>
      <x v="7894"/>
      <x v="7870"/>
      <x v="89"/>
    </i>
    <i r="3">
      <x v="6"/>
      <x v="1"/>
      <x v="187"/>
      <x v="4"/>
      <x v="10"/>
      <x v="7952"/>
      <x v="7919"/>
      <x v="4"/>
      <x v="7"/>
      <x v="7933"/>
      <x v="7913"/>
      <x v="56"/>
    </i>
    <i r="1">
      <x v="14"/>
      <x v="3"/>
      <x v="3"/>
      <x v="2"/>
      <x v="31"/>
      <x v="1"/>
      <x v="9"/>
      <x v="7919"/>
      <x v="7878"/>
      <x v="1"/>
      <x/>
      <x v="7892"/>
      <x v="7868"/>
      <x v="89"/>
    </i>
    <i r="5">
      <x v="32"/>
      <x v="1"/>
      <x v="7"/>
      <x v="7920"/>
      <x v="7879"/>
      <x v="1"/>
      <x/>
      <x v="7893"/>
      <x v="7869"/>
      <x v="89"/>
    </i>
    <i r="5">
      <x v="35"/>
      <x v="1"/>
      <x v="3"/>
      <x v="7921"/>
      <x v="7880"/>
      <x v="1"/>
      <x/>
      <x v="7894"/>
      <x v="7870"/>
      <x v="89"/>
    </i>
    <i r="3">
      <x v="6"/>
      <x v="1"/>
      <x v="187"/>
      <x v="4"/>
      <x v="10"/>
      <x v="7952"/>
      <x v="7919"/>
      <x v="4"/>
      <x v="7"/>
      <x v="7933"/>
      <x v="7913"/>
      <x v="56"/>
    </i>
    <i r="1">
      <x v="15"/>
    </i>
    <i>
      <x v="53"/>
      <x v="7"/>
      <x v="6"/>
      <x v="6"/>
      <x v="1"/>
      <x v="111"/>
      <x v="4"/>
      <x v="10"/>
      <x v="7957"/>
      <x v="7925"/>
      <x v="4"/>
      <x v="7"/>
      <x v="7938"/>
      <x v="7919"/>
      <x v="56"/>
    </i>
    <i r="4">
      <x v="2"/>
      <x v="2"/>
      <x v="5"/>
      <x v="10"/>
      <x v="7958"/>
      <x v="7926"/>
      <x v="4"/>
      <x v="7"/>
      <x v="7939"/>
      <x v="7920"/>
      <x v="7"/>
    </i>
    <i>
      <x v="54"/>
      <x v="15"/>
    </i>
    <i>
      <x v="55"/>
      <x v="15"/>
    </i>
    <i>
      <x v="56"/>
      <x v="15"/>
    </i>
    <i>
      <x v="57"/>
      <x v="15"/>
    </i>
    <i>
      <x v="58"/>
      <x v="15"/>
    </i>
    <i>
      <x v="59"/>
      <x v="7"/>
      <x v="16"/>
      <x v="12"/>
      <x v="1"/>
      <x v="189"/>
      <x v="4"/>
      <x v="10"/>
      <x v="7870"/>
      <x v="7812"/>
      <x v="4"/>
      <x v="7"/>
      <x v="7841"/>
      <x v="7802"/>
      <x v="56"/>
    </i>
    <i>
      <x v="60"/>
      <x v="7"/>
      <x v="6"/>
      <x v="6"/>
      <x v="1"/>
      <x v="161"/>
      <x v="4"/>
      <x v="10"/>
      <x v="7996"/>
      <x v="7992"/>
      <x v="4"/>
      <x v="7"/>
      <x v="7994"/>
      <x v="7990"/>
      <x v="85"/>
    </i>
  </rowItems>
  <colItems count="1">
    <i/>
  </colItems>
  <formats count="13472">
    <format dxfId="13477">
      <pivotArea field="13" type="button" dataOnly="0" labelOnly="1" outline="0" axis="axisRow" fieldPosition="6"/>
    </format>
    <format dxfId="13476">
      <pivotArea field="13" type="button" dataOnly="0" labelOnly="1" outline="0" axis="axisRow" fieldPosition="6"/>
    </format>
    <format dxfId="13475">
      <pivotArea field="13" type="button" dataOnly="0" labelOnly="1" outline="0" axis="axisRow" fieldPosition="6"/>
    </format>
    <format dxfId="13474">
      <pivotArea field="13" type="button" dataOnly="0" labelOnly="1" outline="0" axis="axisRow" fieldPosition="6"/>
    </format>
    <format dxfId="13473">
      <pivotArea field="13" type="button" dataOnly="0" labelOnly="1" outline="0" axis="axisRow" fieldPosition="6"/>
    </format>
    <format dxfId="13472">
      <pivotArea field="13" type="button" dataOnly="0" labelOnly="1" outline="0" axis="axisRow" fieldPosition="6"/>
    </format>
    <format dxfId="13471">
      <pivotArea field="13" type="button" dataOnly="0" labelOnly="1" outline="0" axis="axisRow" fieldPosition="6"/>
    </format>
    <format dxfId="13470">
      <pivotArea field="13" type="button" dataOnly="0" labelOnly="1" outline="0" axis="axisRow" fieldPosition="6"/>
    </format>
    <format dxfId="13469">
      <pivotArea field="13" type="button" dataOnly="0" labelOnly="1" outline="0" axis="axisRow" fieldPosition="6"/>
    </format>
    <format dxfId="13468">
      <pivotArea field="13" type="button" dataOnly="0" labelOnly="1" outline="0" axis="axisRow" fieldPosition="6"/>
    </format>
    <format dxfId="13467">
      <pivotArea field="13" type="button" dataOnly="0" labelOnly="1" outline="0" axis="axisRow" fieldPosition="6"/>
    </format>
    <format dxfId="13466">
      <pivotArea field="13" type="button" dataOnly="0" labelOnly="1" outline="0" axis="axisRow" fieldPosition="6"/>
    </format>
    <format dxfId="13465">
      <pivotArea field="13" type="button" dataOnly="0" labelOnly="1" outline="0" axis="axisRow" fieldPosition="6"/>
    </format>
    <format dxfId="13464">
      <pivotArea field="13" type="button" dataOnly="0" labelOnly="1" outline="0" axis="axisRow" fieldPosition="6"/>
    </format>
    <format dxfId="13463">
      <pivotArea field="13" type="button" dataOnly="0" labelOnly="1" outline="0" axis="axisRow" fieldPosition="6"/>
    </format>
    <format dxfId="13462">
      <pivotArea field="13" type="button" dataOnly="0" labelOnly="1" outline="0" axis="axisRow" fieldPosition="6"/>
    </format>
    <format dxfId="13461">
      <pivotArea field="13" type="button" dataOnly="0" labelOnly="1" outline="0" axis="axisRow" fieldPosition="6"/>
    </format>
    <format dxfId="13460">
      <pivotArea field="13" type="button" dataOnly="0" labelOnly="1" outline="0" axis="axisRow" fieldPosition="6"/>
    </format>
    <format dxfId="13459">
      <pivotArea field="13" type="button" dataOnly="0" labelOnly="1" outline="0" axis="axisRow" fieldPosition="6"/>
    </format>
    <format dxfId="13458">
      <pivotArea field="13" type="button" dataOnly="0" labelOnly="1" outline="0" axis="axisRow" fieldPosition="6"/>
    </format>
    <format dxfId="13457">
      <pivotArea field="13" type="button" dataOnly="0" labelOnly="1" outline="0" axis="axisRow" fieldPosition="6"/>
    </format>
    <format dxfId="13456">
      <pivotArea field="13" type="button" dataOnly="0" labelOnly="1" outline="0" axis="axisRow" fieldPosition="6"/>
    </format>
    <format dxfId="13455">
      <pivotArea field="13" type="button" dataOnly="0" labelOnly="1" outline="0" axis="axisRow" fieldPosition="6"/>
    </format>
    <format dxfId="13454">
      <pivotArea field="13" type="button" dataOnly="0" labelOnly="1" outline="0" axis="axisRow" fieldPosition="6"/>
    </format>
    <format dxfId="13453">
      <pivotArea field="13" type="button" dataOnly="0" labelOnly="1" outline="0" axis="axisRow" fieldPosition="6"/>
    </format>
    <format dxfId="13452">
      <pivotArea field="13" type="button" dataOnly="0" labelOnly="1" outline="0" axis="axisRow" fieldPosition="6"/>
    </format>
    <format dxfId="13451">
      <pivotArea field="13" type="button" dataOnly="0" labelOnly="1" outline="0" axis="axisRow" fieldPosition="6"/>
    </format>
    <format dxfId="13450">
      <pivotArea field="74" type="button" dataOnly="0" labelOnly="1" outline="0"/>
    </format>
    <format dxfId="13449">
      <pivotArea field="13" type="button" dataOnly="0" labelOnly="1" outline="0" axis="axisRow" fieldPosition="6"/>
    </format>
    <format dxfId="13448">
      <pivotArea field="74" type="button" dataOnly="0" labelOnly="1" outline="0"/>
    </format>
    <format dxfId="13447">
      <pivotArea field="13" type="button" dataOnly="0" labelOnly="1" outline="0" axis="axisRow" fieldPosition="6"/>
    </format>
    <format dxfId="13446">
      <pivotArea field="74" type="button" dataOnly="0" labelOnly="1" outline="0"/>
    </format>
    <format dxfId="13445">
      <pivotArea field="74" type="button" dataOnly="0" labelOnly="1" outline="0"/>
    </format>
    <format dxfId="13444">
      <pivotArea field="13" type="button" dataOnly="0" labelOnly="1" outline="0" axis="axisRow" fieldPosition="6"/>
    </format>
    <format dxfId="13443">
      <pivotArea field="13" type="button" dataOnly="0" labelOnly="1" outline="0" axis="axisRow" fieldPosition="6"/>
    </format>
    <format dxfId="13442">
      <pivotArea field="74" type="button" dataOnly="0" labelOnly="1" outline="0"/>
    </format>
    <format dxfId="13441">
      <pivotArea field="17" type="button" dataOnly="0" labelOnly="1" outline="0"/>
    </format>
    <format dxfId="13440">
      <pivotArea field="74" type="button" dataOnly="0" labelOnly="1" outline="0"/>
    </format>
    <format dxfId="13439">
      <pivotArea field="17" type="button" dataOnly="0" labelOnly="1" outline="0"/>
    </format>
    <format dxfId="13438">
      <pivotArea field="74" type="button" dataOnly="0" labelOnly="1" outline="0"/>
    </format>
    <format dxfId="13437">
      <pivotArea field="17" type="button" dataOnly="0" labelOnly="1" outline="0"/>
    </format>
    <format dxfId="13436">
      <pivotArea field="74" type="button" dataOnly="0" labelOnly="1" outline="0"/>
    </format>
    <format dxfId="13435">
      <pivotArea field="13" type="button" dataOnly="0" labelOnly="1" outline="0" axis="axisRow" fieldPosition="6"/>
    </format>
    <format dxfId="13434">
      <pivotArea field="72" type="button" dataOnly="0" labelOnly="1" outline="0" axis="axisRow" fieldPosition="5"/>
    </format>
    <format dxfId="13433">
      <pivotArea field="72" type="button" dataOnly="0" labelOnly="1" outline="0" axis="axisRow" fieldPosition="5"/>
    </format>
    <format dxfId="13432">
      <pivotArea field="72" type="button" dataOnly="0" labelOnly="1" outline="0" axis="axisRow" fieldPosition="5"/>
    </format>
    <format dxfId="13431">
      <pivotArea field="72" type="button" dataOnly="0" labelOnly="1" outline="0" axis="axisRow" fieldPosition="5"/>
    </format>
    <format dxfId="13430">
      <pivotArea field="72" type="button" dataOnly="0" labelOnly="1" outline="0" axis="axisRow" fieldPosition="5"/>
    </format>
    <format dxfId="13429">
      <pivotArea field="72" type="button" dataOnly="0" labelOnly="1" outline="0" axis="axisRow" fieldPosition="5"/>
    </format>
    <format dxfId="13428">
      <pivotArea field="72" type="button" dataOnly="0" labelOnly="1" outline="0" axis="axisRow" fieldPosition="5"/>
    </format>
    <format dxfId="13427">
      <pivotArea field="72" type="button" dataOnly="0" labelOnly="1" outline="0" axis="axisRow" fieldPosition="5"/>
    </format>
    <format dxfId="13426">
      <pivotArea field="72" type="button" dataOnly="0" labelOnly="1" outline="0" axis="axisRow" fieldPosition="5"/>
    </format>
    <format dxfId="13425">
      <pivotArea field="72" type="button" dataOnly="0" labelOnly="1" outline="0" axis="axisRow" fieldPosition="5"/>
    </format>
    <format dxfId="13424">
      <pivotArea field="72" type="button" dataOnly="0" labelOnly="1" outline="0" axis="axisRow" fieldPosition="5"/>
    </format>
    <format dxfId="13423">
      <pivotArea field="72" type="button" dataOnly="0" labelOnly="1" outline="0" axis="axisRow" fieldPosition="5"/>
    </format>
    <format dxfId="13422">
      <pivotArea field="72" type="button" dataOnly="0" labelOnly="1" outline="0" axis="axisRow" fieldPosition="5"/>
    </format>
    <format dxfId="13421">
      <pivotArea field="13" type="button" dataOnly="0" labelOnly="1" outline="0" axis="axisRow" fieldPosition="6"/>
    </format>
    <format dxfId="13420">
      <pivotArea field="3" type="button" dataOnly="0" labelOnly="1" outline="0" axis="axisRow" fieldPosition="1"/>
    </format>
    <format dxfId="13419">
      <pivotArea field="13" type="button" dataOnly="0" labelOnly="1" outline="0" axis="axisRow" fieldPosition="6"/>
    </format>
    <format dxfId="13418">
      <pivotArea dataOnly="0" labelOnly="1" outline="0" fieldPosition="0">
        <references count="1">
          <reference field="1" count="0"/>
        </references>
      </pivotArea>
    </format>
    <format dxfId="13417">
      <pivotArea dataOnly="0" labelOnly="1" grandRow="1" outline="0" fieldPosition="0"/>
    </format>
    <format dxfId="13416">
      <pivotArea dataOnly="0" labelOnly="1" outline="0" fieldPosition="0">
        <references count="2">
          <reference field="1" count="0" selected="0"/>
          <reference field="2" count="0"/>
        </references>
      </pivotArea>
    </format>
    <format dxfId="13415">
      <pivotArea dataOnly="0" labelOnly="1" outline="0" fieldPosition="0">
        <references count="3">
          <reference field="1" count="0" selected="0"/>
          <reference field="2" count="0" selected="0"/>
          <reference field="5" count="3">
            <x v="3"/>
            <x v="5"/>
            <x v="6"/>
          </reference>
        </references>
      </pivotArea>
    </format>
    <format dxfId="13414">
      <pivotArea dataOnly="0" labelOnly="1" outline="0" fieldPosition="0">
        <references count="2">
          <reference field="1" count="0" selected="0"/>
          <reference field="2" count="0"/>
        </references>
      </pivotArea>
    </format>
    <format dxfId="13413">
      <pivotArea dataOnly="0" labelOnly="1" outline="0" fieldPosition="0">
        <references count="3">
          <reference field="1" count="0" selected="0"/>
          <reference field="2" count="0" selected="0"/>
          <reference field="5" count="3">
            <x v="3"/>
            <x v="5"/>
            <x v="6"/>
          </reference>
        </references>
      </pivotArea>
    </format>
    <format dxfId="13412">
      <pivotArea field="72" type="button" dataOnly="0" labelOnly="1" outline="0" axis="axisRow" fieldPosition="5"/>
    </format>
    <format dxfId="13411">
      <pivotArea field="13" type="button" dataOnly="0" labelOnly="1" outline="0" axis="axisRow" fieldPosition="6"/>
    </format>
    <format dxfId="13410">
      <pivotArea field="72" type="button" dataOnly="0" labelOnly="1" outline="0" axis="axisRow" fieldPosition="5"/>
    </format>
    <format dxfId="13409">
      <pivotArea field="2" type="button" dataOnly="0" labelOnly="1" outline="0" axis="axisRow" fieldPosition="2"/>
    </format>
    <format dxfId="13408">
      <pivotArea field="5" type="button" dataOnly="0" labelOnly="1" outline="0" axis="axisRow" fieldPosition="3"/>
    </format>
    <format dxfId="13407">
      <pivotArea field="23" type="button" dataOnly="0" labelOnly="1" outline="0" axis="axisRow" fieldPosition="4"/>
    </format>
    <format dxfId="13406">
      <pivotArea field="72" type="button" dataOnly="0" labelOnly="1" outline="0" axis="axisRow" fieldPosition="5"/>
    </format>
    <format dxfId="13405">
      <pivotArea field="13" type="button" dataOnly="0" labelOnly="1" outline="0" axis="axisRow" fieldPosition="6"/>
    </format>
    <format dxfId="13404">
      <pivotArea field="22" type="button" dataOnly="0" labelOnly="1" outline="0" axis="axisRow" fieldPosition="7"/>
    </format>
    <format dxfId="13403">
      <pivotArea field="81" type="button" dataOnly="0" labelOnly="1" outline="0" axis="axisRow" fieldPosition="8"/>
    </format>
    <format dxfId="13402">
      <pivotArea field="82" type="button" dataOnly="0" labelOnly="1" outline="0" axis="axisRow" fieldPosition="9"/>
    </format>
    <format dxfId="13401">
      <pivotArea field="12" type="button" dataOnly="0" labelOnly="1" outline="0" axis="axisRow" fieldPosition="10"/>
    </format>
    <format dxfId="13400">
      <pivotArea field="85" type="button" dataOnly="0" labelOnly="1" outline="0" axis="axisRow" fieldPosition="11"/>
    </format>
    <format dxfId="13399">
      <pivotArea field="87" type="button" dataOnly="0" labelOnly="1" outline="0" axis="axisRow" fieldPosition="12"/>
    </format>
    <format dxfId="13398">
      <pivotArea field="88" type="button" dataOnly="0" labelOnly="1" outline="0" axis="axisRow" fieldPosition="13"/>
    </format>
    <format dxfId="13397">
      <pivotArea field="72" type="button" dataOnly="0" labelOnly="1" outline="0" axis="axisRow" fieldPosition="5"/>
    </format>
    <format dxfId="13396">
      <pivotArea field="72" type="button" dataOnly="0" labelOnly="1" outline="0" axis="axisRow" fieldPosition="5"/>
    </format>
    <format dxfId="13395">
      <pivotArea field="72" type="button" dataOnly="0" labelOnly="1" outline="0" axis="axisRow" fieldPosition="5"/>
    </format>
    <format dxfId="13394">
      <pivotArea field="72" type="button" dataOnly="0" labelOnly="1" outline="0" axis="axisRow" fieldPosition="5"/>
    </format>
    <format dxfId="13393">
      <pivotArea field="72" type="button" dataOnly="0" labelOnly="1" outline="0" axis="axisRow" fieldPosition="5"/>
    </format>
    <format dxfId="13392">
      <pivotArea field="72" type="button" dataOnly="0" labelOnly="1" outline="0" axis="axisRow" fieldPosition="5"/>
    </format>
    <format dxfId="13391">
      <pivotArea dataOnly="0" labelOnly="1" outline="0" fieldPosition="0">
        <references count="1">
          <reference field="1" count="0"/>
        </references>
      </pivotArea>
    </format>
    <format dxfId="13390">
      <pivotArea field="72" type="button" dataOnly="0" labelOnly="1" outline="0" axis="axisRow" fieldPosition="5"/>
    </format>
    <format dxfId="13389">
      <pivotArea field="72" type="button" dataOnly="0" labelOnly="1" outline="0" axis="axisRow" fieldPosition="5"/>
    </format>
    <format dxfId="13388">
      <pivotArea field="72" type="button" dataOnly="0" labelOnly="1" outline="0" axis="axisRow" fieldPosition="5"/>
    </format>
    <format dxfId="13387">
      <pivotArea dataOnly="0" labelOnly="1" outline="0" fieldPosition="0">
        <references count="1">
          <reference field="1" count="0"/>
        </references>
      </pivotArea>
    </format>
    <format dxfId="13386">
      <pivotArea dataOnly="0" labelOnly="1" outline="0" fieldPosition="0">
        <references count="1">
          <reference field="1" count="0"/>
        </references>
      </pivotArea>
    </format>
    <format dxfId="13385">
      <pivotArea field="72" type="button" dataOnly="0" labelOnly="1" outline="0" axis="axisRow" fieldPosition="5"/>
    </format>
    <format dxfId="13384">
      <pivotArea field="72" type="button" dataOnly="0" labelOnly="1" outline="0" axis="axisRow" fieldPosition="5"/>
    </format>
    <format dxfId="13383">
      <pivotArea field="72" type="button" dataOnly="0" labelOnly="1" outline="0" axis="axisRow" fieldPosition="5"/>
    </format>
    <format dxfId="13382">
      <pivotArea dataOnly="0" labelOnly="1" outline="0" fieldPosition="0">
        <references count="1">
          <reference field="1" count="0"/>
        </references>
      </pivotArea>
    </format>
    <format dxfId="13381">
      <pivotArea dataOnly="0" labelOnly="1" outline="0" fieldPosition="0">
        <references count="2">
          <reference field="1" count="1" selected="0">
            <x v="0"/>
          </reference>
          <reference field="2" count="2">
            <x v="6"/>
            <x v="10"/>
          </reference>
        </references>
      </pivotArea>
    </format>
    <format dxfId="13380">
      <pivotArea dataOnly="0" labelOnly="1" outline="0" fieldPosition="0">
        <references count="2">
          <reference field="1" count="1" selected="0">
            <x v="1"/>
          </reference>
          <reference field="2" count="2">
            <x v="3"/>
            <x v="6"/>
          </reference>
        </references>
      </pivotArea>
    </format>
    <format dxfId="13379">
      <pivotArea dataOnly="0" labelOnly="1" outline="0" fieldPosition="0">
        <references count="2">
          <reference field="1" count="1" selected="0">
            <x v="2"/>
          </reference>
          <reference field="2" count="1">
            <x v="3"/>
          </reference>
        </references>
      </pivotArea>
    </format>
    <format dxfId="13378">
      <pivotArea dataOnly="0" labelOnly="1" outline="0" fieldPosition="0">
        <references count="2">
          <reference field="1" count="1" selected="0">
            <x v="5"/>
          </reference>
          <reference field="2" count="1">
            <x v="8"/>
          </reference>
        </references>
      </pivotArea>
    </format>
    <format dxfId="13377">
      <pivotArea dataOnly="0" labelOnly="1" outline="0" fieldPosition="0">
        <references count="2">
          <reference field="1" count="1" selected="0">
            <x v="6"/>
          </reference>
          <reference field="2" count="1">
            <x v="5"/>
          </reference>
        </references>
      </pivotArea>
    </format>
    <format dxfId="13376">
      <pivotArea dataOnly="0" labelOnly="1" outline="0" fieldPosition="0">
        <references count="2">
          <reference field="1" count="1" selected="0">
            <x v="7"/>
          </reference>
          <reference field="2" count="2">
            <x v="4"/>
            <x v="5"/>
          </reference>
        </references>
      </pivotArea>
    </format>
    <format dxfId="13375">
      <pivotArea dataOnly="0" labelOnly="1" outline="0" fieldPosition="0">
        <references count="2">
          <reference field="1" count="1" selected="0">
            <x v="8"/>
          </reference>
          <reference field="2" count="1">
            <x v="3"/>
          </reference>
        </references>
      </pivotArea>
    </format>
    <format dxfId="13374">
      <pivotArea dataOnly="0" labelOnly="1" outline="0" fieldPosition="0">
        <references count="2">
          <reference field="1" count="1" selected="0">
            <x v="9"/>
          </reference>
          <reference field="2" count="1">
            <x v="5"/>
          </reference>
        </references>
      </pivotArea>
    </format>
    <format dxfId="13373">
      <pivotArea dataOnly="0" labelOnly="1" outline="0" fieldPosition="0">
        <references count="2">
          <reference field="1" count="1" selected="0">
            <x v="10"/>
          </reference>
          <reference field="2" count="1">
            <x v="10"/>
          </reference>
        </references>
      </pivotArea>
    </format>
    <format dxfId="13372">
      <pivotArea dataOnly="0" labelOnly="1" outline="0" fieldPosition="0">
        <references count="2">
          <reference field="1" count="1" selected="0">
            <x v="12"/>
          </reference>
          <reference field="2" count="1">
            <x v="5"/>
          </reference>
        </references>
      </pivotArea>
    </format>
    <format dxfId="13371">
      <pivotArea dataOnly="0" labelOnly="1" outline="0" fieldPosition="0">
        <references count="2">
          <reference field="1" count="1" selected="0">
            <x v="13"/>
          </reference>
          <reference field="2" count="1">
            <x v="10"/>
          </reference>
        </references>
      </pivotArea>
    </format>
    <format dxfId="13370">
      <pivotArea dataOnly="0" labelOnly="1" outline="0" fieldPosition="0">
        <references count="2">
          <reference field="1" count="1" selected="0">
            <x v="15"/>
          </reference>
          <reference field="2" count="1">
            <x v="5"/>
          </reference>
        </references>
      </pivotArea>
    </format>
    <format dxfId="13369">
      <pivotArea dataOnly="0" labelOnly="1" outline="0" fieldPosition="0">
        <references count="2">
          <reference field="1" count="1" selected="0">
            <x v="17"/>
          </reference>
          <reference field="2" count="2">
            <x v="4"/>
            <x v="5"/>
          </reference>
        </references>
      </pivotArea>
    </format>
    <format dxfId="13368">
      <pivotArea dataOnly="0" labelOnly="1" outline="0" fieldPosition="0">
        <references count="2">
          <reference field="1" count="1" selected="0">
            <x v="18"/>
          </reference>
          <reference field="2" count="2">
            <x v="3"/>
            <x v="6"/>
          </reference>
        </references>
      </pivotArea>
    </format>
    <format dxfId="13367">
      <pivotArea dataOnly="0" labelOnly="1" outline="0" fieldPosition="0">
        <references count="2">
          <reference field="1" count="1" selected="0">
            <x v="19"/>
          </reference>
          <reference field="2" count="3">
            <x v="3"/>
            <x v="6"/>
            <x v="10"/>
          </reference>
        </references>
      </pivotArea>
    </format>
    <format dxfId="13366">
      <pivotArea dataOnly="0" labelOnly="1" outline="0" fieldPosition="0">
        <references count="2">
          <reference field="1" count="1" selected="0">
            <x v="21"/>
          </reference>
          <reference field="2" count="2">
            <x v="5"/>
            <x v="6"/>
          </reference>
        </references>
      </pivotArea>
    </format>
    <format dxfId="13365">
      <pivotArea dataOnly="0" labelOnly="1" outline="0" fieldPosition="0">
        <references count="2">
          <reference field="1" count="1" selected="0">
            <x v="22"/>
          </reference>
          <reference field="2" count="1">
            <x v="8"/>
          </reference>
        </references>
      </pivotArea>
    </format>
    <format dxfId="13364">
      <pivotArea dataOnly="0" labelOnly="1" outline="0" fieldPosition="0">
        <references count="2">
          <reference field="1" count="1" selected="0">
            <x v="23"/>
          </reference>
          <reference field="2" count="1">
            <x v="6"/>
          </reference>
        </references>
      </pivotArea>
    </format>
    <format dxfId="13363">
      <pivotArea dataOnly="0" labelOnly="1" outline="0" fieldPosition="0">
        <references count="2">
          <reference field="1" count="1" selected="0">
            <x v="24"/>
          </reference>
          <reference field="2" count="1">
            <x v="12"/>
          </reference>
        </references>
      </pivotArea>
    </format>
    <format dxfId="13362">
      <pivotArea dataOnly="0" labelOnly="1" outline="0" fieldPosition="0">
        <references count="2">
          <reference field="1" count="1" selected="0">
            <x v="25"/>
          </reference>
          <reference field="2" count="1">
            <x v="10"/>
          </reference>
        </references>
      </pivotArea>
    </format>
    <format dxfId="13361">
      <pivotArea dataOnly="0" labelOnly="1" outline="0" fieldPosition="0">
        <references count="2">
          <reference field="1" count="1" selected="0">
            <x v="28"/>
          </reference>
          <reference field="2" count="1">
            <x v="5"/>
          </reference>
        </references>
      </pivotArea>
    </format>
    <format dxfId="13360">
      <pivotArea dataOnly="0" labelOnly="1" outline="0" fieldPosition="0">
        <references count="2">
          <reference field="1" count="1" selected="0">
            <x v="29"/>
          </reference>
          <reference field="2" count="1">
            <x v="2"/>
          </reference>
        </references>
      </pivotArea>
    </format>
    <format dxfId="13359">
      <pivotArea dataOnly="0" labelOnly="1" outline="0" fieldPosition="0">
        <references count="2">
          <reference field="1" count="1" selected="0">
            <x v="30"/>
          </reference>
          <reference field="2" count="2">
            <x v="0"/>
            <x v="14"/>
          </reference>
        </references>
      </pivotArea>
    </format>
    <format dxfId="13358">
      <pivotArea dataOnly="0" labelOnly="1" outline="0" fieldPosition="0">
        <references count="2">
          <reference field="1" count="1" selected="0">
            <x v="31"/>
          </reference>
          <reference field="2" count="1">
            <x v="0"/>
          </reference>
        </references>
      </pivotArea>
    </format>
    <format dxfId="13357">
      <pivotArea dataOnly="0" labelOnly="1" outline="0" fieldPosition="0">
        <references count="2">
          <reference field="1" count="1" selected="0">
            <x v="32"/>
          </reference>
          <reference field="2" count="1">
            <x v="14"/>
          </reference>
        </references>
      </pivotArea>
    </format>
    <format dxfId="13356">
      <pivotArea dataOnly="0" labelOnly="1" outline="0" fieldPosition="0">
        <references count="2">
          <reference field="1" count="1" selected="0">
            <x v="33"/>
          </reference>
          <reference field="2" count="1">
            <x v="1"/>
          </reference>
        </references>
      </pivotArea>
    </format>
    <format dxfId="13355">
      <pivotArea dataOnly="0" labelOnly="1" outline="0" fieldPosition="0">
        <references count="2">
          <reference field="1" count="1" selected="0">
            <x v="34"/>
          </reference>
          <reference field="2" count="1">
            <x v="0"/>
          </reference>
        </references>
      </pivotArea>
    </format>
    <format dxfId="13354">
      <pivotArea dataOnly="0" labelOnly="1" outline="0" fieldPosition="0">
        <references count="2">
          <reference field="1" count="1" selected="0">
            <x v="35"/>
          </reference>
          <reference field="2" count="3">
            <x v="10"/>
            <x v="11"/>
            <x v="13"/>
          </reference>
        </references>
      </pivotArea>
    </format>
    <format dxfId="13353">
      <pivotArea dataOnly="0" labelOnly="1" outline="0" fieldPosition="0">
        <references count="2">
          <reference field="1" count="1" selected="0">
            <x v="36"/>
          </reference>
          <reference field="2" count="2">
            <x v="0"/>
            <x v="15"/>
          </reference>
        </references>
      </pivotArea>
    </format>
    <format dxfId="13352">
      <pivotArea dataOnly="0" labelOnly="1" outline="0" fieldPosition="0">
        <references count="2">
          <reference field="1" count="1" selected="0">
            <x v="37"/>
          </reference>
          <reference field="2" count="1">
            <x v="10"/>
          </reference>
        </references>
      </pivotArea>
    </format>
    <format dxfId="13351">
      <pivotArea dataOnly="0" labelOnly="1" outline="0" fieldPosition="0">
        <references count="2">
          <reference field="1" count="1" selected="0">
            <x v="38"/>
          </reference>
          <reference field="2" count="2">
            <x v="3"/>
            <x v="5"/>
          </reference>
        </references>
      </pivotArea>
    </format>
    <format dxfId="13350">
      <pivotArea dataOnly="0" labelOnly="1" outline="0" fieldPosition="0">
        <references count="3">
          <reference field="1" count="1" selected="0">
            <x v="0"/>
          </reference>
          <reference field="2" count="1" selected="0">
            <x v="6"/>
          </reference>
          <reference field="5" count="6">
            <x v="1"/>
            <x v="3"/>
            <x v="5"/>
            <x v="6"/>
            <x v="7"/>
            <x v="12"/>
          </reference>
        </references>
      </pivotArea>
    </format>
    <format dxfId="13349">
      <pivotArea dataOnly="0" labelOnly="1" outline="0" fieldPosition="0">
        <references count="3">
          <reference field="1" count="1" selected="0">
            <x v="0"/>
          </reference>
          <reference field="2" count="1" selected="0">
            <x v="10"/>
          </reference>
          <reference field="5" count="5">
            <x v="2"/>
            <x v="3"/>
            <x v="5"/>
            <x v="6"/>
            <x v="12"/>
          </reference>
        </references>
      </pivotArea>
    </format>
    <format dxfId="13348">
      <pivotArea dataOnly="0" labelOnly="1" outline="0" fieldPosition="0">
        <references count="3">
          <reference field="1" count="1" selected="0">
            <x v="1"/>
          </reference>
          <reference field="2" count="1" selected="0">
            <x v="3"/>
          </reference>
          <reference field="5" count="4">
            <x v="1"/>
            <x v="3"/>
            <x v="6"/>
            <x v="12"/>
          </reference>
        </references>
      </pivotArea>
    </format>
    <format dxfId="13347">
      <pivotArea dataOnly="0" labelOnly="1" outline="0" fieldPosition="0">
        <references count="3">
          <reference field="1" count="1" selected="0">
            <x v="1"/>
          </reference>
          <reference field="2" count="1" selected="0">
            <x v="6"/>
          </reference>
          <reference field="5" count="1">
            <x v="1"/>
          </reference>
        </references>
      </pivotArea>
    </format>
    <format dxfId="13346">
      <pivotArea dataOnly="0" labelOnly="1" outline="0" fieldPosition="0">
        <references count="3">
          <reference field="1" count="1" selected="0">
            <x v="2"/>
          </reference>
          <reference field="2" count="1" selected="0">
            <x v="3"/>
          </reference>
          <reference field="5" count="2">
            <x v="2"/>
            <x v="3"/>
          </reference>
        </references>
      </pivotArea>
    </format>
    <format dxfId="13345">
      <pivotArea dataOnly="0" labelOnly="1" outline="0" fieldPosition="0">
        <references count="3">
          <reference field="1" count="1" selected="0">
            <x v="3"/>
          </reference>
          <reference field="2" count="1" selected="0">
            <x v="3"/>
          </reference>
          <reference field="5" count="4">
            <x v="1"/>
            <x v="2"/>
            <x v="3"/>
            <x v="6"/>
          </reference>
        </references>
      </pivotArea>
    </format>
    <format dxfId="13344">
      <pivotArea dataOnly="0" labelOnly="1" outline="0" fieldPosition="0">
        <references count="3">
          <reference field="1" count="1" selected="0">
            <x v="4"/>
          </reference>
          <reference field="2" count="1" selected="0">
            <x v="3"/>
          </reference>
          <reference field="5" count="2">
            <x v="1"/>
            <x v="3"/>
          </reference>
        </references>
      </pivotArea>
    </format>
    <format dxfId="13343">
      <pivotArea dataOnly="0" labelOnly="1" outline="0" fieldPosition="0">
        <references count="3">
          <reference field="1" count="1" selected="0">
            <x v="5"/>
          </reference>
          <reference field="2" count="1" selected="0">
            <x v="8"/>
          </reference>
          <reference field="5" count="1">
            <x v="6"/>
          </reference>
        </references>
      </pivotArea>
    </format>
    <format dxfId="13342">
      <pivotArea dataOnly="0" labelOnly="1" outline="0" fieldPosition="0">
        <references count="3">
          <reference field="1" count="1" selected="0">
            <x v="6"/>
          </reference>
          <reference field="2" count="1" selected="0">
            <x v="5"/>
          </reference>
          <reference field="5" count="1">
            <x v="7"/>
          </reference>
        </references>
      </pivotArea>
    </format>
    <format dxfId="13341">
      <pivotArea dataOnly="0" labelOnly="1" outline="0" fieldPosition="0">
        <references count="3">
          <reference field="1" count="1" selected="0">
            <x v="7"/>
          </reference>
          <reference field="2" count="1" selected="0">
            <x v="4"/>
          </reference>
          <reference field="5" count="1">
            <x v="5"/>
          </reference>
        </references>
      </pivotArea>
    </format>
    <format dxfId="13340">
      <pivotArea dataOnly="0" labelOnly="1" outline="0" fieldPosition="0">
        <references count="3">
          <reference field="1" count="1" selected="0">
            <x v="7"/>
          </reference>
          <reference field="2" count="1" selected="0">
            <x v="5"/>
          </reference>
          <reference field="5" count="2">
            <x v="0"/>
            <x v="7"/>
          </reference>
        </references>
      </pivotArea>
    </format>
    <format dxfId="13339">
      <pivotArea dataOnly="0" labelOnly="1" outline="0" fieldPosition="0">
        <references count="3">
          <reference field="1" count="1" selected="0">
            <x v="8"/>
          </reference>
          <reference field="2" count="1" selected="0">
            <x v="3"/>
          </reference>
          <reference field="5" count="1">
            <x v="3"/>
          </reference>
        </references>
      </pivotArea>
    </format>
    <format dxfId="13338">
      <pivotArea dataOnly="0" labelOnly="1" outline="0" fieldPosition="0">
        <references count="3">
          <reference field="1" count="1" selected="0">
            <x v="9"/>
          </reference>
          <reference field="2" count="1" selected="0">
            <x v="5"/>
          </reference>
          <reference field="5" count="4">
            <x v="1"/>
            <x v="2"/>
            <x v="3"/>
            <x v="6"/>
          </reference>
        </references>
      </pivotArea>
    </format>
    <format dxfId="13337">
      <pivotArea dataOnly="0" labelOnly="1" outline="0" fieldPosition="0">
        <references count="3">
          <reference field="1" count="1" selected="0">
            <x v="10"/>
          </reference>
          <reference field="2" count="1" selected="0">
            <x v="10"/>
          </reference>
          <reference field="5" count="1">
            <x v="5"/>
          </reference>
        </references>
      </pivotArea>
    </format>
    <format dxfId="13336">
      <pivotArea dataOnly="0" labelOnly="1" outline="0" fieldPosition="0">
        <references count="3">
          <reference field="1" count="1" selected="0">
            <x v="12"/>
          </reference>
          <reference field="2" count="1" selected="0">
            <x v="5"/>
          </reference>
          <reference field="5" count="3">
            <x v="1"/>
            <x v="2"/>
            <x v="3"/>
          </reference>
        </references>
      </pivotArea>
    </format>
    <format dxfId="13335">
      <pivotArea dataOnly="0" labelOnly="1" outline="0" fieldPosition="0">
        <references count="3">
          <reference field="1" count="1" selected="0">
            <x v="13"/>
          </reference>
          <reference field="2" count="1" selected="0">
            <x v="10"/>
          </reference>
          <reference field="5" count="2">
            <x v="0"/>
            <x v="5"/>
          </reference>
        </references>
      </pivotArea>
    </format>
    <format dxfId="13334">
      <pivotArea dataOnly="0" labelOnly="1" outline="0" fieldPosition="0">
        <references count="3">
          <reference field="1" count="1" selected="0">
            <x v="15"/>
          </reference>
          <reference field="2" count="1" selected="0">
            <x v="5"/>
          </reference>
          <reference field="5" count="3">
            <x v="2"/>
            <x v="3"/>
            <x v="4"/>
          </reference>
        </references>
      </pivotArea>
    </format>
    <format dxfId="13333">
      <pivotArea dataOnly="0" labelOnly="1" outline="0" fieldPosition="0">
        <references count="3">
          <reference field="1" count="1" selected="0">
            <x v="16"/>
          </reference>
          <reference field="2" count="1" selected="0">
            <x v="5"/>
          </reference>
          <reference field="5" count="3">
            <x v="2"/>
            <x v="3"/>
            <x v="4"/>
          </reference>
        </references>
      </pivotArea>
    </format>
    <format dxfId="13332">
      <pivotArea dataOnly="0" labelOnly="1" outline="0" fieldPosition="0">
        <references count="3">
          <reference field="1" count="1" selected="0">
            <x v="17"/>
          </reference>
          <reference field="2" count="1" selected="0">
            <x v="4"/>
          </reference>
          <reference field="5" count="1">
            <x v="5"/>
          </reference>
        </references>
      </pivotArea>
    </format>
    <format dxfId="13331">
      <pivotArea dataOnly="0" labelOnly="1" outline="0" fieldPosition="0">
        <references count="3">
          <reference field="1" count="1" selected="0">
            <x v="17"/>
          </reference>
          <reference field="2" count="1" selected="0">
            <x v="5"/>
          </reference>
          <reference field="5" count="2">
            <x v="6"/>
            <x v="7"/>
          </reference>
        </references>
      </pivotArea>
    </format>
    <format dxfId="13330">
      <pivotArea dataOnly="0" labelOnly="1" outline="0" fieldPosition="0">
        <references count="3">
          <reference field="1" count="1" selected="0">
            <x v="18"/>
          </reference>
          <reference field="2" count="1" selected="0">
            <x v="3"/>
          </reference>
          <reference field="5" count="2">
            <x v="2"/>
            <x v="7"/>
          </reference>
        </references>
      </pivotArea>
    </format>
    <format dxfId="13329">
      <pivotArea dataOnly="0" labelOnly="1" outline="0" fieldPosition="0">
        <references count="3">
          <reference field="1" count="1" selected="0">
            <x v="19"/>
          </reference>
          <reference field="2" count="1" selected="0">
            <x v="3"/>
          </reference>
          <reference field="5" count="1">
            <x v="1"/>
          </reference>
        </references>
      </pivotArea>
    </format>
    <format dxfId="13328">
      <pivotArea dataOnly="0" labelOnly="1" outline="0" fieldPosition="0">
        <references count="3">
          <reference field="1" count="1" selected="0">
            <x v="19"/>
          </reference>
          <reference field="2" count="1" selected="0">
            <x v="6"/>
          </reference>
          <reference field="5" count="2">
            <x v="5"/>
            <x v="7"/>
          </reference>
        </references>
      </pivotArea>
    </format>
    <format dxfId="13327">
      <pivotArea dataOnly="0" labelOnly="1" outline="0" fieldPosition="0">
        <references count="3">
          <reference field="1" count="1" selected="0">
            <x v="19"/>
          </reference>
          <reference field="2" count="1" selected="0">
            <x v="10"/>
          </reference>
          <reference field="5" count="2">
            <x v="4"/>
            <x v="7"/>
          </reference>
        </references>
      </pivotArea>
    </format>
    <format dxfId="13326">
      <pivotArea dataOnly="0" labelOnly="1" outline="0" fieldPosition="0">
        <references count="3">
          <reference field="1" count="1" selected="0">
            <x v="21"/>
          </reference>
          <reference field="2" count="1" selected="0">
            <x v="5"/>
          </reference>
          <reference field="5" count="2">
            <x v="2"/>
            <x v="5"/>
          </reference>
        </references>
      </pivotArea>
    </format>
    <format dxfId="13325">
      <pivotArea dataOnly="0" labelOnly="1" outline="0" fieldPosition="0">
        <references count="3">
          <reference field="1" count="1" selected="0">
            <x v="21"/>
          </reference>
          <reference field="2" count="1" selected="0">
            <x v="6"/>
          </reference>
          <reference field="5" count="1">
            <x v="7"/>
          </reference>
        </references>
      </pivotArea>
    </format>
    <format dxfId="13324">
      <pivotArea dataOnly="0" labelOnly="1" outline="0" fieldPosition="0">
        <references count="3">
          <reference field="1" count="1" selected="0">
            <x v="25"/>
          </reference>
          <reference field="2" count="1" selected="0">
            <x v="10"/>
          </reference>
          <reference field="5" count="1">
            <x v="5"/>
          </reference>
        </references>
      </pivotArea>
    </format>
    <format dxfId="13323">
      <pivotArea dataOnly="0" labelOnly="1" outline="0" fieldPosition="0">
        <references count="3">
          <reference field="1" count="1" selected="0">
            <x v="27"/>
          </reference>
          <reference field="2" count="1" selected="0">
            <x v="10"/>
          </reference>
          <reference field="5" count="1">
            <x v="4"/>
          </reference>
        </references>
      </pivotArea>
    </format>
    <format dxfId="13322">
      <pivotArea dataOnly="0" labelOnly="1" outline="0" fieldPosition="0">
        <references count="3">
          <reference field="1" count="1" selected="0">
            <x v="29"/>
          </reference>
          <reference field="2" count="1" selected="0">
            <x v="2"/>
          </reference>
          <reference field="5" count="3">
            <x v="0"/>
            <x v="5"/>
            <x v="7"/>
          </reference>
        </references>
      </pivotArea>
    </format>
    <format dxfId="13321">
      <pivotArea dataOnly="0" labelOnly="1" outline="0" fieldPosition="0">
        <references count="3">
          <reference field="1" count="1" selected="0">
            <x v="30"/>
          </reference>
          <reference field="2" count="1" selected="0">
            <x v="0"/>
          </reference>
          <reference field="5" count="2">
            <x v="8"/>
            <x v="11"/>
          </reference>
        </references>
      </pivotArea>
    </format>
    <format dxfId="13320">
      <pivotArea dataOnly="0" labelOnly="1" outline="0" fieldPosition="0">
        <references count="3">
          <reference field="1" count="1" selected="0">
            <x v="30"/>
          </reference>
          <reference field="2" count="1" selected="0">
            <x v="14"/>
          </reference>
          <reference field="5" count="2">
            <x v="10"/>
            <x v="11"/>
          </reference>
        </references>
      </pivotArea>
    </format>
    <format dxfId="13319">
      <pivotArea dataOnly="0" labelOnly="1" outline="0" fieldPosition="0">
        <references count="3">
          <reference field="1" count="1" selected="0">
            <x v="31"/>
          </reference>
          <reference field="2" count="1" selected="0">
            <x v="0"/>
          </reference>
          <reference field="5" count="1">
            <x v="8"/>
          </reference>
        </references>
      </pivotArea>
    </format>
    <format dxfId="13318">
      <pivotArea dataOnly="0" labelOnly="1" outline="0" fieldPosition="0">
        <references count="3">
          <reference field="1" count="1" selected="0">
            <x v="32"/>
          </reference>
          <reference field="2" count="1" selected="0">
            <x v="0"/>
          </reference>
          <reference field="5" count="2">
            <x v="11"/>
            <x v="12"/>
          </reference>
        </references>
      </pivotArea>
    </format>
    <format dxfId="13317">
      <pivotArea dataOnly="0" labelOnly="1" outline="0" fieldPosition="0">
        <references count="3">
          <reference field="1" count="1" selected="0">
            <x v="32"/>
          </reference>
          <reference field="2" count="1" selected="0">
            <x v="14"/>
          </reference>
          <reference field="5" count="1">
            <x v="11"/>
          </reference>
        </references>
      </pivotArea>
    </format>
    <format dxfId="13316">
      <pivotArea dataOnly="0" labelOnly="1" outline="0" fieldPosition="0">
        <references count="3">
          <reference field="1" count="1" selected="0">
            <x v="33"/>
          </reference>
          <reference field="2" count="1" selected="0">
            <x v="1"/>
          </reference>
          <reference field="5" count="1">
            <x v="8"/>
          </reference>
        </references>
      </pivotArea>
    </format>
    <format dxfId="13315">
      <pivotArea dataOnly="0" labelOnly="1" outline="0" fieldPosition="0">
        <references count="3">
          <reference field="1" count="1" selected="0">
            <x v="35"/>
          </reference>
          <reference field="2" count="1" selected="0">
            <x v="10"/>
          </reference>
          <reference field="5" count="1">
            <x v="5"/>
          </reference>
        </references>
      </pivotArea>
    </format>
    <format dxfId="13314">
      <pivotArea dataOnly="0" labelOnly="1" outline="0" fieldPosition="0">
        <references count="3">
          <reference field="1" count="1" selected="0">
            <x v="35"/>
          </reference>
          <reference field="2" count="1" selected="0">
            <x v="13"/>
          </reference>
          <reference field="5" count="1">
            <x v="9"/>
          </reference>
        </references>
      </pivotArea>
    </format>
    <format dxfId="13313">
      <pivotArea dataOnly="0" labelOnly="1" outline="0" fieldPosition="0">
        <references count="3">
          <reference field="1" count="1" selected="0">
            <x v="36"/>
          </reference>
          <reference field="2" count="1" selected="0">
            <x v="0"/>
          </reference>
          <reference field="5" count="2">
            <x v="8"/>
            <x v="10"/>
          </reference>
        </references>
      </pivotArea>
    </format>
    <format dxfId="13312">
      <pivotArea dataOnly="0" labelOnly="1" outline="0" fieldPosition="0">
        <references count="3">
          <reference field="1" count="1" selected="0">
            <x v="37"/>
          </reference>
          <reference field="2" count="1" selected="0">
            <x v="10"/>
          </reference>
          <reference field="5" count="2">
            <x v="0"/>
            <x v="7"/>
          </reference>
        </references>
      </pivotArea>
    </format>
    <format dxfId="13311">
      <pivotArea dataOnly="0" labelOnly="1" outline="0" fieldPosition="0">
        <references count="3">
          <reference field="1" count="1" selected="0">
            <x v="38"/>
          </reference>
          <reference field="2" count="1" selected="0">
            <x v="3"/>
          </reference>
          <reference field="5" count="1">
            <x v="12"/>
          </reference>
        </references>
      </pivotArea>
    </format>
    <format dxfId="13310">
      <pivotArea dataOnly="0" labelOnly="1" outline="0" fieldPosition="0">
        <references count="3">
          <reference field="1" count="1" selected="0">
            <x v="38"/>
          </reference>
          <reference field="2" count="1" selected="0">
            <x v="5"/>
          </reference>
          <reference field="5" count="3">
            <x v="4"/>
            <x v="7"/>
            <x v="12"/>
          </reference>
        </references>
      </pivotArea>
    </format>
    <format dxfId="13309">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3308">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3307">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3306">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3305">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3304">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3303">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3302">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3301">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3300">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3299">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3298">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3297">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13296">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3295">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3294">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3293">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3292">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3291">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3290">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3289">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3288">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3287">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3286">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3285">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3284">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3283">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3282">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3281">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3280">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3279">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3278">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3277">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3276">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3275">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3274">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3273">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3272">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3271">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3270">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3269">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3268">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13267">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3266">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3265">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3264">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3263">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13262">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13261">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13260">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13259">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13258">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13257">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13256">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13255">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13254">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13253">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13252">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13251">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13250">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13249">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13248">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13247">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13246">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13245">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13244">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13243">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13242">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13241">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13240">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13239">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13238">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13237">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13236">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13235">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13234">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13233">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13232">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13231">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13230">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13229">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13228">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13227">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13226">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13225">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13224">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13223">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13222">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13221">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13220">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13219">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13218">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13217">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13216">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13215">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13214">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13213">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13212">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13211">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13210">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13209">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13208">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13207">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13206">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13205">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13204">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13203">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13202">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13201">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13200">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13199">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13198">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13197">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13196">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13195">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13194">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13193">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13192">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13191">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13190">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13189">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13188">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13187">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13186">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13185">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13184">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13183">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13182">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13181">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13180">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13179">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13178">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13177">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13176">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13175">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13174">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13173">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13172">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13171">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13170">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13169">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13168">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13167">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13166">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13165">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13164">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13163">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13162">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13161">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13160">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13159">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13158">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13157">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13156">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3155">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13154">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3153">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3152">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3151">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13150">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3149">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13148">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3147">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3146">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3145">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13144">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13143">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13142">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3141">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3140">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13139">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3138">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3137">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3136">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13135">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3134">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13133">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3132">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3131">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3130">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13129">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3128">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3127">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3126">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3125">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3124">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3123">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3122">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3121">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13120">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3119">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3118">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3117">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3116">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3115">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3114">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3113">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3112">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3111">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13110">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3109">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3108">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13107">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3106">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3105">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3104">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3103">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3102">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3101">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3100">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3099">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3098">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3097">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3096">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3095">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3094">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3093">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3092">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3091">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3090">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3089">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308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3087">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3086">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3085">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308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308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308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308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308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307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307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307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307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307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307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3073">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3072">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3071">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070">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3069">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306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306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306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306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306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306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3062">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3061">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13060">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13059">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3058">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3057">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305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305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305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305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305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305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3050">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1304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3048">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3047">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304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304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304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304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304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304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3040">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1303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303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303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303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303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303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3033">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13032">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303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3030">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3029">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3028">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3027">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3026">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3025">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3024">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3023">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3022">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3021">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302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3019">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3018">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3017">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3016">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301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3014">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301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301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301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3010">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3009">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3008">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3007">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3006">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3005">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3004">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3003">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3002">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300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3000">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299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2998">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2997">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2996">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2995">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2994">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2993">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2992">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299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299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298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2988">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2987">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2986">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2985">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298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298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298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298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298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297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2978">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297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2976">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2975">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2974">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97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972">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971">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97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96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968">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967">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966">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296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2964">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2963">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2962">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12961">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2960">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2959">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2958">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2957">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295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2955">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2954">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2953">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295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295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295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2949">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294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2947">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294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2945">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2944">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2943">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2942">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2941">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2940">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2939">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293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2937">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2936">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2935">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2934">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2933">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2932">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2931">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293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2929">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2928">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2927">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12926">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2925">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2924">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12923">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2922">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2921">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2920">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2919">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91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291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291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291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291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291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291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291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2910">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2909">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908">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2907">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2906">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2905">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2904">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2903">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2902">
      <pivotArea field="72" type="button" dataOnly="0" labelOnly="1" outline="0" axis="axisRow" fieldPosition="5"/>
    </format>
    <format dxfId="12901">
      <pivotArea field="72" type="button" dataOnly="0" labelOnly="1" outline="0" axis="axisRow" fieldPosition="5"/>
    </format>
    <format dxfId="12900">
      <pivotArea field="72" type="button" dataOnly="0" labelOnly="1" outline="0" axis="axisRow" fieldPosition="5"/>
    </format>
    <format dxfId="12899">
      <pivotArea field="72" type="button" dataOnly="0" labelOnly="1" outline="0" axis="axisRow" fieldPosition="5"/>
    </format>
    <format dxfId="12898">
      <pivotArea field="72" type="button" dataOnly="0" labelOnly="1" outline="0" axis="axisRow" fieldPosition="5"/>
    </format>
    <format dxfId="12897">
      <pivotArea field="72" type="button" dataOnly="0" labelOnly="1" outline="0" axis="axisRow" fieldPosition="5"/>
    </format>
    <format dxfId="12896">
      <pivotArea field="72" type="button" dataOnly="0" labelOnly="1" outline="0" axis="axisRow" fieldPosition="5"/>
    </format>
    <format dxfId="12895">
      <pivotArea field="72" type="button" dataOnly="0" labelOnly="1" outline="0" axis="axisRow" fieldPosition="5"/>
    </format>
    <format dxfId="12894">
      <pivotArea field="72" type="button" dataOnly="0" labelOnly="1" outline="0" axis="axisRow" fieldPosition="5"/>
    </format>
    <format dxfId="12893">
      <pivotArea dataOnly="0" labelOnly="1" grandRow="1" outline="0" fieldPosition="0"/>
    </format>
    <format dxfId="12892">
      <pivotArea field="72" type="button" dataOnly="0" labelOnly="1" outline="0" axis="axisRow" fieldPosition="5"/>
    </format>
    <format dxfId="12891">
      <pivotArea field="72" type="button" dataOnly="0" labelOnly="1" outline="0" axis="axisRow" fieldPosition="5"/>
    </format>
    <format dxfId="12890">
      <pivotArea field="13" type="button" dataOnly="0" labelOnly="1" outline="0" axis="axisRow" fieldPosition="6"/>
    </format>
    <format dxfId="12889">
      <pivotArea field="81" type="button" dataOnly="0" labelOnly="1" outline="0" axis="axisRow" fieldPosition="8"/>
    </format>
    <format dxfId="12888">
      <pivotArea field="82" type="button" dataOnly="0" labelOnly="1" outline="0" axis="axisRow" fieldPosition="9"/>
    </format>
    <format dxfId="12887">
      <pivotArea field="87" type="button" dataOnly="0" labelOnly="1" outline="0" axis="axisRow" fieldPosition="12"/>
    </format>
    <format dxfId="12886">
      <pivotArea field="88" type="button" dataOnly="0" labelOnly="1" outline="0" axis="axisRow" fieldPosition="13"/>
    </format>
    <format dxfId="12885">
      <pivotArea field="72" type="button" dataOnly="0" labelOnly="1" outline="0" axis="axisRow" fieldPosition="5"/>
    </format>
    <format dxfId="12884">
      <pivotArea field="13" type="button" dataOnly="0" labelOnly="1" outline="0" axis="axisRow" fieldPosition="6"/>
    </format>
    <format dxfId="12883">
      <pivotArea field="81" type="button" dataOnly="0" labelOnly="1" outline="0" axis="axisRow" fieldPosition="8"/>
    </format>
    <format dxfId="12882">
      <pivotArea field="82" type="button" dataOnly="0" labelOnly="1" outline="0" axis="axisRow" fieldPosition="9"/>
    </format>
    <format dxfId="12881">
      <pivotArea field="87" type="button" dataOnly="0" labelOnly="1" outline="0" axis="axisRow" fieldPosition="12"/>
    </format>
    <format dxfId="12880">
      <pivotArea field="88" type="button" dataOnly="0" labelOnly="1" outline="0" axis="axisRow" fieldPosition="13"/>
    </format>
    <format dxfId="12879">
      <pivotArea field="72" type="button" dataOnly="0" labelOnly="1" outline="0" axis="axisRow" fieldPosition="5"/>
    </format>
    <format dxfId="12878">
      <pivotArea field="13" type="button" dataOnly="0" labelOnly="1" outline="0" axis="axisRow" fieldPosition="6"/>
    </format>
    <format dxfId="12877">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12876">
      <pivotArea field="81" type="button" dataOnly="0" labelOnly="1" outline="0" axis="axisRow" fieldPosition="8"/>
    </format>
    <format dxfId="12875">
      <pivotArea field="82" type="button" dataOnly="0" labelOnly="1" outline="0" axis="axisRow" fieldPosition="9"/>
    </format>
    <format dxfId="12874">
      <pivotArea field="87" type="button" dataOnly="0" labelOnly="1" outline="0" axis="axisRow" fieldPosition="12"/>
    </format>
    <format dxfId="12873">
      <pivotArea field="88" type="button" dataOnly="0" labelOnly="1" outline="0" axis="axisRow" fieldPosition="13"/>
    </format>
    <format dxfId="12872">
      <pivotArea field="72" type="button" dataOnly="0" labelOnly="1" outline="0" axis="axisRow" fieldPosition="5"/>
    </format>
    <format dxfId="12871">
      <pivotArea field="13" type="button" dataOnly="0" labelOnly="1" outline="0" axis="axisRow" fieldPosition="6"/>
    </format>
    <format dxfId="12870">
      <pivotArea field="81" type="button" dataOnly="0" labelOnly="1" outline="0" axis="axisRow" fieldPosition="8"/>
    </format>
    <format dxfId="12869">
      <pivotArea field="82" type="button" dataOnly="0" labelOnly="1" outline="0" axis="axisRow" fieldPosition="9"/>
    </format>
    <format dxfId="12868">
      <pivotArea field="87" type="button" dataOnly="0" labelOnly="1" outline="0" axis="axisRow" fieldPosition="12"/>
    </format>
    <format dxfId="12867">
      <pivotArea field="88" type="button" dataOnly="0" labelOnly="1" outline="0" axis="axisRow" fieldPosition="13"/>
    </format>
    <format dxfId="12866">
      <pivotArea field="72" type="button" dataOnly="0" labelOnly="1" outline="0" axis="axisRow" fieldPosition="5"/>
    </format>
    <format dxfId="12865">
      <pivotArea field="13" type="button" dataOnly="0" labelOnly="1" outline="0" axis="axisRow" fieldPosition="6"/>
    </format>
    <format dxfId="12864">
      <pivotArea field="81" type="button" dataOnly="0" labelOnly="1" outline="0" axis="axisRow" fieldPosition="8"/>
    </format>
    <format dxfId="12863">
      <pivotArea field="82" type="button" dataOnly="0" labelOnly="1" outline="0" axis="axisRow" fieldPosition="9"/>
    </format>
    <format dxfId="12862">
      <pivotArea field="87" type="button" dataOnly="0" labelOnly="1" outline="0" axis="axisRow" fieldPosition="12"/>
    </format>
    <format dxfId="12861">
      <pivotArea field="88" type="button" dataOnly="0" labelOnly="1" outline="0" axis="axisRow" fieldPosition="13"/>
    </format>
    <format dxfId="12860">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859">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858">
      <pivotArea field="72" type="button" dataOnly="0" labelOnly="1" outline="0" axis="axisRow" fieldPosition="5"/>
    </format>
    <format dxfId="12857">
      <pivotArea field="13" type="button" dataOnly="0" labelOnly="1" outline="0" axis="axisRow" fieldPosition="6"/>
    </format>
    <format dxfId="12856">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2855">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2854">
      <pivotArea field="81" type="button" dataOnly="0" labelOnly="1" outline="0" axis="axisRow" fieldPosition="8"/>
    </format>
    <format dxfId="12853">
      <pivotArea field="82" type="button" dataOnly="0" labelOnly="1" outline="0" axis="axisRow" fieldPosition="9"/>
    </format>
    <format dxfId="12852">
      <pivotArea field="87" type="button" dataOnly="0" labelOnly="1" outline="0" axis="axisRow" fieldPosition="12"/>
    </format>
    <format dxfId="12851">
      <pivotArea field="88" type="button" dataOnly="0" labelOnly="1" outline="0" axis="axisRow" fieldPosition="13"/>
    </format>
    <format dxfId="12850">
      <pivotArea field="72" type="button" dataOnly="0" labelOnly="1" outline="0" axis="axisRow" fieldPosition="5"/>
    </format>
    <format dxfId="12849">
      <pivotArea field="13" type="button" dataOnly="0" labelOnly="1" outline="0" axis="axisRow" fieldPosition="6"/>
    </format>
    <format dxfId="12848">
      <pivotArea field="81" type="button" dataOnly="0" labelOnly="1" outline="0" axis="axisRow" fieldPosition="8"/>
    </format>
    <format dxfId="12847">
      <pivotArea field="82" type="button" dataOnly="0" labelOnly="1" outline="0" axis="axisRow" fieldPosition="9"/>
    </format>
    <format dxfId="12846">
      <pivotArea field="87" type="button" dataOnly="0" labelOnly="1" outline="0" axis="axisRow" fieldPosition="12"/>
    </format>
    <format dxfId="12845">
      <pivotArea field="88" type="button" dataOnly="0" labelOnly="1" outline="0" axis="axisRow" fieldPosition="13"/>
    </format>
    <format dxfId="12844">
      <pivotArea field="72" type="button" dataOnly="0" labelOnly="1" outline="0" axis="axisRow" fieldPosition="5"/>
    </format>
    <format dxfId="12843">
      <pivotArea field="13" type="button" dataOnly="0" labelOnly="1" outline="0" axis="axisRow" fieldPosition="6"/>
    </format>
    <format dxfId="12842">
      <pivotArea field="81" type="button" dataOnly="0" labelOnly="1" outline="0" axis="axisRow" fieldPosition="8"/>
    </format>
    <format dxfId="12841">
      <pivotArea field="82" type="button" dataOnly="0" labelOnly="1" outline="0" axis="axisRow" fieldPosition="9"/>
    </format>
    <format dxfId="12840">
      <pivotArea field="87" type="button" dataOnly="0" labelOnly="1" outline="0" axis="axisRow" fieldPosition="12"/>
    </format>
    <format dxfId="12839">
      <pivotArea field="88" type="button" dataOnly="0" labelOnly="1" outline="0" axis="axisRow" fieldPosition="13"/>
    </format>
    <format dxfId="1283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2837">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2836">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283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283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283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283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2831">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830">
      <pivotArea field="72" type="button" dataOnly="0" labelOnly="1" outline="0" axis="axisRow" fieldPosition="5"/>
    </format>
    <format dxfId="12829">
      <pivotArea field="13" type="button" dataOnly="0" labelOnly="1" outline="0" axis="axisRow" fieldPosition="6"/>
    </format>
    <format dxfId="12828">
      <pivotArea field="81" type="button" dataOnly="0" labelOnly="1" outline="0" axis="axisRow" fieldPosition="8"/>
    </format>
    <format dxfId="12827">
      <pivotArea field="82" type="button" dataOnly="0" labelOnly="1" outline="0" axis="axisRow" fieldPosition="9"/>
    </format>
    <format dxfId="12826">
      <pivotArea field="87" type="button" dataOnly="0" labelOnly="1" outline="0" axis="axisRow" fieldPosition="12"/>
    </format>
    <format dxfId="12825">
      <pivotArea field="88" type="button" dataOnly="0" labelOnly="1" outline="0" axis="axisRow" fieldPosition="13"/>
    </format>
    <format dxfId="12824">
      <pivotArea field="72" type="button" dataOnly="0" labelOnly="1" outline="0" axis="axisRow" fieldPosition="5"/>
    </format>
    <format dxfId="12823">
      <pivotArea field="13" type="button" dataOnly="0" labelOnly="1" outline="0" axis="axisRow" fieldPosition="6"/>
    </format>
    <format dxfId="12822">
      <pivotArea field="81" type="button" dataOnly="0" labelOnly="1" outline="0" axis="axisRow" fieldPosition="8"/>
    </format>
    <format dxfId="12821">
      <pivotArea field="82" type="button" dataOnly="0" labelOnly="1" outline="0" axis="axisRow" fieldPosition="9"/>
    </format>
    <format dxfId="12820">
      <pivotArea field="87" type="button" dataOnly="0" labelOnly="1" outline="0" axis="axisRow" fieldPosition="12"/>
    </format>
    <format dxfId="12819">
      <pivotArea field="88" type="button" dataOnly="0" labelOnly="1" outline="0" axis="axisRow" fieldPosition="13"/>
    </format>
    <format dxfId="12818">
      <pivotArea field="72" type="button" dataOnly="0" labelOnly="1" outline="0" axis="axisRow" fieldPosition="5"/>
    </format>
    <format dxfId="12817">
      <pivotArea field="13" type="button" dataOnly="0" labelOnly="1" outline="0" axis="axisRow" fieldPosition="6"/>
    </format>
    <format dxfId="12816">
      <pivotArea field="81" type="button" dataOnly="0" labelOnly="1" outline="0" axis="axisRow" fieldPosition="8"/>
    </format>
    <format dxfId="12815">
      <pivotArea field="82" type="button" dataOnly="0" labelOnly="1" outline="0" axis="axisRow" fieldPosition="9"/>
    </format>
    <format dxfId="12814">
      <pivotArea field="87" type="button" dataOnly="0" labelOnly="1" outline="0" axis="axisRow" fieldPosition="12"/>
    </format>
    <format dxfId="12813">
      <pivotArea field="88" type="button" dataOnly="0" labelOnly="1" outline="0" axis="axisRow" fieldPosition="13"/>
    </format>
    <format dxfId="12812">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811">
      <pivotArea field="72" type="button" dataOnly="0" labelOnly="1" outline="0" axis="axisRow" fieldPosition="5"/>
    </format>
    <format dxfId="12810">
      <pivotArea field="13" type="button" dataOnly="0" labelOnly="1" outline="0" axis="axisRow" fieldPosition="6"/>
    </format>
    <format dxfId="12809">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12808">
      <pivotArea field="81" type="button" dataOnly="0" labelOnly="1" outline="0" axis="axisRow" fieldPosition="8"/>
    </format>
    <format dxfId="12807">
      <pivotArea field="82" type="button" dataOnly="0" labelOnly="1" outline="0" axis="axisRow" fieldPosition="9"/>
    </format>
    <format dxfId="12806">
      <pivotArea field="87" type="button" dataOnly="0" labelOnly="1" outline="0" axis="axisRow" fieldPosition="12"/>
    </format>
    <format dxfId="12805">
      <pivotArea field="88" type="button" dataOnly="0" labelOnly="1" outline="0" axis="axisRow" fieldPosition="13"/>
    </format>
    <format dxfId="12804">
      <pivotArea field="72" type="button" dataOnly="0" labelOnly="1" outline="0" axis="axisRow" fieldPosition="5"/>
    </format>
    <format dxfId="12803">
      <pivotArea field="13" type="button" dataOnly="0" labelOnly="1" outline="0" axis="axisRow" fieldPosition="6"/>
    </format>
    <format dxfId="12802">
      <pivotArea field="81" type="button" dataOnly="0" labelOnly="1" outline="0" axis="axisRow" fieldPosition="8"/>
    </format>
    <format dxfId="12801">
      <pivotArea field="82" type="button" dataOnly="0" labelOnly="1" outline="0" axis="axisRow" fieldPosition="9"/>
    </format>
    <format dxfId="12800">
      <pivotArea field="87" type="button" dataOnly="0" labelOnly="1" outline="0" axis="axisRow" fieldPosition="12"/>
    </format>
    <format dxfId="12799">
      <pivotArea field="88" type="button" dataOnly="0" labelOnly="1" outline="0" axis="axisRow" fieldPosition="13"/>
    </format>
    <format dxfId="12798">
      <pivotArea field="72" type="button" dataOnly="0" labelOnly="1" outline="0" axis="axisRow" fieldPosition="5"/>
    </format>
    <format dxfId="12797">
      <pivotArea field="13" type="button" dataOnly="0" labelOnly="1" outline="0" axis="axisRow" fieldPosition="6"/>
    </format>
    <format dxfId="12796">
      <pivotArea field="81" type="button" dataOnly="0" labelOnly="1" outline="0" axis="axisRow" fieldPosition="8"/>
    </format>
    <format dxfId="12795">
      <pivotArea field="82" type="button" dataOnly="0" labelOnly="1" outline="0" axis="axisRow" fieldPosition="9"/>
    </format>
    <format dxfId="12794">
      <pivotArea field="87" type="button" dataOnly="0" labelOnly="1" outline="0" axis="axisRow" fieldPosition="12"/>
    </format>
    <format dxfId="12793">
      <pivotArea field="88" type="button" dataOnly="0" labelOnly="1" outline="0" axis="axisRow" fieldPosition="13"/>
    </format>
    <format dxfId="12792">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2791">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2790">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2789">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2788">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2787">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2786">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2785">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2784">
      <pivotArea field="72" type="button" dataOnly="0" labelOnly="1" outline="0" axis="axisRow" fieldPosition="5"/>
    </format>
    <format dxfId="12783">
      <pivotArea field="13" type="button" dataOnly="0" labelOnly="1" outline="0" axis="axisRow" fieldPosition="6"/>
    </format>
    <format dxfId="12782">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12781">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12780">
      <pivotArea field="81" type="button" dataOnly="0" labelOnly="1" outline="0" axis="axisRow" fieldPosition="8"/>
    </format>
    <format dxfId="12779">
      <pivotArea field="82" type="button" dataOnly="0" labelOnly="1" outline="0" axis="axisRow" fieldPosition="9"/>
    </format>
    <format dxfId="12778">
      <pivotArea field="87" type="button" dataOnly="0" labelOnly="1" outline="0" axis="axisRow" fieldPosition="12"/>
    </format>
    <format dxfId="12777">
      <pivotArea field="88" type="button" dataOnly="0" labelOnly="1" outline="0" axis="axisRow" fieldPosition="13"/>
    </format>
    <format dxfId="12776">
      <pivotArea field="72" type="button" dataOnly="0" labelOnly="1" outline="0" axis="axisRow" fieldPosition="5"/>
    </format>
    <format dxfId="12775">
      <pivotArea field="13" type="button" dataOnly="0" labelOnly="1" outline="0" axis="axisRow" fieldPosition="6"/>
    </format>
    <format dxfId="12774">
      <pivotArea field="81" type="button" dataOnly="0" labelOnly="1" outline="0" axis="axisRow" fieldPosition="8"/>
    </format>
    <format dxfId="12773">
      <pivotArea field="82" type="button" dataOnly="0" labelOnly="1" outline="0" axis="axisRow" fieldPosition="9"/>
    </format>
    <format dxfId="12772">
      <pivotArea field="87" type="button" dataOnly="0" labelOnly="1" outline="0" axis="axisRow" fieldPosition="12"/>
    </format>
    <format dxfId="12771">
      <pivotArea field="88" type="button" dataOnly="0" labelOnly="1" outline="0" axis="axisRow" fieldPosition="13"/>
    </format>
    <format dxfId="12770">
      <pivotArea field="72" type="button" dataOnly="0" labelOnly="1" outline="0" axis="axisRow" fieldPosition="5"/>
    </format>
    <format dxfId="12769">
      <pivotArea field="13" type="button" dataOnly="0" labelOnly="1" outline="0" axis="axisRow" fieldPosition="6"/>
    </format>
    <format dxfId="12768">
      <pivotArea field="81" type="button" dataOnly="0" labelOnly="1" outline="0" axis="axisRow" fieldPosition="8"/>
    </format>
    <format dxfId="12767">
      <pivotArea field="82" type="button" dataOnly="0" labelOnly="1" outline="0" axis="axisRow" fieldPosition="9"/>
    </format>
    <format dxfId="12766">
      <pivotArea field="87" type="button" dataOnly="0" labelOnly="1" outline="0" axis="axisRow" fieldPosition="12"/>
    </format>
    <format dxfId="12765">
      <pivotArea field="88" type="button" dataOnly="0" labelOnly="1" outline="0" axis="axisRow" fieldPosition="13"/>
    </format>
    <format dxfId="12764">
      <pivotArea field="72" type="button" dataOnly="0" labelOnly="1" outline="0" axis="axisRow" fieldPosition="5"/>
    </format>
    <format dxfId="12763">
      <pivotArea field="13" type="button" dataOnly="0" labelOnly="1" outline="0" axis="axisRow" fieldPosition="6"/>
    </format>
    <format dxfId="12762">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12761">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12760">
      <pivotArea field="81" type="button" dataOnly="0" labelOnly="1" outline="0" axis="axisRow" fieldPosition="8"/>
    </format>
    <format dxfId="12759">
      <pivotArea field="82" type="button" dataOnly="0" labelOnly="1" outline="0" axis="axisRow" fieldPosition="9"/>
    </format>
    <format dxfId="12758">
      <pivotArea field="87" type="button" dataOnly="0" labelOnly="1" outline="0" axis="axisRow" fieldPosition="12"/>
    </format>
    <format dxfId="12757">
      <pivotArea field="88" type="button" dataOnly="0" labelOnly="1" outline="0" axis="axisRow" fieldPosition="13"/>
    </format>
    <format dxfId="12756">
      <pivotArea field="72" type="button" dataOnly="0" labelOnly="1" outline="0" axis="axisRow" fieldPosition="5"/>
    </format>
    <format dxfId="12755">
      <pivotArea field="13" type="button" dataOnly="0" labelOnly="1" outline="0" axis="axisRow" fieldPosition="6"/>
    </format>
    <format dxfId="12754">
      <pivotArea field="81" type="button" dataOnly="0" labelOnly="1" outline="0" axis="axisRow" fieldPosition="8"/>
    </format>
    <format dxfId="12753">
      <pivotArea field="82" type="button" dataOnly="0" labelOnly="1" outline="0" axis="axisRow" fieldPosition="9"/>
    </format>
    <format dxfId="12752">
      <pivotArea field="87" type="button" dataOnly="0" labelOnly="1" outline="0" axis="axisRow" fieldPosition="12"/>
    </format>
    <format dxfId="12751">
      <pivotArea field="88" type="button" dataOnly="0" labelOnly="1" outline="0" axis="axisRow" fieldPosition="13"/>
    </format>
    <format dxfId="12750">
      <pivotArea field="72" type="button" dataOnly="0" labelOnly="1" outline="0" axis="axisRow" fieldPosition="5"/>
    </format>
    <format dxfId="12749">
      <pivotArea field="13" type="button" dataOnly="0" labelOnly="1" outline="0" axis="axisRow" fieldPosition="6"/>
    </format>
    <format dxfId="12748">
      <pivotArea field="81" type="button" dataOnly="0" labelOnly="1" outline="0" axis="axisRow" fieldPosition="8"/>
    </format>
    <format dxfId="12747">
      <pivotArea field="82" type="button" dataOnly="0" labelOnly="1" outline="0" axis="axisRow" fieldPosition="9"/>
    </format>
    <format dxfId="12746">
      <pivotArea field="87" type="button" dataOnly="0" labelOnly="1" outline="0" axis="axisRow" fieldPosition="12"/>
    </format>
    <format dxfId="12745">
      <pivotArea field="88" type="button" dataOnly="0" labelOnly="1" outline="0" axis="axisRow" fieldPosition="13"/>
    </format>
    <format dxfId="12744">
      <pivotArea field="72" type="button" dataOnly="0" labelOnly="1" outline="0" axis="axisRow" fieldPosition="5"/>
    </format>
    <format dxfId="12743">
      <pivotArea field="13" type="button" dataOnly="0" labelOnly="1" outline="0" axis="axisRow" fieldPosition="6"/>
    </format>
    <format dxfId="12742">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12741">
      <pivotArea field="81" type="button" dataOnly="0" labelOnly="1" outline="0" axis="axisRow" fieldPosition="8"/>
    </format>
    <format dxfId="12740">
      <pivotArea field="82" type="button" dataOnly="0" labelOnly="1" outline="0" axis="axisRow" fieldPosition="9"/>
    </format>
    <format dxfId="12739">
      <pivotArea field="87" type="button" dataOnly="0" labelOnly="1" outline="0" axis="axisRow" fieldPosition="12"/>
    </format>
    <format dxfId="12738">
      <pivotArea field="88" type="button" dataOnly="0" labelOnly="1" outline="0" axis="axisRow" fieldPosition="13"/>
    </format>
    <format dxfId="12737">
      <pivotArea field="72" type="button" dataOnly="0" labelOnly="1" outline="0" axis="axisRow" fieldPosition="5"/>
    </format>
    <format dxfId="12736">
      <pivotArea field="13" type="button" dataOnly="0" labelOnly="1" outline="0" axis="axisRow" fieldPosition="6"/>
    </format>
    <format dxfId="12735">
      <pivotArea field="81" type="button" dataOnly="0" labelOnly="1" outline="0" axis="axisRow" fieldPosition="8"/>
    </format>
    <format dxfId="12734">
      <pivotArea field="82" type="button" dataOnly="0" labelOnly="1" outline="0" axis="axisRow" fieldPosition="9"/>
    </format>
    <format dxfId="12733">
      <pivotArea field="87" type="button" dataOnly="0" labelOnly="1" outline="0" axis="axisRow" fieldPosition="12"/>
    </format>
    <format dxfId="12732">
      <pivotArea field="88" type="button" dataOnly="0" labelOnly="1" outline="0" axis="axisRow" fieldPosition="13"/>
    </format>
    <format dxfId="12731">
      <pivotArea field="72" type="button" dataOnly="0" labelOnly="1" outline="0" axis="axisRow" fieldPosition="5"/>
    </format>
    <format dxfId="12730">
      <pivotArea field="13" type="button" dataOnly="0" labelOnly="1" outline="0" axis="axisRow" fieldPosition="6"/>
    </format>
    <format dxfId="12729">
      <pivotArea field="81" type="button" dataOnly="0" labelOnly="1" outline="0" axis="axisRow" fieldPosition="8"/>
    </format>
    <format dxfId="12728">
      <pivotArea field="82" type="button" dataOnly="0" labelOnly="1" outline="0" axis="axisRow" fieldPosition="9"/>
    </format>
    <format dxfId="12727">
      <pivotArea field="87" type="button" dataOnly="0" labelOnly="1" outline="0" axis="axisRow" fieldPosition="12"/>
    </format>
    <format dxfId="12726">
      <pivotArea field="88" type="button" dataOnly="0" labelOnly="1" outline="0" axis="axisRow" fieldPosition="13"/>
    </format>
    <format dxfId="12725">
      <pivotArea field="72" type="button" dataOnly="0" labelOnly="1" outline="0" axis="axisRow" fieldPosition="5"/>
    </format>
    <format dxfId="12724">
      <pivotArea field="13" type="button" dataOnly="0" labelOnly="1" outline="0" axis="axisRow" fieldPosition="6"/>
    </format>
    <format dxfId="12723">
      <pivotArea field="81" type="button" dataOnly="0" labelOnly="1" outline="0" axis="axisRow" fieldPosition="8"/>
    </format>
    <format dxfId="12722">
      <pivotArea field="82" type="button" dataOnly="0" labelOnly="1" outline="0" axis="axisRow" fieldPosition="9"/>
    </format>
    <format dxfId="12721">
      <pivotArea field="87" type="button" dataOnly="0" labelOnly="1" outline="0" axis="axisRow" fieldPosition="12"/>
    </format>
    <format dxfId="12720">
      <pivotArea field="88" type="button" dataOnly="0" labelOnly="1" outline="0" axis="axisRow" fieldPosition="13"/>
    </format>
    <format dxfId="12719">
      <pivotArea field="72" type="button" dataOnly="0" labelOnly="1" outline="0" axis="axisRow" fieldPosition="5"/>
    </format>
    <format dxfId="12718">
      <pivotArea field="13" type="button" dataOnly="0" labelOnly="1" outline="0" axis="axisRow" fieldPosition="6"/>
    </format>
    <format dxfId="12717">
      <pivotArea field="81" type="button" dataOnly="0" labelOnly="1" outline="0" axis="axisRow" fieldPosition="8"/>
    </format>
    <format dxfId="12716">
      <pivotArea field="82" type="button" dataOnly="0" labelOnly="1" outline="0" axis="axisRow" fieldPosition="9"/>
    </format>
    <format dxfId="12715">
      <pivotArea field="87" type="button" dataOnly="0" labelOnly="1" outline="0" axis="axisRow" fieldPosition="12"/>
    </format>
    <format dxfId="12714">
      <pivotArea field="88" type="button" dataOnly="0" labelOnly="1" outline="0" axis="axisRow" fieldPosition="13"/>
    </format>
    <format dxfId="12713">
      <pivotArea field="72" type="button" dataOnly="0" labelOnly="1" outline="0" axis="axisRow" fieldPosition="5"/>
    </format>
    <format dxfId="12712">
      <pivotArea field="13" type="button" dataOnly="0" labelOnly="1" outline="0" axis="axisRow" fieldPosition="6"/>
    </format>
    <format dxfId="12711">
      <pivotArea field="81" type="button" dataOnly="0" labelOnly="1" outline="0" axis="axisRow" fieldPosition="8"/>
    </format>
    <format dxfId="12710">
      <pivotArea field="82" type="button" dataOnly="0" labelOnly="1" outline="0" axis="axisRow" fieldPosition="9"/>
    </format>
    <format dxfId="12709">
      <pivotArea field="87" type="button" dataOnly="0" labelOnly="1" outline="0" axis="axisRow" fieldPosition="12"/>
    </format>
    <format dxfId="12708">
      <pivotArea field="88" type="button" dataOnly="0" labelOnly="1" outline="0" axis="axisRow" fieldPosition="13"/>
    </format>
    <format dxfId="12707">
      <pivotArea dataOnly="0" labelOnly="1" outline="0" fieldPosition="0">
        <references count="4">
          <reference field="1" count="0" selected="0"/>
          <reference field="2" count="0" selected="0"/>
          <reference field="5" count="1" selected="0">
            <x v="1"/>
          </reference>
          <reference field="23" count="2">
            <x v="1"/>
            <x v="2"/>
          </reference>
        </references>
      </pivotArea>
    </format>
    <format dxfId="12706">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2705">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12704">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2703">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2702">
      <pivotArea field="72" type="button" dataOnly="0" labelOnly="1" outline="0" axis="axisRow" fieldPosition="5"/>
    </format>
    <format dxfId="12701">
      <pivotArea field="13" type="button" dataOnly="0" labelOnly="1" outline="0" axis="axisRow" fieldPosition="6"/>
    </format>
    <format dxfId="12700">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12699">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12698">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12697">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12696">
      <pivotArea field="81" type="button" dataOnly="0" labelOnly="1" outline="0" axis="axisRow" fieldPosition="8"/>
    </format>
    <format dxfId="12695">
      <pivotArea field="82" type="button" dataOnly="0" labelOnly="1" outline="0" axis="axisRow" fieldPosition="9"/>
    </format>
    <format dxfId="12694">
      <pivotArea field="87" type="button" dataOnly="0" labelOnly="1" outline="0" axis="axisRow" fieldPosition="12"/>
    </format>
    <format dxfId="12693">
      <pivotArea field="88" type="button" dataOnly="0" labelOnly="1" outline="0" axis="axisRow" fieldPosition="13"/>
    </format>
    <format dxfId="12692">
      <pivotArea field="72" type="button" dataOnly="0" labelOnly="1" outline="0" axis="axisRow" fieldPosition="5"/>
    </format>
    <format dxfId="12691">
      <pivotArea field="13" type="button" dataOnly="0" labelOnly="1" outline="0" axis="axisRow" fieldPosition="6"/>
    </format>
    <format dxfId="12690">
      <pivotArea field="81" type="button" dataOnly="0" labelOnly="1" outline="0" axis="axisRow" fieldPosition="8"/>
    </format>
    <format dxfId="12689">
      <pivotArea field="82" type="button" dataOnly="0" labelOnly="1" outline="0" axis="axisRow" fieldPosition="9"/>
    </format>
    <format dxfId="12688">
      <pivotArea field="87" type="button" dataOnly="0" labelOnly="1" outline="0" axis="axisRow" fieldPosition="12"/>
    </format>
    <format dxfId="12687">
      <pivotArea field="88" type="button" dataOnly="0" labelOnly="1" outline="0" axis="axisRow" fieldPosition="13"/>
    </format>
    <format dxfId="12686">
      <pivotArea field="72" type="button" dataOnly="0" labelOnly="1" outline="0" axis="axisRow" fieldPosition="5"/>
    </format>
    <format dxfId="12685">
      <pivotArea field="13" type="button" dataOnly="0" labelOnly="1" outline="0" axis="axisRow" fieldPosition="6"/>
    </format>
    <format dxfId="12684">
      <pivotArea field="81" type="button" dataOnly="0" labelOnly="1" outline="0" axis="axisRow" fieldPosition="8"/>
    </format>
    <format dxfId="12683">
      <pivotArea field="82" type="button" dataOnly="0" labelOnly="1" outline="0" axis="axisRow" fieldPosition="9"/>
    </format>
    <format dxfId="12682">
      <pivotArea field="87" type="button" dataOnly="0" labelOnly="1" outline="0" axis="axisRow" fieldPosition="12"/>
    </format>
    <format dxfId="12681">
      <pivotArea field="88" type="button" dataOnly="0" labelOnly="1" outline="0" axis="axisRow" fieldPosition="13"/>
    </format>
    <format dxfId="12680">
      <pivotArea dataOnly="0" labelOnly="1" outline="0" fieldPosition="0">
        <references count="3">
          <reference field="1" count="0" selected="0"/>
          <reference field="2" count="0" selected="0"/>
          <reference field="5" count="0"/>
        </references>
      </pivotArea>
    </format>
    <format dxfId="12679">
      <pivotArea dataOnly="0" labelOnly="1" outline="0" fieldPosition="0">
        <references count="4">
          <reference field="1" count="0" selected="0"/>
          <reference field="2" count="0" selected="0"/>
          <reference field="5" count="1" selected="0">
            <x v="3"/>
          </reference>
          <reference field="23" count="1">
            <x v="2"/>
          </reference>
        </references>
      </pivotArea>
    </format>
    <format dxfId="12678">
      <pivotArea dataOnly="0" labelOnly="1" outline="0" fieldPosition="0">
        <references count="4">
          <reference field="1" count="0" selected="0"/>
          <reference field="2" count="0" selected="0"/>
          <reference field="5" count="1" selected="0">
            <x v="6"/>
          </reference>
          <reference field="23" count="2">
            <x v="1"/>
            <x v="2"/>
          </reference>
        </references>
      </pivotArea>
    </format>
    <format dxfId="12677">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12676">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2675">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2674">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2673">
      <pivotArea field="72" type="button" dataOnly="0" labelOnly="1" outline="0" axis="axisRow" fieldPosition="5"/>
    </format>
    <format dxfId="12672">
      <pivotArea field="13" type="button" dataOnly="0" labelOnly="1" outline="0" axis="axisRow" fieldPosition="6"/>
    </format>
    <format dxfId="12671">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12670">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12669">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12668">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12667">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12666">
      <pivotArea field="81" type="button" dataOnly="0" labelOnly="1" outline="0" axis="axisRow" fieldPosition="8"/>
    </format>
    <format dxfId="12665">
      <pivotArea field="82" type="button" dataOnly="0" labelOnly="1" outline="0" axis="axisRow" fieldPosition="9"/>
    </format>
    <format dxfId="12664">
      <pivotArea field="87" type="button" dataOnly="0" labelOnly="1" outline="0" axis="axisRow" fieldPosition="12"/>
    </format>
    <format dxfId="12663">
      <pivotArea field="88" type="button" dataOnly="0" labelOnly="1" outline="0" axis="axisRow" fieldPosition="13"/>
    </format>
    <format dxfId="12662">
      <pivotArea field="72" type="button" dataOnly="0" labelOnly="1" outline="0" axis="axisRow" fieldPosition="5"/>
    </format>
    <format dxfId="12661">
      <pivotArea field="13" type="button" dataOnly="0" labelOnly="1" outline="0" axis="axisRow" fieldPosition="6"/>
    </format>
    <format dxfId="12660">
      <pivotArea field="81" type="button" dataOnly="0" labelOnly="1" outline="0" axis="axisRow" fieldPosition="8"/>
    </format>
    <format dxfId="12659">
      <pivotArea field="82" type="button" dataOnly="0" labelOnly="1" outline="0" axis="axisRow" fieldPosition="9"/>
    </format>
    <format dxfId="12658">
      <pivotArea field="87" type="button" dataOnly="0" labelOnly="1" outline="0" axis="axisRow" fieldPosition="12"/>
    </format>
    <format dxfId="12657">
      <pivotArea field="88" type="button" dataOnly="0" labelOnly="1" outline="0" axis="axisRow" fieldPosition="13"/>
    </format>
    <format dxfId="12656">
      <pivotArea field="72" type="button" dataOnly="0" labelOnly="1" outline="0" axis="axisRow" fieldPosition="5"/>
    </format>
    <format dxfId="12655">
      <pivotArea field="13" type="button" dataOnly="0" labelOnly="1" outline="0" axis="axisRow" fieldPosition="6"/>
    </format>
    <format dxfId="12654">
      <pivotArea field="81" type="button" dataOnly="0" labelOnly="1" outline="0" axis="axisRow" fieldPosition="8"/>
    </format>
    <format dxfId="12653">
      <pivotArea field="82" type="button" dataOnly="0" labelOnly="1" outline="0" axis="axisRow" fieldPosition="9"/>
    </format>
    <format dxfId="12652">
      <pivotArea field="87" type="button" dataOnly="0" labelOnly="1" outline="0" axis="axisRow" fieldPosition="12"/>
    </format>
    <format dxfId="12651">
      <pivotArea field="88" type="button" dataOnly="0" labelOnly="1" outline="0" axis="axisRow" fieldPosition="13"/>
    </format>
    <format dxfId="12650">
      <pivotArea field="72" type="button" dataOnly="0" labelOnly="1" outline="0" axis="axisRow" fieldPosition="5"/>
    </format>
    <format dxfId="12649">
      <pivotArea field="13" type="button" dataOnly="0" labelOnly="1" outline="0" axis="axisRow" fieldPosition="6"/>
    </format>
    <format dxfId="12648">
      <pivotArea field="81" type="button" dataOnly="0" labelOnly="1" outline="0" axis="axisRow" fieldPosition="8"/>
    </format>
    <format dxfId="12647">
      <pivotArea field="82" type="button" dataOnly="0" labelOnly="1" outline="0" axis="axisRow" fieldPosition="9"/>
    </format>
    <format dxfId="12646">
      <pivotArea field="87" type="button" dataOnly="0" labelOnly="1" outline="0" axis="axisRow" fieldPosition="12"/>
    </format>
    <format dxfId="12645">
      <pivotArea field="88" type="button" dataOnly="0" labelOnly="1" outline="0" axis="axisRow" fieldPosition="13"/>
    </format>
    <format dxfId="12644">
      <pivotArea field="72" type="button" dataOnly="0" labelOnly="1" outline="0" axis="axisRow" fieldPosition="5"/>
    </format>
    <format dxfId="12643">
      <pivotArea field="13" type="button" dataOnly="0" labelOnly="1" outline="0" axis="axisRow" fieldPosition="6"/>
    </format>
    <format dxfId="12642">
      <pivotArea field="81" type="button" dataOnly="0" labelOnly="1" outline="0" axis="axisRow" fieldPosition="8"/>
    </format>
    <format dxfId="12641">
      <pivotArea field="82" type="button" dataOnly="0" labelOnly="1" outline="0" axis="axisRow" fieldPosition="9"/>
    </format>
    <format dxfId="12640">
      <pivotArea field="87" type="button" dataOnly="0" labelOnly="1" outline="0" axis="axisRow" fieldPosition="12"/>
    </format>
    <format dxfId="12639">
      <pivotArea field="88" type="button" dataOnly="0" labelOnly="1" outline="0" axis="axisRow" fieldPosition="13"/>
    </format>
    <format dxfId="12638">
      <pivotArea field="72" type="button" dataOnly="0" labelOnly="1" outline="0" axis="axisRow" fieldPosition="5"/>
    </format>
    <format dxfId="12637">
      <pivotArea field="13" type="button" dataOnly="0" labelOnly="1" outline="0" axis="axisRow" fieldPosition="6"/>
    </format>
    <format dxfId="12636">
      <pivotArea field="81" type="button" dataOnly="0" labelOnly="1" outline="0" axis="axisRow" fieldPosition="8"/>
    </format>
    <format dxfId="12635">
      <pivotArea field="82" type="button" dataOnly="0" labelOnly="1" outline="0" axis="axisRow" fieldPosition="9"/>
    </format>
    <format dxfId="12634">
      <pivotArea field="87" type="button" dataOnly="0" labelOnly="1" outline="0" axis="axisRow" fieldPosition="12"/>
    </format>
    <format dxfId="12633">
      <pivotArea field="88" type="button" dataOnly="0" labelOnly="1" outline="0" axis="axisRow" fieldPosition="13"/>
    </format>
    <format dxfId="12632">
      <pivotArea dataOnly="0" labelOnly="1" outline="0" fieldPosition="0">
        <references count="3">
          <reference field="1" count="0" selected="0"/>
          <reference field="2" count="1" selected="0">
            <x v="5"/>
          </reference>
          <reference field="5" count="2">
            <x v="4"/>
            <x v="7"/>
          </reference>
        </references>
      </pivotArea>
    </format>
    <format dxfId="12631">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12630">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1262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262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2627">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2626">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2625">
      <pivotArea field="72" type="button" dataOnly="0" labelOnly="1" outline="0" axis="axisRow" fieldPosition="5"/>
    </format>
    <format dxfId="12624">
      <pivotArea field="13" type="button" dataOnly="0" labelOnly="1" outline="0" axis="axisRow" fieldPosition="6"/>
    </format>
    <format dxfId="12623">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2622">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2621">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2620">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2619">
      <pivotArea field="81" type="button" dataOnly="0" labelOnly="1" outline="0" axis="axisRow" fieldPosition="8"/>
    </format>
    <format dxfId="12618">
      <pivotArea field="82" type="button" dataOnly="0" labelOnly="1" outline="0" axis="axisRow" fieldPosition="9"/>
    </format>
    <format dxfId="12617">
      <pivotArea field="87" type="button" dataOnly="0" labelOnly="1" outline="0" axis="axisRow" fieldPosition="12"/>
    </format>
    <format dxfId="12616">
      <pivotArea field="88" type="button" dataOnly="0" labelOnly="1" outline="0" axis="axisRow" fieldPosition="13"/>
    </format>
    <format dxfId="12615">
      <pivotArea field="72" type="button" dataOnly="0" labelOnly="1" outline="0" axis="axisRow" fieldPosition="5"/>
    </format>
    <format dxfId="12614">
      <pivotArea field="13" type="button" dataOnly="0" labelOnly="1" outline="0" axis="axisRow" fieldPosition="6"/>
    </format>
    <format dxfId="12613">
      <pivotArea field="81" type="button" dataOnly="0" labelOnly="1" outline="0" axis="axisRow" fieldPosition="8"/>
    </format>
    <format dxfId="12612">
      <pivotArea field="82" type="button" dataOnly="0" labelOnly="1" outline="0" axis="axisRow" fieldPosition="9"/>
    </format>
    <format dxfId="12611">
      <pivotArea field="87" type="button" dataOnly="0" labelOnly="1" outline="0" axis="axisRow" fieldPosition="12"/>
    </format>
    <format dxfId="12610">
      <pivotArea field="88" type="button" dataOnly="0" labelOnly="1" outline="0" axis="axisRow" fieldPosition="13"/>
    </format>
    <format dxfId="12609">
      <pivotArea field="72" type="button" dataOnly="0" labelOnly="1" outline="0" axis="axisRow" fieldPosition="5"/>
    </format>
    <format dxfId="12608">
      <pivotArea field="13" type="button" dataOnly="0" labelOnly="1" outline="0" axis="axisRow" fieldPosition="6"/>
    </format>
    <format dxfId="12607">
      <pivotArea field="81" type="button" dataOnly="0" labelOnly="1" outline="0" axis="axisRow" fieldPosition="8"/>
    </format>
    <format dxfId="12606">
      <pivotArea field="82" type="button" dataOnly="0" labelOnly="1" outline="0" axis="axisRow" fieldPosition="9"/>
    </format>
    <format dxfId="12605">
      <pivotArea field="87" type="button" dataOnly="0" labelOnly="1" outline="0" axis="axisRow" fieldPosition="12"/>
    </format>
    <format dxfId="12604">
      <pivotArea field="88" type="button" dataOnly="0" labelOnly="1" outline="0" axis="axisRow" fieldPosition="13"/>
    </format>
    <format dxfId="12603">
      <pivotArea field="72" type="button" dataOnly="0" labelOnly="1" outline="0" axis="axisRow" fieldPosition="5"/>
    </format>
    <format dxfId="12602">
      <pivotArea field="13" type="button" dataOnly="0" labelOnly="1" outline="0" axis="axisRow" fieldPosition="6"/>
    </format>
    <format dxfId="12601">
      <pivotArea field="81" type="button" dataOnly="0" labelOnly="1" outline="0" axis="axisRow" fieldPosition="8"/>
    </format>
    <format dxfId="12600">
      <pivotArea field="82" type="button" dataOnly="0" labelOnly="1" outline="0" axis="axisRow" fieldPosition="9"/>
    </format>
    <format dxfId="12599">
      <pivotArea field="87" type="button" dataOnly="0" labelOnly="1" outline="0" axis="axisRow" fieldPosition="12"/>
    </format>
    <format dxfId="12598">
      <pivotArea field="88" type="button" dataOnly="0" labelOnly="1" outline="0" axis="axisRow" fieldPosition="13"/>
    </format>
    <format dxfId="12597">
      <pivotArea field="72" type="button" dataOnly="0" labelOnly="1" outline="0" axis="axisRow" fieldPosition="5"/>
    </format>
    <format dxfId="12596">
      <pivotArea field="13" type="button" dataOnly="0" labelOnly="1" outline="0" axis="axisRow" fieldPosition="6"/>
    </format>
    <format dxfId="12595">
      <pivotArea field="81" type="button" dataOnly="0" labelOnly="1" outline="0" axis="axisRow" fieldPosition="8"/>
    </format>
    <format dxfId="12594">
      <pivotArea field="82" type="button" dataOnly="0" labelOnly="1" outline="0" axis="axisRow" fieldPosition="9"/>
    </format>
    <format dxfId="12593">
      <pivotArea field="87" type="button" dataOnly="0" labelOnly="1" outline="0" axis="axisRow" fieldPosition="12"/>
    </format>
    <format dxfId="12592">
      <pivotArea field="88" type="button" dataOnly="0" labelOnly="1" outline="0" axis="axisRow" fieldPosition="13"/>
    </format>
    <format dxfId="12591">
      <pivotArea field="72" type="button" dataOnly="0" labelOnly="1" outline="0" axis="axisRow" fieldPosition="5"/>
    </format>
    <format dxfId="12590">
      <pivotArea field="13" type="button" dataOnly="0" labelOnly="1" outline="0" axis="axisRow" fieldPosition="6"/>
    </format>
    <format dxfId="12589">
      <pivotArea field="81" type="button" dataOnly="0" labelOnly="1" outline="0" axis="axisRow" fieldPosition="8"/>
    </format>
    <format dxfId="12588">
      <pivotArea field="82" type="button" dataOnly="0" labelOnly="1" outline="0" axis="axisRow" fieldPosition="9"/>
    </format>
    <format dxfId="12587">
      <pivotArea field="87" type="button" dataOnly="0" labelOnly="1" outline="0" axis="axisRow" fieldPosition="12"/>
    </format>
    <format dxfId="12586">
      <pivotArea field="88" type="button" dataOnly="0" labelOnly="1" outline="0" axis="axisRow" fieldPosition="13"/>
    </format>
    <format dxfId="1258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2584">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258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258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258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258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257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257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257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257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257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257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257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257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257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57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56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56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256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256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256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256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256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256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56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56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55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55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55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55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55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554">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55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2552">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255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255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2549">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2548">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254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254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2545">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2544">
      <pivotArea field="72" type="button" dataOnly="0" labelOnly="1" outline="0" axis="axisRow" fieldPosition="5"/>
    </format>
    <format dxfId="12543">
      <pivotArea field="13" type="button" dataOnly="0" labelOnly="1" outline="0" axis="axisRow" fieldPosition="6"/>
    </format>
    <format dxfId="12542">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2541">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2540">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2539">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2538">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2537">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2536">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2535">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2534">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2533">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2532">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2531">
      <pivotArea field="81" type="button" dataOnly="0" labelOnly="1" outline="0" axis="axisRow" fieldPosition="8"/>
    </format>
    <format dxfId="12530">
      <pivotArea field="82" type="button" dataOnly="0" labelOnly="1" outline="0" axis="axisRow" fieldPosition="9"/>
    </format>
    <format dxfId="12529">
      <pivotArea field="87" type="button" dataOnly="0" labelOnly="1" outline="0" axis="axisRow" fieldPosition="12"/>
    </format>
    <format dxfId="12528">
      <pivotArea field="88" type="button" dataOnly="0" labelOnly="1" outline="0" axis="axisRow" fieldPosition="13"/>
    </format>
    <format dxfId="12527">
      <pivotArea field="72" type="button" dataOnly="0" labelOnly="1" outline="0" axis="axisRow" fieldPosition="5"/>
    </format>
    <format dxfId="12526">
      <pivotArea field="13" type="button" dataOnly="0" labelOnly="1" outline="0" axis="axisRow" fieldPosition="6"/>
    </format>
    <format dxfId="12525">
      <pivotArea field="81" type="button" dataOnly="0" labelOnly="1" outline="0" axis="axisRow" fieldPosition="8"/>
    </format>
    <format dxfId="12524">
      <pivotArea field="82" type="button" dataOnly="0" labelOnly="1" outline="0" axis="axisRow" fieldPosition="9"/>
    </format>
    <format dxfId="12523">
      <pivotArea field="87" type="button" dataOnly="0" labelOnly="1" outline="0" axis="axisRow" fieldPosition="12"/>
    </format>
    <format dxfId="12522">
      <pivotArea field="88" type="button" dataOnly="0" labelOnly="1" outline="0" axis="axisRow" fieldPosition="13"/>
    </format>
    <format dxfId="12521">
      <pivotArea field="72" type="button" dataOnly="0" labelOnly="1" outline="0" axis="axisRow" fieldPosition="5"/>
    </format>
    <format dxfId="12520">
      <pivotArea field="13" type="button" dataOnly="0" labelOnly="1" outline="0" axis="axisRow" fieldPosition="6"/>
    </format>
    <format dxfId="12519">
      <pivotArea field="81" type="button" dataOnly="0" labelOnly="1" outline="0" axis="axisRow" fieldPosition="8"/>
    </format>
    <format dxfId="12518">
      <pivotArea field="82" type="button" dataOnly="0" labelOnly="1" outline="0" axis="axisRow" fieldPosition="9"/>
    </format>
    <format dxfId="12517">
      <pivotArea field="87" type="button" dataOnly="0" labelOnly="1" outline="0" axis="axisRow" fieldPosition="12"/>
    </format>
    <format dxfId="12516">
      <pivotArea field="88" type="button" dataOnly="0" labelOnly="1" outline="0" axis="axisRow" fieldPosition="13"/>
    </format>
    <format dxfId="12515">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2514">
      <pivotArea field="72" type="button" dataOnly="0" labelOnly="1" outline="0" axis="axisRow" fieldPosition="5"/>
    </format>
    <format dxfId="12513">
      <pivotArea field="13" type="button" dataOnly="0" labelOnly="1" outline="0" axis="axisRow" fieldPosition="6"/>
    </format>
    <format dxfId="12512">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2511">
      <pivotArea field="81" type="button" dataOnly="0" labelOnly="1" outline="0" axis="axisRow" fieldPosition="8"/>
    </format>
    <format dxfId="12510">
      <pivotArea field="82" type="button" dataOnly="0" labelOnly="1" outline="0" axis="axisRow" fieldPosition="9"/>
    </format>
    <format dxfId="12509">
      <pivotArea field="87" type="button" dataOnly="0" labelOnly="1" outline="0" axis="axisRow" fieldPosition="12"/>
    </format>
    <format dxfId="12508">
      <pivotArea field="88" type="button" dataOnly="0" labelOnly="1" outline="0" axis="axisRow" fieldPosition="13"/>
    </format>
    <format dxfId="12507">
      <pivotArea field="72" type="button" dataOnly="0" labelOnly="1" outline="0" axis="axisRow" fieldPosition="5"/>
    </format>
    <format dxfId="12506">
      <pivotArea field="13" type="button" dataOnly="0" labelOnly="1" outline="0" axis="axisRow" fieldPosition="6"/>
    </format>
    <format dxfId="12505">
      <pivotArea field="81" type="button" dataOnly="0" labelOnly="1" outline="0" axis="axisRow" fieldPosition="8"/>
    </format>
    <format dxfId="12504">
      <pivotArea field="82" type="button" dataOnly="0" labelOnly="1" outline="0" axis="axisRow" fieldPosition="9"/>
    </format>
    <format dxfId="12503">
      <pivotArea field="87" type="button" dataOnly="0" labelOnly="1" outline="0" axis="axisRow" fieldPosition="12"/>
    </format>
    <format dxfId="12502">
      <pivotArea field="88" type="button" dataOnly="0" labelOnly="1" outline="0" axis="axisRow" fieldPosition="13"/>
    </format>
    <format dxfId="12501">
      <pivotArea field="72" type="button" dataOnly="0" labelOnly="1" outline="0" axis="axisRow" fieldPosition="5"/>
    </format>
    <format dxfId="12500">
      <pivotArea field="13" type="button" dataOnly="0" labelOnly="1" outline="0" axis="axisRow" fieldPosition="6"/>
    </format>
    <format dxfId="12499">
      <pivotArea field="81" type="button" dataOnly="0" labelOnly="1" outline="0" axis="axisRow" fieldPosition="8"/>
    </format>
    <format dxfId="12498">
      <pivotArea field="82" type="button" dataOnly="0" labelOnly="1" outline="0" axis="axisRow" fieldPosition="9"/>
    </format>
    <format dxfId="12497">
      <pivotArea field="87" type="button" dataOnly="0" labelOnly="1" outline="0" axis="axisRow" fieldPosition="12"/>
    </format>
    <format dxfId="12496">
      <pivotArea field="88" type="button" dataOnly="0" labelOnly="1" outline="0" axis="axisRow" fieldPosition="13"/>
    </format>
    <format dxfId="12495">
      <pivotArea field="72" type="button" dataOnly="0" labelOnly="1" outline="0" axis="axisRow" fieldPosition="5"/>
    </format>
    <format dxfId="12494">
      <pivotArea field="13" type="button" dataOnly="0" labelOnly="1" outline="0" axis="axisRow" fieldPosition="6"/>
    </format>
    <format dxfId="12493">
      <pivotArea field="81" type="button" dataOnly="0" labelOnly="1" outline="0" axis="axisRow" fieldPosition="8"/>
    </format>
    <format dxfId="12492">
      <pivotArea field="82" type="button" dataOnly="0" labelOnly="1" outline="0" axis="axisRow" fieldPosition="9"/>
    </format>
    <format dxfId="12491">
      <pivotArea field="87" type="button" dataOnly="0" labelOnly="1" outline="0" axis="axisRow" fieldPosition="12"/>
    </format>
    <format dxfId="12490">
      <pivotArea field="88" type="button" dataOnly="0" labelOnly="1" outline="0" axis="axisRow" fieldPosition="13"/>
    </format>
    <format dxfId="12489">
      <pivotArea field="72" type="button" dataOnly="0" labelOnly="1" outline="0" axis="axisRow" fieldPosition="5"/>
    </format>
    <format dxfId="12488">
      <pivotArea field="13" type="button" dataOnly="0" labelOnly="1" outline="0" axis="axisRow" fieldPosition="6"/>
    </format>
    <format dxfId="12487">
      <pivotArea field="81" type="button" dataOnly="0" labelOnly="1" outline="0" axis="axisRow" fieldPosition="8"/>
    </format>
    <format dxfId="12486">
      <pivotArea field="82" type="button" dataOnly="0" labelOnly="1" outline="0" axis="axisRow" fieldPosition="9"/>
    </format>
    <format dxfId="12485">
      <pivotArea field="87" type="button" dataOnly="0" labelOnly="1" outline="0" axis="axisRow" fieldPosition="12"/>
    </format>
    <format dxfId="12484">
      <pivotArea field="88" type="button" dataOnly="0" labelOnly="1" outline="0" axis="axisRow" fieldPosition="13"/>
    </format>
    <format dxfId="12483">
      <pivotArea field="72" type="button" dataOnly="0" labelOnly="1" outline="0" axis="axisRow" fieldPosition="5"/>
    </format>
    <format dxfId="12482">
      <pivotArea field="13" type="button" dataOnly="0" labelOnly="1" outline="0" axis="axisRow" fieldPosition="6"/>
    </format>
    <format dxfId="12481">
      <pivotArea field="81" type="button" dataOnly="0" labelOnly="1" outline="0" axis="axisRow" fieldPosition="8"/>
    </format>
    <format dxfId="12480">
      <pivotArea field="82" type="button" dataOnly="0" labelOnly="1" outline="0" axis="axisRow" fieldPosition="9"/>
    </format>
    <format dxfId="12479">
      <pivotArea field="87" type="button" dataOnly="0" labelOnly="1" outline="0" axis="axisRow" fieldPosition="12"/>
    </format>
    <format dxfId="12478">
      <pivotArea field="88" type="button" dataOnly="0" labelOnly="1" outline="0" axis="axisRow" fieldPosition="13"/>
    </format>
    <format dxfId="12477">
      <pivotArea field="73" type="button" dataOnly="0" labelOnly="1" outline="0" axis="axisRow" fieldPosition="14"/>
    </format>
    <format dxfId="12476">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1247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247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247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2472">
      <pivotArea field="72" type="button" dataOnly="0" labelOnly="1" outline="0" axis="axisRow" fieldPosition="5"/>
    </format>
    <format dxfId="12471">
      <pivotArea field="13" type="button" dataOnly="0" labelOnly="1" outline="0" axis="axisRow" fieldPosition="6"/>
    </format>
    <format dxfId="12470">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2469">
      <pivotArea field="81" type="button" dataOnly="0" labelOnly="1" outline="0" axis="axisRow" fieldPosition="8"/>
    </format>
    <format dxfId="12468">
      <pivotArea field="82" type="button" dataOnly="0" labelOnly="1" outline="0" axis="axisRow" fieldPosition="9"/>
    </format>
    <format dxfId="12467">
      <pivotArea field="87" type="button" dataOnly="0" labelOnly="1" outline="0" axis="axisRow" fieldPosition="12"/>
    </format>
    <format dxfId="12466">
      <pivotArea field="88" type="button" dataOnly="0" labelOnly="1" outline="0" axis="axisRow" fieldPosition="13"/>
    </format>
    <format dxfId="12465">
      <pivotArea field="72" type="button" dataOnly="0" labelOnly="1" outline="0" axis="axisRow" fieldPosition="5"/>
    </format>
    <format dxfId="12464">
      <pivotArea field="13" type="button" dataOnly="0" labelOnly="1" outline="0" axis="axisRow" fieldPosition="6"/>
    </format>
    <format dxfId="12463">
      <pivotArea field="81" type="button" dataOnly="0" labelOnly="1" outline="0" axis="axisRow" fieldPosition="8"/>
    </format>
    <format dxfId="12462">
      <pivotArea field="82" type="button" dataOnly="0" labelOnly="1" outline="0" axis="axisRow" fieldPosition="9"/>
    </format>
    <format dxfId="12461">
      <pivotArea field="87" type="button" dataOnly="0" labelOnly="1" outline="0" axis="axisRow" fieldPosition="12"/>
    </format>
    <format dxfId="12460">
      <pivotArea field="88" type="button" dataOnly="0" labelOnly="1" outline="0" axis="axisRow" fieldPosition="13"/>
    </format>
    <format dxfId="12459">
      <pivotArea field="72" type="button" dataOnly="0" labelOnly="1" outline="0" axis="axisRow" fieldPosition="5"/>
    </format>
    <format dxfId="12458">
      <pivotArea field="13" type="button" dataOnly="0" labelOnly="1" outline="0" axis="axisRow" fieldPosition="6"/>
    </format>
    <format dxfId="12457">
      <pivotArea field="81" type="button" dataOnly="0" labelOnly="1" outline="0" axis="axisRow" fieldPosition="8"/>
    </format>
    <format dxfId="12456">
      <pivotArea field="82" type="button" dataOnly="0" labelOnly="1" outline="0" axis="axisRow" fieldPosition="9"/>
    </format>
    <format dxfId="12455">
      <pivotArea field="87" type="button" dataOnly="0" labelOnly="1" outline="0" axis="axisRow" fieldPosition="12"/>
    </format>
    <format dxfId="12454">
      <pivotArea field="88" type="button" dataOnly="0" labelOnly="1" outline="0" axis="axisRow" fieldPosition="13"/>
    </format>
    <format dxfId="12453">
      <pivotArea field="72" type="button" dataOnly="0" labelOnly="1" outline="0" axis="axisRow" fieldPosition="5"/>
    </format>
    <format dxfId="12452">
      <pivotArea field="13" type="button" dataOnly="0" labelOnly="1" outline="0" axis="axisRow" fieldPosition="6"/>
    </format>
    <format dxfId="12451">
      <pivotArea field="81" type="button" dataOnly="0" labelOnly="1" outline="0" axis="axisRow" fieldPosition="8"/>
    </format>
    <format dxfId="12450">
      <pivotArea field="82" type="button" dataOnly="0" labelOnly="1" outline="0" axis="axisRow" fieldPosition="9"/>
    </format>
    <format dxfId="12449">
      <pivotArea field="87" type="button" dataOnly="0" labelOnly="1" outline="0" axis="axisRow" fieldPosition="12"/>
    </format>
    <format dxfId="12448">
      <pivotArea field="88" type="button" dataOnly="0" labelOnly="1" outline="0" axis="axisRow" fieldPosition="13"/>
    </format>
    <format dxfId="12447">
      <pivotArea field="72" type="button" dataOnly="0" labelOnly="1" outline="0" axis="axisRow" fieldPosition="5"/>
    </format>
    <format dxfId="12446">
      <pivotArea field="13" type="button" dataOnly="0" labelOnly="1" outline="0" axis="axisRow" fieldPosition="6"/>
    </format>
    <format dxfId="12445">
      <pivotArea field="81" type="button" dataOnly="0" labelOnly="1" outline="0" axis="axisRow" fieldPosition="8"/>
    </format>
    <format dxfId="12444">
      <pivotArea field="82" type="button" dataOnly="0" labelOnly="1" outline="0" axis="axisRow" fieldPosition="9"/>
    </format>
    <format dxfId="12443">
      <pivotArea field="87" type="button" dataOnly="0" labelOnly="1" outline="0" axis="axisRow" fieldPosition="12"/>
    </format>
    <format dxfId="12442">
      <pivotArea field="88" type="button" dataOnly="0" labelOnly="1" outline="0" axis="axisRow" fieldPosition="13"/>
    </format>
    <format dxfId="12441">
      <pivotArea field="72" type="button" dataOnly="0" labelOnly="1" outline="0" axis="axisRow" fieldPosition="5"/>
    </format>
    <format dxfId="12440">
      <pivotArea field="13" type="button" dataOnly="0" labelOnly="1" outline="0" axis="axisRow" fieldPosition="6"/>
    </format>
    <format dxfId="12439">
      <pivotArea field="81" type="button" dataOnly="0" labelOnly="1" outline="0" axis="axisRow" fieldPosition="8"/>
    </format>
    <format dxfId="12438">
      <pivotArea field="82" type="button" dataOnly="0" labelOnly="1" outline="0" axis="axisRow" fieldPosition="9"/>
    </format>
    <format dxfId="12437">
      <pivotArea field="87" type="button" dataOnly="0" labelOnly="1" outline="0" axis="axisRow" fieldPosition="12"/>
    </format>
    <format dxfId="12436">
      <pivotArea field="88" type="button" dataOnly="0" labelOnly="1" outline="0" axis="axisRow" fieldPosition="13"/>
    </format>
    <format dxfId="12435">
      <pivotArea field="72" type="button" dataOnly="0" labelOnly="1" outline="0" axis="axisRow" fieldPosition="5"/>
    </format>
    <format dxfId="12434">
      <pivotArea field="13" type="button" dataOnly="0" labelOnly="1" outline="0" axis="axisRow" fieldPosition="6"/>
    </format>
    <format dxfId="12433">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2432">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2431">
      <pivotArea field="81" type="button" dataOnly="0" labelOnly="1" outline="0" axis="axisRow" fieldPosition="8"/>
    </format>
    <format dxfId="12430">
      <pivotArea field="82" type="button" dataOnly="0" labelOnly="1" outline="0" axis="axisRow" fieldPosition="9"/>
    </format>
    <format dxfId="12429">
      <pivotArea field="87" type="button" dataOnly="0" labelOnly="1" outline="0" axis="axisRow" fieldPosition="12"/>
    </format>
    <format dxfId="12428">
      <pivotArea field="88" type="button" dataOnly="0" labelOnly="1" outline="0" axis="axisRow" fieldPosition="13"/>
    </format>
    <format dxfId="12427">
      <pivotArea field="72" type="button" dataOnly="0" labelOnly="1" outline="0" axis="axisRow" fieldPosition="5"/>
    </format>
    <format dxfId="12426">
      <pivotArea field="13" type="button" dataOnly="0" labelOnly="1" outline="0" axis="axisRow" fieldPosition="6"/>
    </format>
    <format dxfId="12425">
      <pivotArea field="81" type="button" dataOnly="0" labelOnly="1" outline="0" axis="axisRow" fieldPosition="8"/>
    </format>
    <format dxfId="12424">
      <pivotArea field="82" type="button" dataOnly="0" labelOnly="1" outline="0" axis="axisRow" fieldPosition="9"/>
    </format>
    <format dxfId="12423">
      <pivotArea field="87" type="button" dataOnly="0" labelOnly="1" outline="0" axis="axisRow" fieldPosition="12"/>
    </format>
    <format dxfId="12422">
      <pivotArea field="88" type="button" dataOnly="0" labelOnly="1" outline="0" axis="axisRow" fieldPosition="13"/>
    </format>
    <format dxfId="12421">
      <pivotArea field="72" type="button" dataOnly="0" labelOnly="1" outline="0" axis="axisRow" fieldPosition="5"/>
    </format>
    <format dxfId="12420">
      <pivotArea field="13" type="button" dataOnly="0" labelOnly="1" outline="0" axis="axisRow" fieldPosition="6"/>
    </format>
    <format dxfId="12419">
      <pivotArea field="81" type="button" dataOnly="0" labelOnly="1" outline="0" axis="axisRow" fieldPosition="8"/>
    </format>
    <format dxfId="12418">
      <pivotArea field="82" type="button" dataOnly="0" labelOnly="1" outline="0" axis="axisRow" fieldPosition="9"/>
    </format>
    <format dxfId="12417">
      <pivotArea field="87" type="button" dataOnly="0" labelOnly="1" outline="0" axis="axisRow" fieldPosition="12"/>
    </format>
    <format dxfId="12416">
      <pivotArea field="88" type="button" dataOnly="0" labelOnly="1" outline="0" axis="axisRow" fieldPosition="13"/>
    </format>
    <format dxfId="12415">
      <pivotArea field="72" type="button" dataOnly="0" labelOnly="1" outline="0" axis="axisRow" fieldPosition="5"/>
    </format>
    <format dxfId="12414">
      <pivotArea field="13" type="button" dataOnly="0" labelOnly="1" outline="0" axis="axisRow" fieldPosition="6"/>
    </format>
    <format dxfId="12413">
      <pivotArea field="81" type="button" dataOnly="0" labelOnly="1" outline="0" axis="axisRow" fieldPosition="8"/>
    </format>
    <format dxfId="12412">
      <pivotArea field="82" type="button" dataOnly="0" labelOnly="1" outline="0" axis="axisRow" fieldPosition="9"/>
    </format>
    <format dxfId="12411">
      <pivotArea field="87" type="button" dataOnly="0" labelOnly="1" outline="0" axis="axisRow" fieldPosition="12"/>
    </format>
    <format dxfId="12410">
      <pivotArea field="88" type="button" dataOnly="0" labelOnly="1" outline="0" axis="axisRow" fieldPosition="13"/>
    </format>
    <format dxfId="12409">
      <pivotArea field="72" type="button" dataOnly="0" labelOnly="1" outline="0" axis="axisRow" fieldPosition="5"/>
    </format>
    <format dxfId="12408">
      <pivotArea field="13" type="button" dataOnly="0" labelOnly="1" outline="0" axis="axisRow" fieldPosition="6"/>
    </format>
    <format dxfId="12407">
      <pivotArea field="81" type="button" dataOnly="0" labelOnly="1" outline="0" axis="axisRow" fieldPosition="8"/>
    </format>
    <format dxfId="12406">
      <pivotArea field="82" type="button" dataOnly="0" labelOnly="1" outline="0" axis="axisRow" fieldPosition="9"/>
    </format>
    <format dxfId="12405">
      <pivotArea field="87" type="button" dataOnly="0" labelOnly="1" outline="0" axis="axisRow" fieldPosition="12"/>
    </format>
    <format dxfId="12404">
      <pivotArea field="88" type="button" dataOnly="0" labelOnly="1" outline="0" axis="axisRow" fieldPosition="13"/>
    </format>
    <format dxfId="12403">
      <pivotArea field="72" type="button" dataOnly="0" labelOnly="1" outline="0" axis="axisRow" fieldPosition="5"/>
    </format>
    <format dxfId="12402">
      <pivotArea field="13" type="button" dataOnly="0" labelOnly="1" outline="0" axis="axisRow" fieldPosition="6"/>
    </format>
    <format dxfId="12401">
      <pivotArea field="81" type="button" dataOnly="0" labelOnly="1" outline="0" axis="axisRow" fieldPosition="8"/>
    </format>
    <format dxfId="12400">
      <pivotArea field="82" type="button" dataOnly="0" labelOnly="1" outline="0" axis="axisRow" fieldPosition="9"/>
    </format>
    <format dxfId="12399">
      <pivotArea field="87" type="button" dataOnly="0" labelOnly="1" outline="0" axis="axisRow" fieldPosition="12"/>
    </format>
    <format dxfId="12398">
      <pivotArea field="88" type="button" dataOnly="0" labelOnly="1" outline="0" axis="axisRow" fieldPosition="13"/>
    </format>
    <format dxfId="12397">
      <pivotArea field="72" type="button" dataOnly="0" labelOnly="1" outline="0" axis="axisRow" fieldPosition="5"/>
    </format>
    <format dxfId="12396">
      <pivotArea field="13" type="button" dataOnly="0" labelOnly="1" outline="0" axis="axisRow" fieldPosition="6"/>
    </format>
    <format dxfId="12395">
      <pivotArea field="81" type="button" dataOnly="0" labelOnly="1" outline="0" axis="axisRow" fieldPosition="8"/>
    </format>
    <format dxfId="12394">
      <pivotArea field="82" type="button" dataOnly="0" labelOnly="1" outline="0" axis="axisRow" fieldPosition="9"/>
    </format>
    <format dxfId="12393">
      <pivotArea field="87" type="button" dataOnly="0" labelOnly="1" outline="0" axis="axisRow" fieldPosition="12"/>
    </format>
    <format dxfId="12392">
      <pivotArea field="88" type="button" dataOnly="0" labelOnly="1" outline="0" axis="axisRow" fieldPosition="13"/>
    </format>
    <format dxfId="12391">
      <pivotArea field="72" type="button" dataOnly="0" labelOnly="1" outline="0" axis="axisRow" fieldPosition="5"/>
    </format>
    <format dxfId="12390">
      <pivotArea field="13" type="button" dataOnly="0" labelOnly="1" outline="0" axis="axisRow" fieldPosition="6"/>
    </format>
    <format dxfId="12389">
      <pivotArea field="81" type="button" dataOnly="0" labelOnly="1" outline="0" axis="axisRow" fieldPosition="8"/>
    </format>
    <format dxfId="12388">
      <pivotArea field="82" type="button" dataOnly="0" labelOnly="1" outline="0" axis="axisRow" fieldPosition="9"/>
    </format>
    <format dxfId="12387">
      <pivotArea field="87" type="button" dataOnly="0" labelOnly="1" outline="0" axis="axisRow" fieldPosition="12"/>
    </format>
    <format dxfId="12386">
      <pivotArea field="88" type="button" dataOnly="0" labelOnly="1" outline="0" axis="axisRow" fieldPosition="13"/>
    </format>
    <format dxfId="12385">
      <pivotArea field="72" type="button" dataOnly="0" labelOnly="1" outline="0" axis="axisRow" fieldPosition="5"/>
    </format>
    <format dxfId="12384">
      <pivotArea field="13" type="button" dataOnly="0" labelOnly="1" outline="0" axis="axisRow" fieldPosition="6"/>
    </format>
    <format dxfId="12383">
      <pivotArea field="81" type="button" dataOnly="0" labelOnly="1" outline="0" axis="axisRow" fieldPosition="8"/>
    </format>
    <format dxfId="12382">
      <pivotArea field="82" type="button" dataOnly="0" labelOnly="1" outline="0" axis="axisRow" fieldPosition="9"/>
    </format>
    <format dxfId="12381">
      <pivotArea field="87" type="button" dataOnly="0" labelOnly="1" outline="0" axis="axisRow" fieldPosition="12"/>
    </format>
    <format dxfId="12380">
      <pivotArea field="88" type="button" dataOnly="0" labelOnly="1" outline="0" axis="axisRow" fieldPosition="13"/>
    </format>
    <format dxfId="12379">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2378">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2377">
      <pivotArea field="72" type="button" dataOnly="0" labelOnly="1" outline="0" axis="axisRow" fieldPosition="5"/>
    </format>
    <format dxfId="12376">
      <pivotArea field="13" type="button" dataOnly="0" labelOnly="1" outline="0" axis="axisRow" fieldPosition="6"/>
    </format>
    <format dxfId="12375">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12374">
      <pivotArea field="81" type="button" dataOnly="0" labelOnly="1" outline="0" axis="axisRow" fieldPosition="8"/>
    </format>
    <format dxfId="12373">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2372">
      <pivotArea field="82" type="button" dataOnly="0" labelOnly="1" outline="0" axis="axisRow" fieldPosition="9"/>
    </format>
    <format dxfId="12371">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2370">
      <pivotArea field="87" type="button" dataOnly="0" labelOnly="1" outline="0" axis="axisRow" fieldPosition="12"/>
    </format>
    <format dxfId="12369">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2368">
      <pivotArea field="88" type="button" dataOnly="0" labelOnly="1" outline="0" axis="axisRow" fieldPosition="13"/>
    </format>
    <format dxfId="12367">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2366">
      <pivotArea field="72" type="button" dataOnly="0" labelOnly="1" outline="0" axis="axisRow" fieldPosition="5"/>
    </format>
    <format dxfId="12365">
      <pivotArea field="13" type="button" dataOnly="0" labelOnly="1" outline="0" axis="axisRow" fieldPosition="6"/>
    </format>
    <format dxfId="12364">
      <pivotArea field="81" type="button" dataOnly="0" labelOnly="1" outline="0" axis="axisRow" fieldPosition="8"/>
    </format>
    <format dxfId="12363">
      <pivotArea field="82" type="button" dataOnly="0" labelOnly="1" outline="0" axis="axisRow" fieldPosition="9"/>
    </format>
    <format dxfId="12362">
      <pivotArea field="87" type="button" dataOnly="0" labelOnly="1" outline="0" axis="axisRow" fieldPosition="12"/>
    </format>
    <format dxfId="12361">
      <pivotArea field="88" type="button" dataOnly="0" labelOnly="1" outline="0" axis="axisRow" fieldPosition="13"/>
    </format>
    <format dxfId="12360">
      <pivotArea field="72" type="button" dataOnly="0" labelOnly="1" outline="0" axis="axisRow" fieldPosition="5"/>
    </format>
    <format dxfId="12359">
      <pivotArea field="13" type="button" dataOnly="0" labelOnly="1" outline="0" axis="axisRow" fieldPosition="6"/>
    </format>
    <format dxfId="12358">
      <pivotArea field="81" type="button" dataOnly="0" labelOnly="1" outline="0" axis="axisRow" fieldPosition="8"/>
    </format>
    <format dxfId="12357">
      <pivotArea field="82" type="button" dataOnly="0" labelOnly="1" outline="0" axis="axisRow" fieldPosition="9"/>
    </format>
    <format dxfId="12356">
      <pivotArea field="87" type="button" dataOnly="0" labelOnly="1" outline="0" axis="axisRow" fieldPosition="12"/>
    </format>
    <format dxfId="12355">
      <pivotArea field="88" type="button" dataOnly="0" labelOnly="1" outline="0" axis="axisRow" fieldPosition="13"/>
    </format>
    <format dxfId="12354">
      <pivotArea field="72" type="button" dataOnly="0" labelOnly="1" outline="0" axis="axisRow" fieldPosition="5"/>
    </format>
    <format dxfId="12353">
      <pivotArea field="13" type="button" dataOnly="0" labelOnly="1" outline="0" axis="axisRow" fieldPosition="6"/>
    </format>
    <format dxfId="12352">
      <pivotArea field="81" type="button" dataOnly="0" labelOnly="1" outline="0" axis="axisRow" fieldPosition="8"/>
    </format>
    <format dxfId="12351">
      <pivotArea field="82" type="button" dataOnly="0" labelOnly="1" outline="0" axis="axisRow" fieldPosition="9"/>
    </format>
    <format dxfId="12350">
      <pivotArea field="87" type="button" dataOnly="0" labelOnly="1" outline="0" axis="axisRow" fieldPosition="12"/>
    </format>
    <format dxfId="12349">
      <pivotArea field="88" type="button" dataOnly="0" labelOnly="1" outline="0" axis="axisRow" fieldPosition="13"/>
    </format>
    <format dxfId="12348">
      <pivotArea field="72" type="button" dataOnly="0" labelOnly="1" outline="0" axis="axisRow" fieldPosition="5"/>
    </format>
    <format dxfId="12347">
      <pivotArea field="13" type="button" dataOnly="0" labelOnly="1" outline="0" axis="axisRow" fieldPosition="6"/>
    </format>
    <format dxfId="12346">
      <pivotArea field="81" type="button" dataOnly="0" labelOnly="1" outline="0" axis="axisRow" fieldPosition="8"/>
    </format>
    <format dxfId="12345">
      <pivotArea field="82" type="button" dataOnly="0" labelOnly="1" outline="0" axis="axisRow" fieldPosition="9"/>
    </format>
    <format dxfId="12344">
      <pivotArea field="87" type="button" dataOnly="0" labelOnly="1" outline="0" axis="axisRow" fieldPosition="12"/>
    </format>
    <format dxfId="12343">
      <pivotArea field="88" type="button" dataOnly="0" labelOnly="1" outline="0" axis="axisRow" fieldPosition="13"/>
    </format>
    <format dxfId="12342">
      <pivotArea field="72" type="button" dataOnly="0" labelOnly="1" outline="0" axis="axisRow" fieldPosition="5"/>
    </format>
    <format dxfId="12341">
      <pivotArea field="13" type="button" dataOnly="0" labelOnly="1" outline="0" axis="axisRow" fieldPosition="6"/>
    </format>
    <format dxfId="12340">
      <pivotArea field="81" type="button" dataOnly="0" labelOnly="1" outline="0" axis="axisRow" fieldPosition="8"/>
    </format>
    <format dxfId="12339">
      <pivotArea field="82" type="button" dataOnly="0" labelOnly="1" outline="0" axis="axisRow" fieldPosition="9"/>
    </format>
    <format dxfId="12338">
      <pivotArea field="87" type="button" dataOnly="0" labelOnly="1" outline="0" axis="axisRow" fieldPosition="12"/>
    </format>
    <format dxfId="12337">
      <pivotArea field="88" type="button" dataOnly="0" labelOnly="1" outline="0" axis="axisRow" fieldPosition="13"/>
    </format>
    <format dxfId="12336">
      <pivotArea field="72" type="button" dataOnly="0" labelOnly="1" outline="0" axis="axisRow" fieldPosition="5"/>
    </format>
    <format dxfId="12335">
      <pivotArea field="13" type="button" dataOnly="0" labelOnly="1" outline="0" axis="axisRow" fieldPosition="6"/>
    </format>
    <format dxfId="12334">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12333">
      <pivotArea field="81" type="button" dataOnly="0" labelOnly="1" outline="0" axis="axisRow" fieldPosition="8"/>
    </format>
    <format dxfId="12332">
      <pivotArea field="82" type="button" dataOnly="0" labelOnly="1" outline="0" axis="axisRow" fieldPosition="9"/>
    </format>
    <format dxfId="12331">
      <pivotArea field="87" type="button" dataOnly="0" labelOnly="1" outline="0" axis="axisRow" fieldPosition="12"/>
    </format>
    <format dxfId="12330">
      <pivotArea field="88" type="button" dataOnly="0" labelOnly="1" outline="0" axis="axisRow" fieldPosition="13"/>
    </format>
    <format dxfId="12329">
      <pivotArea field="72" type="button" dataOnly="0" labelOnly="1" outline="0" axis="axisRow" fieldPosition="5"/>
    </format>
    <format dxfId="12328">
      <pivotArea field="13" type="button" dataOnly="0" labelOnly="1" outline="0" axis="axisRow" fieldPosition="6"/>
    </format>
    <format dxfId="12327">
      <pivotArea field="81" type="button" dataOnly="0" labelOnly="1" outline="0" axis="axisRow" fieldPosition="8"/>
    </format>
    <format dxfId="12326">
      <pivotArea field="82" type="button" dataOnly="0" labelOnly="1" outline="0" axis="axisRow" fieldPosition="9"/>
    </format>
    <format dxfId="12325">
      <pivotArea field="87" type="button" dataOnly="0" labelOnly="1" outline="0" axis="axisRow" fieldPosition="12"/>
    </format>
    <format dxfId="12324">
      <pivotArea field="88" type="button" dataOnly="0" labelOnly="1" outline="0" axis="axisRow" fieldPosition="13"/>
    </format>
    <format dxfId="12323">
      <pivotArea field="72" type="button" dataOnly="0" labelOnly="1" outline="0" axis="axisRow" fieldPosition="5"/>
    </format>
    <format dxfId="12322">
      <pivotArea field="13" type="button" dataOnly="0" labelOnly="1" outline="0" axis="axisRow" fieldPosition="6"/>
    </format>
    <format dxfId="12321">
      <pivotArea field="81" type="button" dataOnly="0" labelOnly="1" outline="0" axis="axisRow" fieldPosition="8"/>
    </format>
    <format dxfId="12320">
      <pivotArea field="82" type="button" dataOnly="0" labelOnly="1" outline="0" axis="axisRow" fieldPosition="9"/>
    </format>
    <format dxfId="12319">
      <pivotArea field="87" type="button" dataOnly="0" labelOnly="1" outline="0" axis="axisRow" fieldPosition="12"/>
    </format>
    <format dxfId="12318">
      <pivotArea field="88" type="button" dataOnly="0" labelOnly="1" outline="0" axis="axisRow" fieldPosition="13"/>
    </format>
    <format dxfId="12317">
      <pivotArea field="72" type="button" dataOnly="0" labelOnly="1" outline="0" axis="axisRow" fieldPosition="5"/>
    </format>
    <format dxfId="12316">
      <pivotArea field="13" type="button" dataOnly="0" labelOnly="1" outline="0" axis="axisRow" fieldPosition="6"/>
    </format>
    <format dxfId="12315">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12314">
      <pivotArea field="81" type="button" dataOnly="0" labelOnly="1" outline="0" axis="axisRow" fieldPosition="8"/>
    </format>
    <format dxfId="12313">
      <pivotArea field="82" type="button" dataOnly="0" labelOnly="1" outline="0" axis="axisRow" fieldPosition="9"/>
    </format>
    <format dxfId="12312">
      <pivotArea field="87" type="button" dataOnly="0" labelOnly="1" outline="0" axis="axisRow" fieldPosition="12"/>
    </format>
    <format dxfId="12311">
      <pivotArea field="88" type="button" dataOnly="0" labelOnly="1" outline="0" axis="axisRow" fieldPosition="13"/>
    </format>
    <format dxfId="12310">
      <pivotArea field="72" type="button" dataOnly="0" labelOnly="1" outline="0" axis="axisRow" fieldPosition="5"/>
    </format>
    <format dxfId="12309">
      <pivotArea field="13" type="button" dataOnly="0" labelOnly="1" outline="0" axis="axisRow" fieldPosition="6"/>
    </format>
    <format dxfId="12308">
      <pivotArea field="81" type="button" dataOnly="0" labelOnly="1" outline="0" axis="axisRow" fieldPosition="8"/>
    </format>
    <format dxfId="12307">
      <pivotArea field="82" type="button" dataOnly="0" labelOnly="1" outline="0" axis="axisRow" fieldPosition="9"/>
    </format>
    <format dxfId="12306">
      <pivotArea field="87" type="button" dataOnly="0" labelOnly="1" outline="0" axis="axisRow" fieldPosition="12"/>
    </format>
    <format dxfId="12305">
      <pivotArea field="88" type="button" dataOnly="0" labelOnly="1" outline="0" axis="axisRow" fieldPosition="13"/>
    </format>
    <format dxfId="12304">
      <pivotArea field="72" type="button" dataOnly="0" labelOnly="1" outline="0" axis="axisRow" fieldPosition="5"/>
    </format>
    <format dxfId="12303">
      <pivotArea field="13" type="button" dataOnly="0" labelOnly="1" outline="0" axis="axisRow" fieldPosition="6"/>
    </format>
    <format dxfId="12302">
      <pivotArea field="81" type="button" dataOnly="0" labelOnly="1" outline="0" axis="axisRow" fieldPosition="8"/>
    </format>
    <format dxfId="12301">
      <pivotArea field="82" type="button" dataOnly="0" labelOnly="1" outline="0" axis="axisRow" fieldPosition="9"/>
    </format>
    <format dxfId="12300">
      <pivotArea field="87" type="button" dataOnly="0" labelOnly="1" outline="0" axis="axisRow" fieldPosition="12"/>
    </format>
    <format dxfId="12299">
      <pivotArea field="88" type="button" dataOnly="0" labelOnly="1" outline="0" axis="axisRow" fieldPosition="13"/>
    </format>
    <format dxfId="12298">
      <pivotArea dataOnly="0" labelOnly="1" outline="0" fieldPosition="0">
        <references count="3">
          <reference field="1" count="0" selected="0"/>
          <reference field="2" count="0" selected="0"/>
          <reference field="5" count="5">
            <x v="0"/>
            <x v="5"/>
            <x v="7"/>
            <x v="8"/>
            <x v="12"/>
          </reference>
        </references>
      </pivotArea>
    </format>
    <format dxfId="12297">
      <pivotArea dataOnly="0" labelOnly="1" outline="0" fieldPosition="0">
        <references count="2">
          <reference field="1" count="0" selected="0"/>
          <reference field="2" count="0"/>
        </references>
      </pivotArea>
    </format>
    <format dxfId="12296">
      <pivotArea dataOnly="0" labelOnly="1" outline="0" fieldPosition="0">
        <references count="4">
          <reference field="1" count="0" selected="0"/>
          <reference field="2" count="0" selected="0"/>
          <reference field="5" count="1" selected="0">
            <x v="0"/>
          </reference>
          <reference field="23" count="1">
            <x v="2"/>
          </reference>
        </references>
      </pivotArea>
    </format>
    <format dxfId="12295">
      <pivotArea dataOnly="0" labelOnly="1" outline="0" fieldPosition="0">
        <references count="4">
          <reference field="1" count="0" selected="0"/>
          <reference field="2" count="0" selected="0"/>
          <reference field="5" count="1" selected="0">
            <x v="5"/>
          </reference>
          <reference field="23" count="1">
            <x v="0"/>
          </reference>
        </references>
      </pivotArea>
    </format>
    <format dxfId="12294">
      <pivotArea dataOnly="0" labelOnly="1" outline="0" fieldPosition="0">
        <references count="4">
          <reference field="1" count="0" selected="0"/>
          <reference field="2" count="0" selected="0"/>
          <reference field="5" count="1" selected="0">
            <x v="7"/>
          </reference>
          <reference field="23" count="1">
            <x v="2"/>
          </reference>
        </references>
      </pivotArea>
    </format>
    <format dxfId="12293">
      <pivotArea dataOnly="0" labelOnly="1" outline="0" fieldPosition="0">
        <references count="4">
          <reference field="1" count="0" selected="0"/>
          <reference field="2" count="0" selected="0"/>
          <reference field="5" count="1" selected="0">
            <x v="8"/>
          </reference>
          <reference field="23" count="1">
            <x v="0"/>
          </reference>
        </references>
      </pivotArea>
    </format>
    <format dxfId="12292">
      <pivotArea dataOnly="0" labelOnly="1" outline="0" fieldPosition="0">
        <references count="4">
          <reference field="1" count="0" selected="0"/>
          <reference field="2" count="0" selected="0"/>
          <reference field="5" count="1" selected="0">
            <x v="12"/>
          </reference>
          <reference field="23" count="1">
            <x v="1"/>
          </reference>
        </references>
      </pivotArea>
    </format>
    <format dxfId="12291">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2290">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2289">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2288">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2287">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2286">
      <pivotArea field="72" type="button" dataOnly="0" labelOnly="1" outline="0" axis="axisRow" fieldPosition="5"/>
    </format>
    <format dxfId="12285">
      <pivotArea field="13" type="button" dataOnly="0" labelOnly="1" outline="0" axis="axisRow" fieldPosition="6"/>
    </format>
    <format dxfId="12284">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12283">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12282">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12281">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12280">
      <pivotArea field="81" type="button" dataOnly="0" labelOnly="1" outline="0" axis="axisRow" fieldPosition="8"/>
    </format>
    <format dxfId="12279">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2278">
      <pivotArea field="82" type="button" dataOnly="0" labelOnly="1" outline="0" axis="axisRow" fieldPosition="9"/>
    </format>
    <format dxfId="12277">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2276">
      <pivotArea field="87" type="button" dataOnly="0" labelOnly="1" outline="0" axis="axisRow" fieldPosition="12"/>
    </format>
    <format dxfId="12275">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2274">
      <pivotArea field="88" type="button" dataOnly="0" labelOnly="1" outline="0" axis="axisRow" fieldPosition="13"/>
    </format>
    <format dxfId="12273">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2272">
      <pivotArea field="72" type="button" dataOnly="0" labelOnly="1" outline="0" axis="axisRow" fieldPosition="5"/>
    </format>
    <format dxfId="12271">
      <pivotArea field="13" type="button" dataOnly="0" labelOnly="1" outline="0" axis="axisRow" fieldPosition="6"/>
    </format>
    <format dxfId="12270">
      <pivotArea field="81" type="button" dataOnly="0" labelOnly="1" outline="0" axis="axisRow" fieldPosition="8"/>
    </format>
    <format dxfId="12269">
      <pivotArea field="82" type="button" dataOnly="0" labelOnly="1" outline="0" axis="axisRow" fieldPosition="9"/>
    </format>
    <format dxfId="12268">
      <pivotArea field="87" type="button" dataOnly="0" labelOnly="1" outline="0" axis="axisRow" fieldPosition="12"/>
    </format>
    <format dxfId="12267">
      <pivotArea field="88" type="button" dataOnly="0" labelOnly="1" outline="0" axis="axisRow" fieldPosition="13"/>
    </format>
    <format dxfId="12266">
      <pivotArea field="72" type="button" dataOnly="0" labelOnly="1" outline="0" axis="axisRow" fieldPosition="5"/>
    </format>
    <format dxfId="12265">
      <pivotArea field="13" type="button" dataOnly="0" labelOnly="1" outline="0" axis="axisRow" fieldPosition="6"/>
    </format>
    <format dxfId="12264">
      <pivotArea field="81" type="button" dataOnly="0" labelOnly="1" outline="0" axis="axisRow" fieldPosition="8"/>
    </format>
    <format dxfId="12263">
      <pivotArea field="82" type="button" dataOnly="0" labelOnly="1" outline="0" axis="axisRow" fieldPosition="9"/>
    </format>
    <format dxfId="12262">
      <pivotArea field="87" type="button" dataOnly="0" labelOnly="1" outline="0" axis="axisRow" fieldPosition="12"/>
    </format>
    <format dxfId="12261">
      <pivotArea field="88" type="button" dataOnly="0" labelOnly="1" outline="0" axis="axisRow" fieldPosition="13"/>
    </format>
    <format dxfId="12260">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12259">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12258">
      <pivotArea field="72" type="button" dataOnly="0" labelOnly="1" outline="0" axis="axisRow" fieldPosition="5"/>
    </format>
    <format dxfId="12257">
      <pivotArea field="13" type="button" dataOnly="0" labelOnly="1" outline="0" axis="axisRow" fieldPosition="6"/>
    </format>
    <format dxfId="12256">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12255">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12254">
      <pivotArea field="81" type="button" dataOnly="0" labelOnly="1" outline="0" axis="axisRow" fieldPosition="8"/>
    </format>
    <format dxfId="12253">
      <pivotArea field="82" type="button" dataOnly="0" labelOnly="1" outline="0" axis="axisRow" fieldPosition="9"/>
    </format>
    <format dxfId="12252">
      <pivotArea field="87" type="button" dataOnly="0" labelOnly="1" outline="0" axis="axisRow" fieldPosition="12"/>
    </format>
    <format dxfId="12251">
      <pivotArea field="88" type="button" dataOnly="0" labelOnly="1" outline="0" axis="axisRow" fieldPosition="13"/>
    </format>
    <format dxfId="12250">
      <pivotArea field="72" type="button" dataOnly="0" labelOnly="1" outline="0" axis="axisRow" fieldPosition="5"/>
    </format>
    <format dxfId="12249">
      <pivotArea field="13" type="button" dataOnly="0" labelOnly="1" outline="0" axis="axisRow" fieldPosition="6"/>
    </format>
    <format dxfId="12248">
      <pivotArea field="81" type="button" dataOnly="0" labelOnly="1" outline="0" axis="axisRow" fieldPosition="8"/>
    </format>
    <format dxfId="12247">
      <pivotArea field="82" type="button" dataOnly="0" labelOnly="1" outline="0" axis="axisRow" fieldPosition="9"/>
    </format>
    <format dxfId="12246">
      <pivotArea field="87" type="button" dataOnly="0" labelOnly="1" outline="0" axis="axisRow" fieldPosition="12"/>
    </format>
    <format dxfId="12245">
      <pivotArea field="88" type="button" dataOnly="0" labelOnly="1" outline="0" axis="axisRow" fieldPosition="13"/>
    </format>
    <format dxfId="12244">
      <pivotArea field="72" type="button" dataOnly="0" labelOnly="1" outline="0" axis="axisRow" fieldPosition="5"/>
    </format>
    <format dxfId="12243">
      <pivotArea field="13" type="button" dataOnly="0" labelOnly="1" outline="0" axis="axisRow" fieldPosition="6"/>
    </format>
    <format dxfId="12242">
      <pivotArea field="81" type="button" dataOnly="0" labelOnly="1" outline="0" axis="axisRow" fieldPosition="8"/>
    </format>
    <format dxfId="12241">
      <pivotArea field="82" type="button" dataOnly="0" labelOnly="1" outline="0" axis="axisRow" fieldPosition="9"/>
    </format>
    <format dxfId="12240">
      <pivotArea field="87" type="button" dataOnly="0" labelOnly="1" outline="0" axis="axisRow" fieldPosition="12"/>
    </format>
    <format dxfId="12239">
      <pivotArea field="88" type="button" dataOnly="0" labelOnly="1" outline="0" axis="axisRow" fieldPosition="13"/>
    </format>
    <format dxfId="12238">
      <pivotArea dataOnly="0" labelOnly="1" outline="0" fieldPosition="0">
        <references count="3">
          <reference field="1" count="0" selected="0"/>
          <reference field="2" count="1" selected="0">
            <x v="10"/>
          </reference>
          <reference field="5" count="1">
            <x v="6"/>
          </reference>
        </references>
      </pivotArea>
    </format>
    <format dxfId="12237">
      <pivotArea dataOnly="0" labelOnly="1" outline="0" fieldPosition="0">
        <references count="2">
          <reference field="1" count="0" selected="0"/>
          <reference field="2" count="1">
            <x v="10"/>
          </reference>
        </references>
      </pivotArea>
    </format>
    <format dxfId="12236">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12235">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2234">
      <pivotArea field="72" type="button" dataOnly="0" labelOnly="1" outline="0" axis="axisRow" fieldPosition="5"/>
    </format>
    <format dxfId="12233">
      <pivotArea field="13" type="button" dataOnly="0" labelOnly="1" outline="0" axis="axisRow" fieldPosition="6"/>
    </format>
    <format dxfId="12232">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2231">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2230">
      <pivotArea field="81" type="button" dataOnly="0" labelOnly="1" outline="0" axis="axisRow" fieldPosition="8"/>
    </format>
    <format dxfId="12229">
      <pivotArea field="82" type="button" dataOnly="0" labelOnly="1" outline="0" axis="axisRow" fieldPosition="9"/>
    </format>
    <format dxfId="12228">
      <pivotArea field="87" type="button" dataOnly="0" labelOnly="1" outline="0" axis="axisRow" fieldPosition="12"/>
    </format>
    <format dxfId="12227">
      <pivotArea field="88" type="button" dataOnly="0" labelOnly="1" outline="0" axis="axisRow" fieldPosition="13"/>
    </format>
    <format dxfId="12226">
      <pivotArea field="72" type="button" dataOnly="0" labelOnly="1" outline="0" axis="axisRow" fieldPosition="5"/>
    </format>
    <format dxfId="12225">
      <pivotArea field="13" type="button" dataOnly="0" labelOnly="1" outline="0" axis="axisRow" fieldPosition="6"/>
    </format>
    <format dxfId="12224">
      <pivotArea field="81" type="button" dataOnly="0" labelOnly="1" outline="0" axis="axisRow" fieldPosition="8"/>
    </format>
    <format dxfId="12223">
      <pivotArea field="82" type="button" dataOnly="0" labelOnly="1" outline="0" axis="axisRow" fieldPosition="9"/>
    </format>
    <format dxfId="12222">
      <pivotArea field="87" type="button" dataOnly="0" labelOnly="1" outline="0" axis="axisRow" fieldPosition="12"/>
    </format>
    <format dxfId="12221">
      <pivotArea field="88" type="button" dataOnly="0" labelOnly="1" outline="0" axis="axisRow" fieldPosition="13"/>
    </format>
    <format dxfId="12220">
      <pivotArea field="72" type="button" dataOnly="0" labelOnly="1" outline="0" axis="axisRow" fieldPosition="5"/>
    </format>
    <format dxfId="12219">
      <pivotArea field="13" type="button" dataOnly="0" labelOnly="1" outline="0" axis="axisRow" fieldPosition="6"/>
    </format>
    <format dxfId="12218">
      <pivotArea field="81" type="button" dataOnly="0" labelOnly="1" outline="0" axis="axisRow" fieldPosition="8"/>
    </format>
    <format dxfId="12217">
      <pivotArea field="82" type="button" dataOnly="0" labelOnly="1" outline="0" axis="axisRow" fieldPosition="9"/>
    </format>
    <format dxfId="12216">
      <pivotArea field="87" type="button" dataOnly="0" labelOnly="1" outline="0" axis="axisRow" fieldPosition="12"/>
    </format>
    <format dxfId="12215">
      <pivotArea field="88" type="button" dataOnly="0" labelOnly="1" outline="0" axis="axisRow" fieldPosition="13"/>
    </format>
    <format dxfId="12214">
      <pivotArea field="72" type="button" dataOnly="0" labelOnly="1" outline="0" axis="axisRow" fieldPosition="5"/>
    </format>
    <format dxfId="12213">
      <pivotArea field="13" type="button" dataOnly="0" labelOnly="1" outline="0" axis="axisRow" fieldPosition="6"/>
    </format>
    <format dxfId="12212">
      <pivotArea field="81" type="button" dataOnly="0" labelOnly="1" outline="0" axis="axisRow" fieldPosition="8"/>
    </format>
    <format dxfId="12211">
      <pivotArea field="82" type="button" dataOnly="0" labelOnly="1" outline="0" axis="axisRow" fieldPosition="9"/>
    </format>
    <format dxfId="12210">
      <pivotArea field="87" type="button" dataOnly="0" labelOnly="1" outline="0" axis="axisRow" fieldPosition="12"/>
    </format>
    <format dxfId="12209">
      <pivotArea field="88" type="button" dataOnly="0" labelOnly="1" outline="0" axis="axisRow" fieldPosition="13"/>
    </format>
    <format dxfId="12208">
      <pivotArea field="72" type="button" dataOnly="0" labelOnly="1" outline="0" axis="axisRow" fieldPosition="5"/>
    </format>
    <format dxfId="12207">
      <pivotArea field="13" type="button" dataOnly="0" labelOnly="1" outline="0" axis="axisRow" fieldPosition="6"/>
    </format>
    <format dxfId="12206">
      <pivotArea field="81" type="button" dataOnly="0" labelOnly="1" outline="0" axis="axisRow" fieldPosition="8"/>
    </format>
    <format dxfId="12205">
      <pivotArea field="82" type="button" dataOnly="0" labelOnly="1" outline="0" axis="axisRow" fieldPosition="9"/>
    </format>
    <format dxfId="12204">
      <pivotArea field="87" type="button" dataOnly="0" labelOnly="1" outline="0" axis="axisRow" fieldPosition="12"/>
    </format>
    <format dxfId="12203">
      <pivotArea field="88" type="button" dataOnly="0" labelOnly="1" outline="0" axis="axisRow" fieldPosition="13"/>
    </format>
    <format dxfId="12202">
      <pivotArea field="72" type="button" dataOnly="0" labelOnly="1" outline="0" axis="axisRow" fieldPosition="5"/>
    </format>
    <format dxfId="12201">
      <pivotArea field="13" type="button" dataOnly="0" labelOnly="1" outline="0" axis="axisRow" fieldPosition="6"/>
    </format>
    <format dxfId="12200">
      <pivotArea field="81" type="button" dataOnly="0" labelOnly="1" outline="0" axis="axisRow" fieldPosition="8"/>
    </format>
    <format dxfId="12199">
      <pivotArea field="82" type="button" dataOnly="0" labelOnly="1" outline="0" axis="axisRow" fieldPosition="9"/>
    </format>
    <format dxfId="12198">
      <pivotArea field="87" type="button" dataOnly="0" labelOnly="1" outline="0" axis="axisRow" fieldPosition="12"/>
    </format>
    <format dxfId="12197">
      <pivotArea field="88" type="button" dataOnly="0" labelOnly="1" outline="0" axis="axisRow" fieldPosition="13"/>
    </format>
    <format dxfId="12196">
      <pivotArea dataOnly="0" labelOnly="1" outline="0" fieldPosition="0">
        <references count="3">
          <reference field="1" count="0" selected="0"/>
          <reference field="2" count="1" selected="0">
            <x v="4"/>
          </reference>
          <reference field="5" count="1">
            <x v="5"/>
          </reference>
        </references>
      </pivotArea>
    </format>
    <format dxfId="12195">
      <pivotArea dataOnly="0" labelOnly="1" outline="0" fieldPosition="0">
        <references count="3">
          <reference field="1" count="0" selected="0"/>
          <reference field="2" count="1" selected="0">
            <x v="5"/>
          </reference>
          <reference field="5" count="2">
            <x v="6"/>
            <x v="7"/>
          </reference>
        </references>
      </pivotArea>
    </format>
    <format dxfId="12194">
      <pivotArea dataOnly="0" labelOnly="1" outline="0" fieldPosition="0">
        <references count="2">
          <reference field="1" count="0" selected="0"/>
          <reference field="2" count="2">
            <x v="4"/>
            <x v="5"/>
          </reference>
        </references>
      </pivotArea>
    </format>
    <format dxfId="12193">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12192">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12191">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2190">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2189">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18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187">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186">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185">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2184">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12183">
      <pivotArea field="72" type="button" dataOnly="0" labelOnly="1" outline="0" axis="axisRow" fieldPosition="5"/>
    </format>
    <format dxfId="12182">
      <pivotArea field="13" type="button" dataOnly="0" labelOnly="1" outline="0" axis="axisRow" fieldPosition="6"/>
    </format>
    <format dxfId="12181">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12180">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2179">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2178">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2177">
      <pivotArea field="81" type="button" dataOnly="0" labelOnly="1" outline="0" axis="axisRow" fieldPosition="8"/>
    </format>
    <format dxfId="12176">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2175">
      <pivotArea field="82" type="button" dataOnly="0" labelOnly="1" outline="0" axis="axisRow" fieldPosition="9"/>
    </format>
    <format dxfId="12174">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2173">
      <pivotArea field="87" type="button" dataOnly="0" labelOnly="1" outline="0" axis="axisRow" fieldPosition="12"/>
    </format>
    <format dxfId="12172">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2171">
      <pivotArea field="88" type="button" dataOnly="0" labelOnly="1" outline="0" axis="axisRow" fieldPosition="13"/>
    </format>
    <format dxfId="12170">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2169">
      <pivotArea field="72" type="button" dataOnly="0" labelOnly="1" outline="0" axis="axisRow" fieldPosition="5"/>
    </format>
    <format dxfId="12168">
      <pivotArea field="13" type="button" dataOnly="0" labelOnly="1" outline="0" axis="axisRow" fieldPosition="6"/>
    </format>
    <format dxfId="12167">
      <pivotArea field="81" type="button" dataOnly="0" labelOnly="1" outline="0" axis="axisRow" fieldPosition="8"/>
    </format>
    <format dxfId="12166">
      <pivotArea field="82" type="button" dataOnly="0" labelOnly="1" outline="0" axis="axisRow" fieldPosition="9"/>
    </format>
    <format dxfId="12165">
      <pivotArea field="87" type="button" dataOnly="0" labelOnly="1" outline="0" axis="axisRow" fieldPosition="12"/>
    </format>
    <format dxfId="12164">
      <pivotArea field="88" type="button" dataOnly="0" labelOnly="1" outline="0" axis="axisRow" fieldPosition="13"/>
    </format>
    <format dxfId="12163">
      <pivotArea field="72" type="button" dataOnly="0" labelOnly="1" outline="0" axis="axisRow" fieldPosition="5"/>
    </format>
    <format dxfId="12162">
      <pivotArea field="13" type="button" dataOnly="0" labelOnly="1" outline="0" axis="axisRow" fieldPosition="6"/>
    </format>
    <format dxfId="12161">
      <pivotArea field="81" type="button" dataOnly="0" labelOnly="1" outline="0" axis="axisRow" fieldPosition="8"/>
    </format>
    <format dxfId="12160">
      <pivotArea field="82" type="button" dataOnly="0" labelOnly="1" outline="0" axis="axisRow" fieldPosition="9"/>
    </format>
    <format dxfId="12159">
      <pivotArea field="87" type="button" dataOnly="0" labelOnly="1" outline="0" axis="axisRow" fieldPosition="12"/>
    </format>
    <format dxfId="12158">
      <pivotArea field="88" type="button" dataOnly="0" labelOnly="1" outline="0" axis="axisRow" fieldPosition="13"/>
    </format>
    <format dxfId="12157">
      <pivotArea dataOnly="0" labelOnly="1" outline="0" fieldPosition="0">
        <references count="3">
          <reference field="1" count="1" selected="0">
            <x v="1"/>
          </reference>
          <reference field="2" count="1" selected="0">
            <x v="6"/>
          </reference>
          <reference field="5" count="1">
            <x v="1"/>
          </reference>
        </references>
      </pivotArea>
    </format>
    <format dxfId="12156">
      <pivotArea dataOnly="0" labelOnly="1" outline="0" fieldPosition="0">
        <references count="3">
          <reference field="1" count="1" selected="0">
            <x v="36"/>
          </reference>
          <reference field="2" count="1" selected="0">
            <x v="0"/>
          </reference>
          <reference field="5" count="2">
            <x v="8"/>
            <x v="10"/>
          </reference>
        </references>
      </pivotArea>
    </format>
    <format dxfId="12155">
      <pivotArea dataOnly="0" labelOnly="1" outline="0" fieldPosition="0">
        <references count="2">
          <reference field="1" count="1" selected="0">
            <x v="1"/>
          </reference>
          <reference field="2" count="2">
            <x v="3"/>
            <x v="6"/>
          </reference>
        </references>
      </pivotArea>
    </format>
    <format dxfId="12154">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2153">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2152">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12151">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2150">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2149">
      <pivotArea field="72" type="button" dataOnly="0" labelOnly="1" outline="0" axis="axisRow" fieldPosition="5"/>
    </format>
    <format dxfId="12148">
      <pivotArea field="13" type="button" dataOnly="0" labelOnly="1" outline="0" axis="axisRow" fieldPosition="6"/>
    </format>
    <format dxfId="12147">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12146">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2145">
      <pivotArea field="81" type="button" dataOnly="0" labelOnly="1" outline="0" axis="axisRow" fieldPosition="8"/>
    </format>
    <format dxfId="12144">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2143">
      <pivotArea field="82" type="button" dataOnly="0" labelOnly="1" outline="0" axis="axisRow" fieldPosition="9"/>
    </format>
    <format dxfId="12142">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2141">
      <pivotArea field="87" type="button" dataOnly="0" labelOnly="1" outline="0" axis="axisRow" fieldPosition="12"/>
    </format>
    <format dxfId="12140">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2139">
      <pivotArea field="88" type="button" dataOnly="0" labelOnly="1" outline="0" axis="axisRow" fieldPosition="13"/>
    </format>
    <format dxfId="12138">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2137">
      <pivotArea field="72" type="button" dataOnly="0" labelOnly="1" outline="0" axis="axisRow" fieldPosition="5"/>
    </format>
    <format dxfId="12136">
      <pivotArea field="13" type="button" dataOnly="0" labelOnly="1" outline="0" axis="axisRow" fieldPosition="6"/>
    </format>
    <format dxfId="12135">
      <pivotArea field="81" type="button" dataOnly="0" labelOnly="1" outline="0" axis="axisRow" fieldPosition="8"/>
    </format>
    <format dxfId="12134">
      <pivotArea field="82" type="button" dataOnly="0" labelOnly="1" outline="0" axis="axisRow" fieldPosition="9"/>
    </format>
    <format dxfId="12133">
      <pivotArea field="87" type="button" dataOnly="0" labelOnly="1" outline="0" axis="axisRow" fieldPosition="12"/>
    </format>
    <format dxfId="12132">
      <pivotArea field="88" type="button" dataOnly="0" labelOnly="1" outline="0" axis="axisRow" fieldPosition="13"/>
    </format>
    <format dxfId="12131">
      <pivotArea field="72" type="button" dataOnly="0" labelOnly="1" outline="0" axis="axisRow" fieldPosition="5"/>
    </format>
    <format dxfId="12130">
      <pivotArea field="13" type="button" dataOnly="0" labelOnly="1" outline="0" axis="axisRow" fieldPosition="6"/>
    </format>
    <format dxfId="12129">
      <pivotArea field="81" type="button" dataOnly="0" labelOnly="1" outline="0" axis="axisRow" fieldPosition="8"/>
    </format>
    <format dxfId="12128">
      <pivotArea field="82" type="button" dataOnly="0" labelOnly="1" outline="0" axis="axisRow" fieldPosition="9"/>
    </format>
    <format dxfId="12127">
      <pivotArea field="87" type="button" dataOnly="0" labelOnly="1" outline="0" axis="axisRow" fieldPosition="12"/>
    </format>
    <format dxfId="12126">
      <pivotArea field="88" type="button" dataOnly="0" labelOnly="1" outline="0" axis="axisRow" fieldPosition="13"/>
    </format>
    <format dxfId="12125">
      <pivotArea field="72" type="button" dataOnly="0" labelOnly="1" outline="0" axis="axisRow" fieldPosition="5"/>
    </format>
    <format dxfId="12124">
      <pivotArea field="13" type="button" dataOnly="0" labelOnly="1" outline="0" axis="axisRow" fieldPosition="6"/>
    </format>
    <format dxfId="12123">
      <pivotArea field="81" type="button" dataOnly="0" labelOnly="1" outline="0" axis="axisRow" fieldPosition="8"/>
    </format>
    <format dxfId="12122">
      <pivotArea field="82" type="button" dataOnly="0" labelOnly="1" outline="0" axis="axisRow" fieldPosition="9"/>
    </format>
    <format dxfId="12121">
      <pivotArea field="87" type="button" dataOnly="0" labelOnly="1" outline="0" axis="axisRow" fieldPosition="12"/>
    </format>
    <format dxfId="12120">
      <pivotArea field="88" type="button" dataOnly="0" labelOnly="1" outline="0" axis="axisRow" fieldPosition="13"/>
    </format>
    <format dxfId="12119">
      <pivotArea field="72" type="button" dataOnly="0" labelOnly="1" outline="0" axis="axisRow" fieldPosition="5"/>
    </format>
    <format dxfId="12118">
      <pivotArea field="13" type="button" dataOnly="0" labelOnly="1" outline="0" axis="axisRow" fieldPosition="6"/>
    </format>
    <format dxfId="12117">
      <pivotArea field="81" type="button" dataOnly="0" labelOnly="1" outline="0" axis="axisRow" fieldPosition="8"/>
    </format>
    <format dxfId="12116">
      <pivotArea field="82" type="button" dataOnly="0" labelOnly="1" outline="0" axis="axisRow" fieldPosition="9"/>
    </format>
    <format dxfId="12115">
      <pivotArea field="87" type="button" dataOnly="0" labelOnly="1" outline="0" axis="axisRow" fieldPosition="12"/>
    </format>
    <format dxfId="12114">
      <pivotArea field="88" type="button" dataOnly="0" labelOnly="1" outline="0" axis="axisRow" fieldPosition="13"/>
    </format>
    <format dxfId="12113">
      <pivotArea field="72" type="button" dataOnly="0" labelOnly="1" outline="0" axis="axisRow" fieldPosition="5"/>
    </format>
    <format dxfId="12112">
      <pivotArea field="13" type="button" dataOnly="0" labelOnly="1" outline="0" axis="axisRow" fieldPosition="6"/>
    </format>
    <format dxfId="12111">
      <pivotArea field="81" type="button" dataOnly="0" labelOnly="1" outline="0" axis="axisRow" fieldPosition="8"/>
    </format>
    <format dxfId="12110">
      <pivotArea field="82" type="button" dataOnly="0" labelOnly="1" outline="0" axis="axisRow" fieldPosition="9"/>
    </format>
    <format dxfId="12109">
      <pivotArea field="87" type="button" dataOnly="0" labelOnly="1" outline="0" axis="axisRow" fieldPosition="12"/>
    </format>
    <format dxfId="12108">
      <pivotArea field="88" type="button" dataOnly="0" labelOnly="1" outline="0" axis="axisRow" fieldPosition="13"/>
    </format>
    <format dxfId="12107">
      <pivotArea dataOnly="0" labelOnly="1" outline="0" fieldPosition="0">
        <references count="2">
          <reference field="1" count="1" selected="0">
            <x v="43"/>
          </reference>
          <reference field="2" count="1">
            <x v="6"/>
          </reference>
        </references>
      </pivotArea>
    </format>
    <format dxfId="12106">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12105">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2104">
      <pivotArea field="72" type="button" dataOnly="0" labelOnly="1" outline="0" axis="axisRow" fieldPosition="5"/>
    </format>
    <format dxfId="12103">
      <pivotArea field="13" type="button" dataOnly="0" labelOnly="1" outline="0" axis="axisRow" fieldPosition="6"/>
    </format>
    <format dxfId="12102">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2101">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12100">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12099">
      <pivotArea field="81" type="button" dataOnly="0" labelOnly="1" outline="0" axis="axisRow" fieldPosition="8"/>
    </format>
    <format dxfId="12098">
      <pivotArea field="82" type="button" dataOnly="0" labelOnly="1" outline="0" axis="axisRow" fieldPosition="9"/>
    </format>
    <format dxfId="12097">
      <pivotArea field="87" type="button" dataOnly="0" labelOnly="1" outline="0" axis="axisRow" fieldPosition="12"/>
    </format>
    <format dxfId="12096">
      <pivotArea field="88" type="button" dataOnly="0" labelOnly="1" outline="0" axis="axisRow" fieldPosition="13"/>
    </format>
    <format dxfId="12095">
      <pivotArea field="72" type="button" dataOnly="0" labelOnly="1" outline="0" axis="axisRow" fieldPosition="5"/>
    </format>
    <format dxfId="12094">
      <pivotArea field="13" type="button" dataOnly="0" labelOnly="1" outline="0" axis="axisRow" fieldPosition="6"/>
    </format>
    <format dxfId="12093">
      <pivotArea field="81" type="button" dataOnly="0" labelOnly="1" outline="0" axis="axisRow" fieldPosition="8"/>
    </format>
    <format dxfId="12092">
      <pivotArea field="82" type="button" dataOnly="0" labelOnly="1" outline="0" axis="axisRow" fieldPosition="9"/>
    </format>
    <format dxfId="12091">
      <pivotArea field="87" type="button" dataOnly="0" labelOnly="1" outline="0" axis="axisRow" fieldPosition="12"/>
    </format>
    <format dxfId="12090">
      <pivotArea field="88" type="button" dataOnly="0" labelOnly="1" outline="0" axis="axisRow" fieldPosition="13"/>
    </format>
    <format dxfId="12089">
      <pivotArea field="72" type="button" dataOnly="0" labelOnly="1" outline="0" axis="axisRow" fieldPosition="5"/>
    </format>
    <format dxfId="12088">
      <pivotArea field="13" type="button" dataOnly="0" labelOnly="1" outline="0" axis="axisRow" fieldPosition="6"/>
    </format>
    <format dxfId="12087">
      <pivotArea field="81" type="button" dataOnly="0" labelOnly="1" outline="0" axis="axisRow" fieldPosition="8"/>
    </format>
    <format dxfId="12086">
      <pivotArea field="82" type="button" dataOnly="0" labelOnly="1" outline="0" axis="axisRow" fieldPosition="9"/>
    </format>
    <format dxfId="12085">
      <pivotArea field="87" type="button" dataOnly="0" labelOnly="1" outline="0" axis="axisRow" fieldPosition="12"/>
    </format>
    <format dxfId="12084">
      <pivotArea field="88" type="button" dataOnly="0" labelOnly="1" outline="0" axis="axisRow" fieldPosition="13"/>
    </format>
    <format dxfId="12083">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2082">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2081">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208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207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2078">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207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2076">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2075">
      <pivotArea field="72" type="button" dataOnly="0" labelOnly="1" outline="0" axis="axisRow" fieldPosition="5"/>
    </format>
    <format dxfId="12074">
      <pivotArea field="13" type="button" dataOnly="0" labelOnly="1" outline="0" axis="axisRow" fieldPosition="6"/>
    </format>
    <format dxfId="12073">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2072">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2071">
      <pivotArea field="81" type="button" dataOnly="0" labelOnly="1" outline="0" axis="axisRow" fieldPosition="8"/>
    </format>
    <format dxfId="12070">
      <pivotArea field="82" type="button" dataOnly="0" labelOnly="1" outline="0" axis="axisRow" fieldPosition="9"/>
    </format>
    <format dxfId="12069">
      <pivotArea field="87" type="button" dataOnly="0" labelOnly="1" outline="0" axis="axisRow" fieldPosition="12"/>
    </format>
    <format dxfId="12068">
      <pivotArea field="88" type="button" dataOnly="0" labelOnly="1" outline="0" axis="axisRow" fieldPosition="13"/>
    </format>
    <format dxfId="12067">
      <pivotArea field="72" type="button" dataOnly="0" labelOnly="1" outline="0" axis="axisRow" fieldPosition="5"/>
    </format>
    <format dxfId="12066">
      <pivotArea field="13" type="button" dataOnly="0" labelOnly="1" outline="0" axis="axisRow" fieldPosition="6"/>
    </format>
    <format dxfId="12065">
      <pivotArea field="81" type="button" dataOnly="0" labelOnly="1" outline="0" axis="axisRow" fieldPosition="8"/>
    </format>
    <format dxfId="12064">
      <pivotArea field="82" type="button" dataOnly="0" labelOnly="1" outline="0" axis="axisRow" fieldPosition="9"/>
    </format>
    <format dxfId="12063">
      <pivotArea field="87" type="button" dataOnly="0" labelOnly="1" outline="0" axis="axisRow" fieldPosition="12"/>
    </format>
    <format dxfId="12062">
      <pivotArea field="88" type="button" dataOnly="0" labelOnly="1" outline="0" axis="axisRow" fieldPosition="13"/>
    </format>
    <format dxfId="12061">
      <pivotArea field="72" type="button" dataOnly="0" labelOnly="1" outline="0" axis="axisRow" fieldPosition="5"/>
    </format>
    <format dxfId="12060">
      <pivotArea field="13" type="button" dataOnly="0" labelOnly="1" outline="0" axis="axisRow" fieldPosition="6"/>
    </format>
    <format dxfId="12059">
      <pivotArea field="81" type="button" dataOnly="0" labelOnly="1" outline="0" axis="axisRow" fieldPosition="8"/>
    </format>
    <format dxfId="12058">
      <pivotArea field="82" type="button" dataOnly="0" labelOnly="1" outline="0" axis="axisRow" fieldPosition="9"/>
    </format>
    <format dxfId="12057">
      <pivotArea field="87" type="button" dataOnly="0" labelOnly="1" outline="0" axis="axisRow" fieldPosition="12"/>
    </format>
    <format dxfId="12056">
      <pivotArea field="88" type="button" dataOnly="0" labelOnly="1" outline="0" axis="axisRow" fieldPosition="13"/>
    </format>
    <format dxfId="12055">
      <pivotArea dataOnly="0" labelOnly="1" outline="0" fieldPosition="0">
        <references count="3">
          <reference field="1" count="0" selected="0"/>
          <reference field="2" count="1" selected="0">
            <x v="3"/>
          </reference>
          <reference field="5" count="0"/>
        </references>
      </pivotArea>
    </format>
    <format dxfId="12054">
      <pivotArea dataOnly="0" labelOnly="1" outline="0" fieldPosition="0">
        <references count="2">
          <reference field="1" count="0" selected="0"/>
          <reference field="2" count="1">
            <x v="3"/>
          </reference>
        </references>
      </pivotArea>
    </format>
    <format dxfId="12053">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12052">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12051">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2050">
      <pivotArea field="72" type="button" dataOnly="0" labelOnly="1" outline="0" axis="axisRow" fieldPosition="5"/>
    </format>
    <format dxfId="12049">
      <pivotArea field="13" type="button" dataOnly="0" labelOnly="1" outline="0" axis="axisRow" fieldPosition="6"/>
    </format>
    <format dxfId="12048">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12047">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2046">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2045">
      <pivotArea field="81" type="button" dataOnly="0" labelOnly="1" outline="0" axis="axisRow" fieldPosition="8"/>
    </format>
    <format dxfId="12044">
      <pivotArea field="82" type="button" dataOnly="0" labelOnly="1" outline="0" axis="axisRow" fieldPosition="9"/>
    </format>
    <format dxfId="12043">
      <pivotArea field="87" type="button" dataOnly="0" labelOnly="1" outline="0" axis="axisRow" fieldPosition="12"/>
    </format>
    <format dxfId="12042">
      <pivotArea field="88" type="button" dataOnly="0" labelOnly="1" outline="0" axis="axisRow" fieldPosition="13"/>
    </format>
    <format dxfId="12041">
      <pivotArea field="72" type="button" dataOnly="0" labelOnly="1" outline="0" axis="axisRow" fieldPosition="5"/>
    </format>
    <format dxfId="12040">
      <pivotArea field="13" type="button" dataOnly="0" labelOnly="1" outline="0" axis="axisRow" fieldPosition="6"/>
    </format>
    <format dxfId="12039">
      <pivotArea field="81" type="button" dataOnly="0" labelOnly="1" outline="0" axis="axisRow" fieldPosition="8"/>
    </format>
    <format dxfId="12038">
      <pivotArea field="82" type="button" dataOnly="0" labelOnly="1" outline="0" axis="axisRow" fieldPosition="9"/>
    </format>
    <format dxfId="12037">
      <pivotArea field="87" type="button" dataOnly="0" labelOnly="1" outline="0" axis="axisRow" fieldPosition="12"/>
    </format>
    <format dxfId="12036">
      <pivotArea field="88" type="button" dataOnly="0" labelOnly="1" outline="0" axis="axisRow" fieldPosition="13"/>
    </format>
    <format dxfId="12035">
      <pivotArea field="72" type="button" dataOnly="0" labelOnly="1" outline="0" axis="axisRow" fieldPosition="5"/>
    </format>
    <format dxfId="12034">
      <pivotArea field="13" type="button" dataOnly="0" labelOnly="1" outline="0" axis="axisRow" fieldPosition="6"/>
    </format>
    <format dxfId="12033">
      <pivotArea field="81" type="button" dataOnly="0" labelOnly="1" outline="0" axis="axisRow" fieldPosition="8"/>
    </format>
    <format dxfId="12032">
      <pivotArea field="82" type="button" dataOnly="0" labelOnly="1" outline="0" axis="axisRow" fieldPosition="9"/>
    </format>
    <format dxfId="12031">
      <pivotArea field="87" type="button" dataOnly="0" labelOnly="1" outline="0" axis="axisRow" fieldPosition="12"/>
    </format>
    <format dxfId="12030">
      <pivotArea field="88" type="button" dataOnly="0" labelOnly="1" outline="0" axis="axisRow" fieldPosition="13"/>
    </format>
    <format dxfId="12029">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12028">
      <pivotArea field="72" type="button" dataOnly="0" labelOnly="1" outline="0" axis="axisRow" fieldPosition="5"/>
    </format>
    <format dxfId="12027">
      <pivotArea field="13" type="button" dataOnly="0" labelOnly="1" outline="0" axis="axisRow" fieldPosition="6"/>
    </format>
    <format dxfId="12026">
      <pivotArea field="81" type="button" dataOnly="0" labelOnly="1" outline="0" axis="axisRow" fieldPosition="8"/>
    </format>
    <format dxfId="12025">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70"/>
          </reference>
        </references>
      </pivotArea>
    </format>
    <format dxfId="12024">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12023">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12022">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8"/>
          </reference>
        </references>
      </pivotArea>
    </format>
    <format dxfId="12021">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1"/>
          </reference>
        </references>
      </pivotArea>
    </format>
    <format dxfId="12020">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70"/>
          </reference>
        </references>
      </pivotArea>
    </format>
    <format dxfId="12019">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57"/>
          </reference>
        </references>
      </pivotArea>
    </format>
    <format dxfId="12018">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51"/>
          </reference>
        </references>
      </pivotArea>
    </format>
    <format dxfId="12017">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47"/>
          </reference>
        </references>
      </pivotArea>
    </format>
    <format dxfId="1201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48"/>
          </reference>
        </references>
      </pivotArea>
    </format>
    <format dxfId="12015">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71"/>
          </reference>
        </references>
      </pivotArea>
    </format>
    <format dxfId="1201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38"/>
          </reference>
        </references>
      </pivotArea>
    </format>
    <format dxfId="12013">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39"/>
          </reference>
        </references>
      </pivotArea>
    </format>
    <format dxfId="12012">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59"/>
          </reference>
        </references>
      </pivotArea>
    </format>
    <format dxfId="12011">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12010">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1200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38"/>
          </reference>
        </references>
      </pivotArea>
    </format>
    <format dxfId="1200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1"/>
          </reference>
        </references>
      </pivotArea>
    </format>
    <format dxfId="12007">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25"/>
          </reference>
        </references>
      </pivotArea>
    </format>
    <format dxfId="12006">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26"/>
          </reference>
        </references>
      </pivotArea>
    </format>
    <format dxfId="12005">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27"/>
          </reference>
        </references>
      </pivotArea>
    </format>
    <format dxfId="12004">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28"/>
          </reference>
        </references>
      </pivotArea>
    </format>
    <format dxfId="12003">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6"/>
          </reference>
        </references>
      </pivotArea>
    </format>
    <format dxfId="12002">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9"/>
          </reference>
        </references>
      </pivotArea>
    </format>
    <format dxfId="12001">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59"/>
          </reference>
        </references>
      </pivotArea>
    </format>
    <format dxfId="12000">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50"/>
          </reference>
        </references>
      </pivotArea>
    </format>
    <format dxfId="11999">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8"/>
          </reference>
        </references>
      </pivotArea>
    </format>
    <format dxfId="11998">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5"/>
          </reference>
        </references>
      </pivotArea>
    </format>
    <format dxfId="11997">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6"/>
          </reference>
        </references>
      </pivotArea>
    </format>
    <format dxfId="11996">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7"/>
          </reference>
        </references>
      </pivotArea>
    </format>
    <format dxfId="11995">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5"/>
          </reference>
        </references>
      </pivotArea>
    </format>
    <format dxfId="11994">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6"/>
          </reference>
        </references>
      </pivotArea>
    </format>
    <format dxfId="11993">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7"/>
          </reference>
        </references>
      </pivotArea>
    </format>
    <format dxfId="11992">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43"/>
          </reference>
        </references>
      </pivotArea>
    </format>
    <format dxfId="11991">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58"/>
          </reference>
        </references>
      </pivotArea>
    </format>
    <format dxfId="11990">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2"/>
          </reference>
        </references>
      </pivotArea>
    </format>
    <format dxfId="11989">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3"/>
          </reference>
        </references>
      </pivotArea>
    </format>
    <format dxfId="11988">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4"/>
          </reference>
        </references>
      </pivotArea>
    </format>
    <format dxfId="11987">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11986">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2"/>
          </reference>
        </references>
      </pivotArea>
    </format>
    <format dxfId="11985">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3"/>
          </reference>
        </references>
      </pivotArea>
    </format>
    <format dxfId="11984">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4"/>
          </reference>
        </references>
      </pivotArea>
    </format>
    <format dxfId="11983">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11982">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5"/>
          </reference>
        </references>
      </pivotArea>
    </format>
    <format dxfId="11981">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2"/>
          </reference>
        </references>
      </pivotArea>
    </format>
    <format dxfId="11980">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3"/>
          </reference>
        </references>
      </pivotArea>
    </format>
    <format dxfId="11979">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26"/>
          </reference>
        </references>
      </pivotArea>
    </format>
    <format dxfId="11978">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51"/>
          </reference>
        </references>
      </pivotArea>
    </format>
    <format dxfId="11977">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29"/>
          </reference>
        </references>
      </pivotArea>
    </format>
    <format dxfId="11976">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50"/>
          </reference>
        </references>
      </pivotArea>
    </format>
    <format dxfId="11975">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53"/>
          </reference>
        </references>
      </pivotArea>
    </format>
    <format dxfId="11974">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7"/>
          </reference>
        </references>
      </pivotArea>
    </format>
    <format dxfId="11973">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11972">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11971">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1197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6"/>
          </reference>
        </references>
      </pivotArea>
    </format>
    <format dxfId="11969">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47"/>
          </reference>
        </references>
      </pivotArea>
    </format>
    <format dxfId="11968">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48"/>
          </reference>
        </references>
      </pivotArea>
    </format>
    <format dxfId="11967">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45"/>
          </reference>
        </references>
      </pivotArea>
    </format>
    <format dxfId="11966">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49"/>
          </reference>
        </references>
      </pivotArea>
    </format>
    <format dxfId="11965">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35"/>
          </reference>
        </references>
      </pivotArea>
    </format>
    <format dxfId="11964">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38"/>
          </reference>
        </references>
      </pivotArea>
    </format>
    <format dxfId="11963">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39"/>
          </reference>
        </references>
      </pivotArea>
    </format>
    <format dxfId="11962">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40"/>
          </reference>
        </references>
      </pivotArea>
    </format>
    <format dxfId="11961">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29"/>
          </reference>
        </references>
      </pivotArea>
    </format>
    <format dxfId="11960">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30"/>
          </reference>
        </references>
      </pivotArea>
    </format>
    <format dxfId="11959">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31"/>
          </reference>
        </references>
      </pivotArea>
    </format>
    <format dxfId="11958">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32"/>
          </reference>
        </references>
      </pivotArea>
    </format>
    <format dxfId="11957">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62"/>
          </reference>
        </references>
      </pivotArea>
    </format>
    <format dxfId="11956">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68"/>
          </reference>
        </references>
      </pivotArea>
    </format>
    <format dxfId="11955">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69"/>
          </reference>
        </references>
      </pivotArea>
    </format>
    <format dxfId="1195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1195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11952">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11951">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36"/>
          </reference>
        </references>
      </pivotArea>
    </format>
    <format dxfId="11950">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54"/>
          </reference>
        </references>
      </pivotArea>
    </format>
    <format dxfId="11949">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52"/>
          </reference>
        </references>
      </pivotArea>
    </format>
    <format dxfId="11948">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61"/>
          </reference>
        </references>
      </pivotArea>
    </format>
    <format dxfId="1194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60"/>
          </reference>
        </references>
      </pivotArea>
    </format>
    <format dxfId="1194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62"/>
          </reference>
        </references>
      </pivotArea>
    </format>
    <format dxfId="1194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53"/>
          </reference>
        </references>
      </pivotArea>
    </format>
    <format dxfId="1194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67"/>
          </reference>
        </references>
      </pivotArea>
    </format>
    <format dxfId="1194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66"/>
          </reference>
        </references>
      </pivotArea>
    </format>
    <format dxfId="1194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65"/>
          </reference>
        </references>
      </pivotArea>
    </format>
    <format dxfId="1194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64"/>
          </reference>
        </references>
      </pivotArea>
    </format>
    <format dxfId="11940">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63"/>
          </reference>
        </references>
      </pivotArea>
    </format>
    <format dxfId="11939">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6"/>
          </reference>
        </references>
      </pivotArea>
    </format>
    <format dxfId="11938">
      <pivotArea field="82" type="button" dataOnly="0" labelOnly="1" outline="0" axis="axisRow" fieldPosition="9"/>
    </format>
    <format dxfId="11937">
      <pivotArea field="87" type="button" dataOnly="0" labelOnly="1" outline="0" axis="axisRow" fieldPosition="12"/>
    </format>
    <format dxfId="11936">
      <pivotArea field="88" type="button" dataOnly="0" labelOnly="1" outline="0" axis="axisRow" fieldPosition="13"/>
    </format>
    <format dxfId="11935">
      <pivotArea field="72" type="button" dataOnly="0" labelOnly="1" outline="0" axis="axisRow" fieldPosition="5"/>
    </format>
    <format dxfId="11934">
      <pivotArea field="13" type="button" dataOnly="0" labelOnly="1" outline="0" axis="axisRow" fieldPosition="6"/>
    </format>
    <format dxfId="11933">
      <pivotArea field="81" type="button" dataOnly="0" labelOnly="1" outline="0" axis="axisRow" fieldPosition="8"/>
    </format>
    <format dxfId="11932">
      <pivotArea field="82" type="button" dataOnly="0" labelOnly="1" outline="0" axis="axisRow" fieldPosition="9"/>
    </format>
    <format dxfId="11931">
      <pivotArea field="87" type="button" dataOnly="0" labelOnly="1" outline="0" axis="axisRow" fieldPosition="12"/>
    </format>
    <format dxfId="11930">
      <pivotArea field="88" type="button" dataOnly="0" labelOnly="1" outline="0" axis="axisRow" fieldPosition="13"/>
    </format>
    <format dxfId="11929">
      <pivotArea field="72" type="button" dataOnly="0" labelOnly="1" outline="0" axis="axisRow" fieldPosition="5"/>
    </format>
    <format dxfId="11928">
      <pivotArea field="13" type="button" dataOnly="0" labelOnly="1" outline="0" axis="axisRow" fieldPosition="6"/>
    </format>
    <format dxfId="11927">
      <pivotArea field="81" type="button" dataOnly="0" labelOnly="1" outline="0" axis="axisRow" fieldPosition="8"/>
    </format>
    <format dxfId="11926">
      <pivotArea field="82" type="button" dataOnly="0" labelOnly="1" outline="0" axis="axisRow" fieldPosition="9"/>
    </format>
    <format dxfId="11925">
      <pivotArea field="87" type="button" dataOnly="0" labelOnly="1" outline="0" axis="axisRow" fieldPosition="12"/>
    </format>
    <format dxfId="11924">
      <pivotArea field="88" type="button" dataOnly="0" labelOnly="1" outline="0" axis="axisRow" fieldPosition="13"/>
    </format>
    <format dxfId="11923">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11922">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11921">
      <pivotArea field="72" type="button" dataOnly="0" labelOnly="1" outline="0" axis="axisRow" fieldPosition="5"/>
    </format>
    <format dxfId="11920">
      <pivotArea field="13" type="button" dataOnly="0" labelOnly="1" outline="0" axis="axisRow" fieldPosition="6"/>
    </format>
    <format dxfId="11919">
      <pivotArea field="81" type="button" dataOnly="0" labelOnly="1" outline="0" axis="axisRow" fieldPosition="8"/>
    </format>
    <format dxfId="11918">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92"/>
          </reference>
        </references>
      </pivotArea>
    </format>
    <format dxfId="11917">
      <pivotArea field="82" type="button" dataOnly="0" labelOnly="1" outline="0" axis="axisRow" fieldPosition="9"/>
    </format>
    <format dxfId="11916">
      <pivotArea field="87" type="button" dataOnly="0" labelOnly="1" outline="0" axis="axisRow" fieldPosition="12"/>
    </format>
    <format dxfId="11915">
      <pivotArea field="88" type="button" dataOnly="0" labelOnly="1" outline="0" axis="axisRow" fieldPosition="13"/>
    </format>
    <format dxfId="11914">
      <pivotArea field="72" type="button" dataOnly="0" labelOnly="1" outline="0" axis="axisRow" fieldPosition="5"/>
    </format>
    <format dxfId="11913">
      <pivotArea field="13" type="button" dataOnly="0" labelOnly="1" outline="0" axis="axisRow" fieldPosition="6"/>
    </format>
    <format dxfId="11912">
      <pivotArea field="81" type="button" dataOnly="0" labelOnly="1" outline="0" axis="axisRow" fieldPosition="8"/>
    </format>
    <format dxfId="11911">
      <pivotArea field="82" type="button" dataOnly="0" labelOnly="1" outline="0" axis="axisRow" fieldPosition="9"/>
    </format>
    <format dxfId="11910">
      <pivotArea field="87" type="button" dataOnly="0" labelOnly="1" outline="0" axis="axisRow" fieldPosition="12"/>
    </format>
    <format dxfId="11909">
      <pivotArea field="88" type="button" dataOnly="0" labelOnly="1" outline="0" axis="axisRow" fieldPosition="13"/>
    </format>
    <format dxfId="11908">
      <pivotArea field="72" type="button" dataOnly="0" labelOnly="1" outline="0" axis="axisRow" fieldPosition="5"/>
    </format>
    <format dxfId="11907">
      <pivotArea field="13" type="button" dataOnly="0" labelOnly="1" outline="0" axis="axisRow" fieldPosition="6"/>
    </format>
    <format dxfId="11906">
      <pivotArea field="81" type="button" dataOnly="0" labelOnly="1" outline="0" axis="axisRow" fieldPosition="8"/>
    </format>
    <format dxfId="11905">
      <pivotArea field="82" type="button" dataOnly="0" labelOnly="1" outline="0" axis="axisRow" fieldPosition="9"/>
    </format>
    <format dxfId="11904">
      <pivotArea field="87" type="button" dataOnly="0" labelOnly="1" outline="0" axis="axisRow" fieldPosition="12"/>
    </format>
    <format dxfId="11903">
      <pivotArea field="88" type="button" dataOnly="0" labelOnly="1" outline="0" axis="axisRow" fieldPosition="13"/>
    </format>
    <format dxfId="11902">
      <pivotArea dataOnly="0" labelOnly="1" outline="0" fieldPosition="0">
        <references count="3">
          <reference field="1" count="1" selected="0">
            <x v="35"/>
          </reference>
          <reference field="2" count="1" selected="0">
            <x v="10"/>
          </reference>
          <reference field="5" count="1">
            <x v="5"/>
          </reference>
        </references>
      </pivotArea>
    </format>
    <format dxfId="11901">
      <pivotArea dataOnly="0" labelOnly="1" outline="0" fieldPosition="0">
        <references count="1">
          <reference field="1" count="0"/>
        </references>
      </pivotArea>
    </format>
    <format dxfId="11900">
      <pivotArea dataOnly="0" labelOnly="1" outline="0" fieldPosition="0">
        <references count="2">
          <reference field="1" count="1" selected="0">
            <x v="35"/>
          </reference>
          <reference field="2" count="3">
            <x v="10"/>
            <x v="11"/>
            <x v="13"/>
          </reference>
        </references>
      </pivotArea>
    </format>
    <format dxfId="11899">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1898">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1897">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1896">
      <pivotArea field="72" type="button" dataOnly="0" labelOnly="1" outline="0" axis="axisRow" fieldPosition="5"/>
    </format>
    <format dxfId="11895">
      <pivotArea field="13" type="button" dataOnly="0" labelOnly="1" outline="0" axis="axisRow" fieldPosition="6"/>
    </format>
    <format dxfId="11894">
      <pivotArea field="81" type="button" dataOnly="0" labelOnly="1" outline="0" axis="axisRow" fieldPosition="8"/>
    </format>
    <format dxfId="11893">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1892">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1891">
      <pivotArea field="82" type="button" dataOnly="0" labelOnly="1" outline="0" axis="axisRow" fieldPosition="9"/>
    </format>
    <format dxfId="11890">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1889">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1888">
      <pivotArea field="87" type="button" dataOnly="0" labelOnly="1" outline="0" axis="axisRow" fieldPosition="12"/>
    </format>
    <format dxfId="11887">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1886">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1885">
      <pivotArea field="88" type="button" dataOnly="0" labelOnly="1" outline="0" axis="axisRow" fieldPosition="13"/>
    </format>
    <format dxfId="11884">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1883">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1882">
      <pivotArea field="72" type="button" dataOnly="0" labelOnly="1" outline="0" axis="axisRow" fieldPosition="5"/>
    </format>
    <format dxfId="11881">
      <pivotArea field="13" type="button" dataOnly="0" labelOnly="1" outline="0" axis="axisRow" fieldPosition="6"/>
    </format>
    <format dxfId="11880">
      <pivotArea field="81" type="button" dataOnly="0" labelOnly="1" outline="0" axis="axisRow" fieldPosition="8"/>
    </format>
    <format dxfId="11879">
      <pivotArea field="82" type="button" dataOnly="0" labelOnly="1" outline="0" axis="axisRow" fieldPosition="9"/>
    </format>
    <format dxfId="11878">
      <pivotArea field="87" type="button" dataOnly="0" labelOnly="1" outline="0" axis="axisRow" fieldPosition="12"/>
    </format>
    <format dxfId="11877">
      <pivotArea field="88" type="button" dataOnly="0" labelOnly="1" outline="0" axis="axisRow" fieldPosition="13"/>
    </format>
    <format dxfId="11876">
      <pivotArea field="72" type="button" dataOnly="0" labelOnly="1" outline="0" axis="axisRow" fieldPosition="5"/>
    </format>
    <format dxfId="11875">
      <pivotArea field="13" type="button" dataOnly="0" labelOnly="1" outline="0" axis="axisRow" fieldPosition="6"/>
    </format>
    <format dxfId="11874">
      <pivotArea field="81" type="button" dataOnly="0" labelOnly="1" outline="0" axis="axisRow" fieldPosition="8"/>
    </format>
    <format dxfId="11873">
      <pivotArea field="82" type="button" dataOnly="0" labelOnly="1" outline="0" axis="axisRow" fieldPosition="9"/>
    </format>
    <format dxfId="11872">
      <pivotArea field="87" type="button" dataOnly="0" labelOnly="1" outline="0" axis="axisRow" fieldPosition="12"/>
    </format>
    <format dxfId="11871">
      <pivotArea field="88" type="button" dataOnly="0" labelOnly="1" outline="0" axis="axisRow" fieldPosition="13"/>
    </format>
    <format dxfId="11870">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2"/>
            <x v="44"/>
            <x v="45"/>
            <x v="46"/>
            <x v="47"/>
            <x v="48"/>
          </reference>
        </references>
      </pivotArea>
    </format>
    <format dxfId="11869">
      <pivotArea dataOnly="0" labelOnly="1" outline="0" fieldPosition="0">
        <references count="1">
          <reference field="1" count="2">
            <x v="49"/>
            <x v="50"/>
          </reference>
        </references>
      </pivotArea>
    </format>
    <format dxfId="11868">
      <pivotArea dataOnly="0" labelOnly="1" outline="0" fieldPosition="0">
        <references count="3">
          <reference field="1" count="1" selected="0">
            <x v="0"/>
          </reference>
          <reference field="2" count="1" selected="0">
            <x v="6"/>
          </reference>
          <reference field="5" count="6">
            <x v="1"/>
            <x v="3"/>
            <x v="5"/>
            <x v="6"/>
            <x v="7"/>
            <x v="12"/>
          </reference>
        </references>
      </pivotArea>
    </format>
    <format dxfId="11867">
      <pivotArea dataOnly="0" labelOnly="1" outline="0" fieldPosition="0">
        <references count="3">
          <reference field="1" count="1" selected="0">
            <x v="0"/>
          </reference>
          <reference field="2" count="1" selected="0">
            <x v="10"/>
          </reference>
          <reference field="5" count="5">
            <x v="2"/>
            <x v="3"/>
            <x v="5"/>
            <x v="6"/>
            <x v="12"/>
          </reference>
        </references>
      </pivotArea>
    </format>
    <format dxfId="11866">
      <pivotArea dataOnly="0" labelOnly="1" outline="0" fieldPosition="0">
        <references count="3">
          <reference field="1" count="1" selected="0">
            <x v="1"/>
          </reference>
          <reference field="2" count="1" selected="0">
            <x v="3"/>
          </reference>
          <reference field="5" count="4">
            <x v="1"/>
            <x v="3"/>
            <x v="6"/>
            <x v="12"/>
          </reference>
        </references>
      </pivotArea>
    </format>
    <format dxfId="11865">
      <pivotArea dataOnly="0" labelOnly="1" outline="0" fieldPosition="0">
        <references count="3">
          <reference field="1" count="1" selected="0">
            <x v="2"/>
          </reference>
          <reference field="2" count="1" selected="0">
            <x v="3"/>
          </reference>
          <reference field="5" count="4">
            <x v="1"/>
            <x v="2"/>
            <x v="3"/>
            <x v="6"/>
          </reference>
        </references>
      </pivotArea>
    </format>
    <format dxfId="11864">
      <pivotArea dataOnly="0" labelOnly="1" outline="0" fieldPosition="0">
        <references count="3">
          <reference field="1" count="1" selected="0">
            <x v="3"/>
          </reference>
          <reference field="2" count="1" selected="0">
            <x v="3"/>
          </reference>
          <reference field="5" count="4">
            <x v="1"/>
            <x v="2"/>
            <x v="3"/>
            <x v="6"/>
          </reference>
        </references>
      </pivotArea>
    </format>
    <format dxfId="11863">
      <pivotArea dataOnly="0" labelOnly="1" outline="0" fieldPosition="0">
        <references count="3">
          <reference field="1" count="1" selected="0">
            <x v="4"/>
          </reference>
          <reference field="2" count="1" selected="0">
            <x v="3"/>
          </reference>
          <reference field="5" count="3">
            <x v="1"/>
            <x v="3"/>
            <x v="4"/>
          </reference>
        </references>
      </pivotArea>
    </format>
    <format dxfId="11862">
      <pivotArea dataOnly="0" labelOnly="1" outline="0" fieldPosition="0">
        <references count="3">
          <reference field="1" count="1" selected="0">
            <x v="5"/>
          </reference>
          <reference field="2" count="1" selected="0">
            <x v="8"/>
          </reference>
          <reference field="5" count="1">
            <x v="6"/>
          </reference>
        </references>
      </pivotArea>
    </format>
    <format dxfId="11861">
      <pivotArea dataOnly="0" labelOnly="1" outline="0" fieldPosition="0">
        <references count="3">
          <reference field="1" count="1" selected="0">
            <x v="6"/>
          </reference>
          <reference field="2" count="1" selected="0">
            <x v="5"/>
          </reference>
          <reference field="5" count="1">
            <x v="7"/>
          </reference>
        </references>
      </pivotArea>
    </format>
    <format dxfId="11860">
      <pivotArea dataOnly="0" labelOnly="1" outline="0" fieldPosition="0">
        <references count="3">
          <reference field="1" count="1" selected="0">
            <x v="7"/>
          </reference>
          <reference field="2" count="1" selected="0">
            <x v="4"/>
          </reference>
          <reference field="5" count="1">
            <x v="5"/>
          </reference>
        </references>
      </pivotArea>
    </format>
    <format dxfId="11859">
      <pivotArea dataOnly="0" labelOnly="1" outline="0" fieldPosition="0">
        <references count="3">
          <reference field="1" count="1" selected="0">
            <x v="7"/>
          </reference>
          <reference field="2" count="1" selected="0">
            <x v="5"/>
          </reference>
          <reference field="5" count="2">
            <x v="0"/>
            <x v="7"/>
          </reference>
        </references>
      </pivotArea>
    </format>
    <format dxfId="11858">
      <pivotArea dataOnly="0" labelOnly="1" outline="0" fieldPosition="0">
        <references count="3">
          <reference field="1" count="1" selected="0">
            <x v="8"/>
          </reference>
          <reference field="2" count="1" selected="0">
            <x v="3"/>
          </reference>
          <reference field="5" count="1">
            <x v="3"/>
          </reference>
        </references>
      </pivotArea>
    </format>
    <format dxfId="11857">
      <pivotArea dataOnly="0" labelOnly="1" outline="0" fieldPosition="0">
        <references count="3">
          <reference field="1" count="1" selected="0">
            <x v="9"/>
          </reference>
          <reference field="2" count="1" selected="0">
            <x v="5"/>
          </reference>
          <reference field="5" count="4">
            <x v="1"/>
            <x v="2"/>
            <x v="3"/>
            <x v="6"/>
          </reference>
        </references>
      </pivotArea>
    </format>
    <format dxfId="11856">
      <pivotArea dataOnly="0" labelOnly="1" outline="0" fieldPosition="0">
        <references count="3">
          <reference field="1" count="1" selected="0">
            <x v="10"/>
          </reference>
          <reference field="2" count="1" selected="0">
            <x v="10"/>
          </reference>
          <reference field="5" count="1">
            <x v="5"/>
          </reference>
        </references>
      </pivotArea>
    </format>
    <format dxfId="11855">
      <pivotArea dataOnly="0" labelOnly="1" outline="0" fieldPosition="0">
        <references count="3">
          <reference field="1" count="1" selected="0">
            <x v="12"/>
          </reference>
          <reference field="2" count="1" selected="0">
            <x v="5"/>
          </reference>
          <reference field="5" count="3">
            <x v="1"/>
            <x v="2"/>
            <x v="3"/>
          </reference>
        </references>
      </pivotArea>
    </format>
    <format dxfId="11854">
      <pivotArea dataOnly="0" labelOnly="1" outline="0" fieldPosition="0">
        <references count="3">
          <reference field="1" count="1" selected="0">
            <x v="13"/>
          </reference>
          <reference field="2" count="1" selected="0">
            <x v="10"/>
          </reference>
          <reference field="5" count="2">
            <x v="0"/>
            <x v="5"/>
          </reference>
        </references>
      </pivotArea>
    </format>
    <format dxfId="11853">
      <pivotArea dataOnly="0" labelOnly="1" outline="0" fieldPosition="0">
        <references count="3">
          <reference field="1" count="1" selected="0">
            <x v="15"/>
          </reference>
          <reference field="2" count="1" selected="0">
            <x v="5"/>
          </reference>
          <reference field="5" count="3">
            <x v="2"/>
            <x v="3"/>
            <x v="4"/>
          </reference>
        </references>
      </pivotArea>
    </format>
    <format dxfId="11852">
      <pivotArea dataOnly="0" labelOnly="1" outline="0" fieldPosition="0">
        <references count="3">
          <reference field="1" count="1" selected="0">
            <x v="16"/>
          </reference>
          <reference field="2" count="1" selected="0">
            <x v="5"/>
          </reference>
          <reference field="5" count="3">
            <x v="2"/>
            <x v="3"/>
            <x v="4"/>
          </reference>
        </references>
      </pivotArea>
    </format>
    <format dxfId="11851">
      <pivotArea dataOnly="0" labelOnly="1" outline="0" fieldPosition="0">
        <references count="3">
          <reference field="1" count="1" selected="0">
            <x v="17"/>
          </reference>
          <reference field="2" count="1" selected="0">
            <x v="4"/>
          </reference>
          <reference field="5" count="1">
            <x v="5"/>
          </reference>
        </references>
      </pivotArea>
    </format>
    <format dxfId="11850">
      <pivotArea dataOnly="0" labelOnly="1" outline="0" fieldPosition="0">
        <references count="3">
          <reference field="1" count="1" selected="0">
            <x v="17"/>
          </reference>
          <reference field="2" count="1" selected="0">
            <x v="5"/>
          </reference>
          <reference field="5" count="2">
            <x v="6"/>
            <x v="7"/>
          </reference>
        </references>
      </pivotArea>
    </format>
    <format dxfId="11849">
      <pivotArea dataOnly="0" labelOnly="1" outline="0" fieldPosition="0">
        <references count="3">
          <reference field="1" count="1" selected="0">
            <x v="18"/>
          </reference>
          <reference field="2" count="1" selected="0">
            <x v="3"/>
          </reference>
          <reference field="5" count="2">
            <x v="2"/>
            <x v="7"/>
          </reference>
        </references>
      </pivotArea>
    </format>
    <format dxfId="11848">
      <pivotArea dataOnly="0" labelOnly="1" outline="0" fieldPosition="0">
        <references count="3">
          <reference field="1" count="1" selected="0">
            <x v="19"/>
          </reference>
          <reference field="2" count="1" selected="0">
            <x v="3"/>
          </reference>
          <reference field="5" count="1">
            <x v="1"/>
          </reference>
        </references>
      </pivotArea>
    </format>
    <format dxfId="11847">
      <pivotArea dataOnly="0" labelOnly="1" outline="0" fieldPosition="0">
        <references count="3">
          <reference field="1" count="1" selected="0">
            <x v="19"/>
          </reference>
          <reference field="2" count="1" selected="0">
            <x v="6"/>
          </reference>
          <reference field="5" count="2">
            <x v="5"/>
            <x v="7"/>
          </reference>
        </references>
      </pivotArea>
    </format>
    <format dxfId="11846">
      <pivotArea dataOnly="0" labelOnly="1" outline="0" fieldPosition="0">
        <references count="3">
          <reference field="1" count="1" selected="0">
            <x v="19"/>
          </reference>
          <reference field="2" count="1" selected="0">
            <x v="10"/>
          </reference>
          <reference field="5" count="2">
            <x v="4"/>
            <x v="7"/>
          </reference>
        </references>
      </pivotArea>
    </format>
    <format dxfId="11845">
      <pivotArea dataOnly="0" labelOnly="1" outline="0" fieldPosition="0">
        <references count="3">
          <reference field="1" count="1" selected="0">
            <x v="21"/>
          </reference>
          <reference field="2" count="1" selected="0">
            <x v="5"/>
          </reference>
          <reference field="5" count="2">
            <x v="2"/>
            <x v="5"/>
          </reference>
        </references>
      </pivotArea>
    </format>
    <format dxfId="11844">
      <pivotArea dataOnly="0" labelOnly="1" outline="0" fieldPosition="0">
        <references count="3">
          <reference field="1" count="1" selected="0">
            <x v="21"/>
          </reference>
          <reference field="2" count="1" selected="0">
            <x v="6"/>
          </reference>
          <reference field="5" count="1">
            <x v="7"/>
          </reference>
        </references>
      </pivotArea>
    </format>
    <format dxfId="11843">
      <pivotArea dataOnly="0" labelOnly="1" outline="0" fieldPosition="0">
        <references count="3">
          <reference field="1" count="1" selected="0">
            <x v="25"/>
          </reference>
          <reference field="2" count="1" selected="0">
            <x v="10"/>
          </reference>
          <reference field="5" count="1">
            <x v="5"/>
          </reference>
        </references>
      </pivotArea>
    </format>
    <format dxfId="11842">
      <pivotArea dataOnly="0" labelOnly="1" outline="0" fieldPosition="0">
        <references count="3">
          <reference field="1" count="1" selected="0">
            <x v="27"/>
          </reference>
          <reference field="2" count="1" selected="0">
            <x v="10"/>
          </reference>
          <reference field="5" count="1">
            <x v="4"/>
          </reference>
        </references>
      </pivotArea>
    </format>
    <format dxfId="11841">
      <pivotArea dataOnly="0" labelOnly="1" outline="0" fieldPosition="0">
        <references count="3">
          <reference field="1" count="1" selected="0">
            <x v="28"/>
          </reference>
          <reference field="2" count="1" selected="0">
            <x v="5"/>
          </reference>
          <reference field="5" count="1">
            <x v="2"/>
          </reference>
        </references>
      </pivotArea>
    </format>
    <format dxfId="11840">
      <pivotArea dataOnly="0" labelOnly="1" outline="0" fieldPosition="0">
        <references count="3">
          <reference field="1" count="1" selected="0">
            <x v="28"/>
          </reference>
          <reference field="2" count="1" selected="0">
            <x v="7"/>
          </reference>
          <reference field="5" count="1">
            <x v="7"/>
          </reference>
        </references>
      </pivotArea>
    </format>
    <format dxfId="11839">
      <pivotArea dataOnly="0" labelOnly="1" outline="0" fieldPosition="0">
        <references count="3">
          <reference field="1" count="1" selected="0">
            <x v="29"/>
          </reference>
          <reference field="2" count="1" selected="0">
            <x v="2"/>
          </reference>
          <reference field="5" count="5">
            <x v="0"/>
            <x v="5"/>
            <x v="7"/>
            <x v="8"/>
            <x v="12"/>
          </reference>
        </references>
      </pivotArea>
    </format>
    <format dxfId="11838">
      <pivotArea dataOnly="0" labelOnly="1" outline="0" fieldPosition="0">
        <references count="3">
          <reference field="1" count="1" selected="0">
            <x v="29"/>
          </reference>
          <reference field="2" count="1" selected="0">
            <x v="16"/>
          </reference>
          <reference field="5" count="2">
            <x v="0"/>
            <x v="12"/>
          </reference>
        </references>
      </pivotArea>
    </format>
    <format dxfId="11837">
      <pivotArea dataOnly="0" labelOnly="1" outline="0" fieldPosition="0">
        <references count="3">
          <reference field="1" count="1" selected="0">
            <x v="30"/>
          </reference>
          <reference field="2" count="1" selected="0">
            <x v="0"/>
          </reference>
          <reference field="5" count="3">
            <x v="8"/>
            <x v="10"/>
            <x v="11"/>
          </reference>
        </references>
      </pivotArea>
    </format>
    <format dxfId="11836">
      <pivotArea dataOnly="0" labelOnly="1" outline="0" fieldPosition="0">
        <references count="3">
          <reference field="1" count="1" selected="0">
            <x v="30"/>
          </reference>
          <reference field="2" count="1" selected="0">
            <x v="14"/>
          </reference>
          <reference field="5" count="2">
            <x v="10"/>
            <x v="11"/>
          </reference>
        </references>
      </pivotArea>
    </format>
    <format dxfId="11835">
      <pivotArea dataOnly="0" labelOnly="1" outline="0" fieldPosition="0">
        <references count="3">
          <reference field="1" count="1" selected="0">
            <x v="31"/>
          </reference>
          <reference field="2" count="1" selected="0">
            <x v="0"/>
          </reference>
          <reference field="5" count="1">
            <x v="8"/>
          </reference>
        </references>
      </pivotArea>
    </format>
    <format dxfId="11834">
      <pivotArea dataOnly="0" labelOnly="1" outline="0" fieldPosition="0">
        <references count="3">
          <reference field="1" count="1" selected="0">
            <x v="32"/>
          </reference>
          <reference field="2" count="1" selected="0">
            <x v="0"/>
          </reference>
          <reference field="5" count="2">
            <x v="11"/>
            <x v="12"/>
          </reference>
        </references>
      </pivotArea>
    </format>
    <format dxfId="11833">
      <pivotArea dataOnly="0" labelOnly="1" outline="0" fieldPosition="0">
        <references count="3">
          <reference field="1" count="1" selected="0">
            <x v="32"/>
          </reference>
          <reference field="2" count="1" selected="0">
            <x v="14"/>
          </reference>
          <reference field="5" count="1">
            <x v="11"/>
          </reference>
        </references>
      </pivotArea>
    </format>
    <format dxfId="11832">
      <pivotArea dataOnly="0" labelOnly="1" outline="0" fieldPosition="0">
        <references count="3">
          <reference field="1" count="1" selected="0">
            <x v="33"/>
          </reference>
          <reference field="2" count="1" selected="0">
            <x v="1"/>
          </reference>
          <reference field="5" count="1">
            <x v="8"/>
          </reference>
        </references>
      </pivotArea>
    </format>
    <format dxfId="11831">
      <pivotArea dataOnly="0" labelOnly="1" outline="0" fieldPosition="0">
        <references count="3">
          <reference field="1" count="1" selected="0">
            <x v="35"/>
          </reference>
          <reference field="2" count="1" selected="0">
            <x v="13"/>
          </reference>
          <reference field="5" count="1">
            <x v="9"/>
          </reference>
        </references>
      </pivotArea>
    </format>
    <format dxfId="11830">
      <pivotArea dataOnly="0" labelOnly="1" outline="0" fieldPosition="0">
        <references count="3">
          <reference field="1" count="1" selected="0">
            <x v="36"/>
          </reference>
          <reference field="2" count="1" selected="0">
            <x v="0"/>
          </reference>
          <reference field="5" count="1">
            <x v="10"/>
          </reference>
        </references>
      </pivotArea>
    </format>
    <format dxfId="11829">
      <pivotArea dataOnly="0" labelOnly="1" outline="0" fieldPosition="0">
        <references count="3">
          <reference field="1" count="1" selected="0">
            <x v="37"/>
          </reference>
          <reference field="2" count="1" selected="0">
            <x v="10"/>
          </reference>
          <reference field="5" count="2">
            <x v="0"/>
            <x v="7"/>
          </reference>
        </references>
      </pivotArea>
    </format>
    <format dxfId="11828">
      <pivotArea dataOnly="0" labelOnly="1" outline="0" fieldPosition="0">
        <references count="3">
          <reference field="1" count="1" selected="0">
            <x v="38"/>
          </reference>
          <reference field="2" count="1" selected="0">
            <x v="3"/>
          </reference>
          <reference field="5" count="1">
            <x v="12"/>
          </reference>
        </references>
      </pivotArea>
    </format>
    <format dxfId="11827">
      <pivotArea dataOnly="0" labelOnly="1" outline="0" fieldPosition="0">
        <references count="3">
          <reference field="1" count="1" selected="0">
            <x v="38"/>
          </reference>
          <reference field="2" count="1" selected="0">
            <x v="5"/>
          </reference>
          <reference field="5" count="2">
            <x v="4"/>
            <x v="7"/>
          </reference>
        </references>
      </pivotArea>
    </format>
    <format dxfId="11826">
      <pivotArea dataOnly="0" labelOnly="1" outline="0" fieldPosition="0">
        <references count="3">
          <reference field="1" count="1" selected="0">
            <x v="38"/>
          </reference>
          <reference field="2" count="1" selected="0">
            <x v="6"/>
          </reference>
          <reference field="5" count="1">
            <x v="12"/>
          </reference>
        </references>
      </pivotArea>
    </format>
    <format dxfId="11825">
      <pivotArea dataOnly="0" labelOnly="1" outline="0" fieldPosition="0">
        <references count="3">
          <reference field="1" count="1" selected="0">
            <x v="39"/>
          </reference>
          <reference field="2" count="1" selected="0">
            <x v="6"/>
          </reference>
          <reference field="5" count="1">
            <x v="7"/>
          </reference>
        </references>
      </pivotArea>
    </format>
    <format dxfId="11824">
      <pivotArea dataOnly="0" labelOnly="1" outline="0" fieldPosition="0">
        <references count="3">
          <reference field="1" count="1" selected="0">
            <x v="41"/>
          </reference>
          <reference field="2" count="1" selected="0">
            <x v="0"/>
          </reference>
          <reference field="5" count="1">
            <x v="8"/>
          </reference>
        </references>
      </pivotArea>
    </format>
    <format dxfId="11823">
      <pivotArea dataOnly="0" labelOnly="1" outline="0" fieldPosition="0">
        <references count="3">
          <reference field="1" count="1" selected="0">
            <x v="42"/>
          </reference>
          <reference field="2" count="1" selected="0">
            <x v="10"/>
          </reference>
          <reference field="5" count="1">
            <x v="6"/>
          </reference>
        </references>
      </pivotArea>
    </format>
    <format dxfId="11822">
      <pivotArea dataOnly="0" labelOnly="1" outline="0" fieldPosition="0">
        <references count="3">
          <reference field="1" count="1" selected="0">
            <x v="45"/>
          </reference>
          <reference field="2" count="1" selected="0">
            <x v="6"/>
          </reference>
          <reference field="5" count="1">
            <x v="1"/>
          </reference>
        </references>
      </pivotArea>
    </format>
    <format dxfId="11821">
      <pivotArea dataOnly="0" labelOnly="1" outline="0" fieldPosition="0">
        <references count="3">
          <reference field="1" count="1" selected="0">
            <x v="47"/>
          </reference>
          <reference field="2" count="1" selected="0">
            <x v="6"/>
          </reference>
          <reference field="5" count="1">
            <x v="2"/>
          </reference>
        </references>
      </pivotArea>
    </format>
    <format dxfId="11820">
      <pivotArea dataOnly="0" labelOnly="1" outline="0" fieldPosition="0">
        <references count="3">
          <reference field="1" count="1" selected="0">
            <x v="49"/>
          </reference>
          <reference field="2" count="1" selected="0">
            <x v="10"/>
          </reference>
          <reference field="5" count="1">
            <x v="5"/>
          </reference>
        </references>
      </pivotArea>
    </format>
    <format dxfId="11819">
      <pivotArea dataOnly="0" labelOnly="1" outline="0" fieldPosition="0">
        <references count="2">
          <reference field="1" count="1" selected="0">
            <x v="0"/>
          </reference>
          <reference field="2" count="2">
            <x v="6"/>
            <x v="10"/>
          </reference>
        </references>
      </pivotArea>
    </format>
    <format dxfId="11818">
      <pivotArea dataOnly="0" labelOnly="1" outline="0" fieldPosition="0">
        <references count="2">
          <reference field="1" count="1" selected="0">
            <x v="1"/>
          </reference>
          <reference field="2" count="1">
            <x v="3"/>
          </reference>
        </references>
      </pivotArea>
    </format>
    <format dxfId="11817">
      <pivotArea dataOnly="0" labelOnly="1" outline="0" fieldPosition="0">
        <references count="2">
          <reference field="1" count="1" selected="0">
            <x v="5"/>
          </reference>
          <reference field="2" count="1">
            <x v="8"/>
          </reference>
        </references>
      </pivotArea>
    </format>
    <format dxfId="11816">
      <pivotArea dataOnly="0" labelOnly="1" outline="0" fieldPosition="0">
        <references count="2">
          <reference field="1" count="1" selected="0">
            <x v="6"/>
          </reference>
          <reference field="2" count="1">
            <x v="5"/>
          </reference>
        </references>
      </pivotArea>
    </format>
    <format dxfId="11815">
      <pivotArea dataOnly="0" labelOnly="1" outline="0" fieldPosition="0">
        <references count="2">
          <reference field="1" count="1" selected="0">
            <x v="7"/>
          </reference>
          <reference field="2" count="2">
            <x v="4"/>
            <x v="5"/>
          </reference>
        </references>
      </pivotArea>
    </format>
    <format dxfId="11814">
      <pivotArea dataOnly="0" labelOnly="1" outline="0" fieldPosition="0">
        <references count="2">
          <reference field="1" count="1" selected="0">
            <x v="8"/>
          </reference>
          <reference field="2" count="1">
            <x v="3"/>
          </reference>
        </references>
      </pivotArea>
    </format>
    <format dxfId="11813">
      <pivotArea dataOnly="0" labelOnly="1" outline="0" fieldPosition="0">
        <references count="2">
          <reference field="1" count="1" selected="0">
            <x v="9"/>
          </reference>
          <reference field="2" count="1">
            <x v="5"/>
          </reference>
        </references>
      </pivotArea>
    </format>
    <format dxfId="11812">
      <pivotArea dataOnly="0" labelOnly="1" outline="0" fieldPosition="0">
        <references count="2">
          <reference field="1" count="1" selected="0">
            <x v="10"/>
          </reference>
          <reference field="2" count="1">
            <x v="10"/>
          </reference>
        </references>
      </pivotArea>
    </format>
    <format dxfId="11811">
      <pivotArea dataOnly="0" labelOnly="1" outline="0" fieldPosition="0">
        <references count="2">
          <reference field="1" count="1" selected="0">
            <x v="12"/>
          </reference>
          <reference field="2" count="1">
            <x v="5"/>
          </reference>
        </references>
      </pivotArea>
    </format>
    <format dxfId="11810">
      <pivotArea dataOnly="0" labelOnly="1" outline="0" fieldPosition="0">
        <references count="2">
          <reference field="1" count="1" selected="0">
            <x v="13"/>
          </reference>
          <reference field="2" count="1">
            <x v="10"/>
          </reference>
        </references>
      </pivotArea>
    </format>
    <format dxfId="11809">
      <pivotArea dataOnly="0" labelOnly="1" outline="0" fieldPosition="0">
        <references count="2">
          <reference field="1" count="1" selected="0">
            <x v="15"/>
          </reference>
          <reference field="2" count="1">
            <x v="5"/>
          </reference>
        </references>
      </pivotArea>
    </format>
    <format dxfId="11808">
      <pivotArea dataOnly="0" labelOnly="1" outline="0" fieldPosition="0">
        <references count="2">
          <reference field="1" count="1" selected="0">
            <x v="17"/>
          </reference>
          <reference field="2" count="2">
            <x v="4"/>
            <x v="5"/>
          </reference>
        </references>
      </pivotArea>
    </format>
    <format dxfId="11807">
      <pivotArea dataOnly="0" labelOnly="1" outline="0" fieldPosition="0">
        <references count="2">
          <reference field="1" count="1" selected="0">
            <x v="18"/>
          </reference>
          <reference field="2" count="2">
            <x v="3"/>
            <x v="6"/>
          </reference>
        </references>
      </pivotArea>
    </format>
    <format dxfId="11806">
      <pivotArea dataOnly="0" labelOnly="1" outline="0" fieldPosition="0">
        <references count="2">
          <reference field="1" count="1" selected="0">
            <x v="19"/>
          </reference>
          <reference field="2" count="3">
            <x v="3"/>
            <x v="6"/>
            <x v="10"/>
          </reference>
        </references>
      </pivotArea>
    </format>
    <format dxfId="11805">
      <pivotArea dataOnly="0" labelOnly="1" outline="0" fieldPosition="0">
        <references count="2">
          <reference field="1" count="1" selected="0">
            <x v="21"/>
          </reference>
          <reference field="2" count="2">
            <x v="5"/>
            <x v="6"/>
          </reference>
        </references>
      </pivotArea>
    </format>
    <format dxfId="11804">
      <pivotArea dataOnly="0" labelOnly="1" outline="0" fieldPosition="0">
        <references count="2">
          <reference field="1" count="1" selected="0">
            <x v="22"/>
          </reference>
          <reference field="2" count="1">
            <x v="8"/>
          </reference>
        </references>
      </pivotArea>
    </format>
    <format dxfId="11803">
      <pivotArea dataOnly="0" labelOnly="1" outline="0" fieldPosition="0">
        <references count="2">
          <reference field="1" count="1" selected="0">
            <x v="23"/>
          </reference>
          <reference field="2" count="1">
            <x v="6"/>
          </reference>
        </references>
      </pivotArea>
    </format>
    <format dxfId="11802">
      <pivotArea dataOnly="0" labelOnly="1" outline="0" fieldPosition="0">
        <references count="2">
          <reference field="1" count="1" selected="0">
            <x v="24"/>
          </reference>
          <reference field="2" count="1">
            <x v="12"/>
          </reference>
        </references>
      </pivotArea>
    </format>
    <format dxfId="11801">
      <pivotArea dataOnly="0" labelOnly="1" outline="0" fieldPosition="0">
        <references count="2">
          <reference field="1" count="1" selected="0">
            <x v="25"/>
          </reference>
          <reference field="2" count="1">
            <x v="10"/>
          </reference>
        </references>
      </pivotArea>
    </format>
    <format dxfId="11800">
      <pivotArea dataOnly="0" labelOnly="1" outline="0" fieldPosition="0">
        <references count="2">
          <reference field="1" count="1" selected="0">
            <x v="28"/>
          </reference>
          <reference field="2" count="2">
            <x v="5"/>
            <x v="7"/>
          </reference>
        </references>
      </pivotArea>
    </format>
    <format dxfId="11799">
      <pivotArea dataOnly="0" labelOnly="1" outline="0" fieldPosition="0">
        <references count="2">
          <reference field="1" count="1" selected="0">
            <x v="29"/>
          </reference>
          <reference field="2" count="2">
            <x v="2"/>
            <x v="16"/>
          </reference>
        </references>
      </pivotArea>
    </format>
    <format dxfId="11798">
      <pivotArea dataOnly="0" labelOnly="1" outline="0" fieldPosition="0">
        <references count="2">
          <reference field="1" count="1" selected="0">
            <x v="30"/>
          </reference>
          <reference field="2" count="2">
            <x v="0"/>
            <x v="14"/>
          </reference>
        </references>
      </pivotArea>
    </format>
    <format dxfId="11797">
      <pivotArea dataOnly="0" labelOnly="1" outline="0" fieldPosition="0">
        <references count="2">
          <reference field="1" count="1" selected="0">
            <x v="31"/>
          </reference>
          <reference field="2" count="1">
            <x v="0"/>
          </reference>
        </references>
      </pivotArea>
    </format>
    <format dxfId="11796">
      <pivotArea dataOnly="0" labelOnly="1" outline="0" fieldPosition="0">
        <references count="2">
          <reference field="1" count="1" selected="0">
            <x v="32"/>
          </reference>
          <reference field="2" count="1">
            <x v="14"/>
          </reference>
        </references>
      </pivotArea>
    </format>
    <format dxfId="11795">
      <pivotArea dataOnly="0" labelOnly="1" outline="0" fieldPosition="0">
        <references count="2">
          <reference field="1" count="1" selected="0">
            <x v="33"/>
          </reference>
          <reference field="2" count="1">
            <x v="1"/>
          </reference>
        </references>
      </pivotArea>
    </format>
    <format dxfId="11794">
      <pivotArea dataOnly="0" labelOnly="1" outline="0" fieldPosition="0">
        <references count="2">
          <reference field="1" count="1" selected="0">
            <x v="34"/>
          </reference>
          <reference field="2" count="1">
            <x v="0"/>
          </reference>
        </references>
      </pivotArea>
    </format>
    <format dxfId="11793">
      <pivotArea dataOnly="0" labelOnly="1" outline="0" fieldPosition="0">
        <references count="2">
          <reference field="1" count="1" selected="0">
            <x v="35"/>
          </reference>
          <reference field="2" count="1">
            <x v="13"/>
          </reference>
        </references>
      </pivotArea>
    </format>
    <format dxfId="11792">
      <pivotArea dataOnly="0" labelOnly="1" outline="0" fieldPosition="0">
        <references count="2">
          <reference field="1" count="1" selected="0">
            <x v="36"/>
          </reference>
          <reference field="2" count="2">
            <x v="0"/>
            <x v="15"/>
          </reference>
        </references>
      </pivotArea>
    </format>
    <format dxfId="11791">
      <pivotArea dataOnly="0" labelOnly="1" outline="0" fieldPosition="0">
        <references count="2">
          <reference field="1" count="1" selected="0">
            <x v="37"/>
          </reference>
          <reference field="2" count="1">
            <x v="10"/>
          </reference>
        </references>
      </pivotArea>
    </format>
    <format dxfId="11790">
      <pivotArea dataOnly="0" labelOnly="1" outline="0" fieldPosition="0">
        <references count="2">
          <reference field="1" count="1" selected="0">
            <x v="38"/>
          </reference>
          <reference field="2" count="3">
            <x v="3"/>
            <x v="5"/>
            <x v="6"/>
          </reference>
        </references>
      </pivotArea>
    </format>
    <format dxfId="11789">
      <pivotArea dataOnly="0" labelOnly="1" outline="0" fieldPosition="0">
        <references count="2">
          <reference field="1" count="1" selected="0">
            <x v="41"/>
          </reference>
          <reference field="2" count="1">
            <x v="0"/>
          </reference>
        </references>
      </pivotArea>
    </format>
    <format dxfId="11788">
      <pivotArea dataOnly="0" labelOnly="1" outline="0" fieldPosition="0">
        <references count="2">
          <reference field="1" count="1" selected="0">
            <x v="42"/>
          </reference>
          <reference field="2" count="1">
            <x v="10"/>
          </reference>
        </references>
      </pivotArea>
    </format>
    <format dxfId="11787">
      <pivotArea dataOnly="0" labelOnly="1" outline="0" fieldPosition="0">
        <references count="2">
          <reference field="1" count="1" selected="0">
            <x v="44"/>
          </reference>
          <reference field="2" count="1">
            <x v="6"/>
          </reference>
        </references>
      </pivotArea>
    </format>
    <format dxfId="11786">
      <pivotArea dataOnly="0" labelOnly="1" outline="0" fieldPosition="0">
        <references count="2">
          <reference field="1" count="1" selected="0">
            <x v="48"/>
          </reference>
          <reference field="2" count="1">
            <x v="8"/>
          </reference>
        </references>
      </pivotArea>
    </format>
    <format dxfId="11785">
      <pivotArea dataOnly="0" labelOnly="1" outline="0" fieldPosition="0">
        <references count="2">
          <reference field="1" count="1" selected="0">
            <x v="49"/>
          </reference>
          <reference field="2" count="1">
            <x v="10"/>
          </reference>
        </references>
      </pivotArea>
    </format>
    <format dxfId="11784">
      <pivotArea dataOnly="0" labelOnly="1" outline="0" fieldPosition="0">
        <references count="2">
          <reference field="1" count="1" selected="0">
            <x v="50"/>
          </reference>
          <reference field="2" count="1">
            <x v="11"/>
          </reference>
        </references>
      </pivotArea>
    </format>
    <format dxfId="11783">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1782">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1781">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1780">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1779">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1778">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1777">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1776">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1775">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1774">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1773">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1772">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11771">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11770">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11769">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1768">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1767">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1766">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1765">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1764">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1763">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1762">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1761">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1760">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1759">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1758">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11757">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1756">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1755">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1754">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1753">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1752">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1751">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1750">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1749">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11748">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11747">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11746">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11745">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1744">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1743">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1742">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1741">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1740">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1739">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1738">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1737">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1736">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1735">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11734">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1733">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1732">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11731">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11730">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11729">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11728">
      <pivotArea dataOnly="0" labelOnly="1" outline="0" fieldPosition="0">
        <references count="4">
          <reference field="1" count="1" selected="0">
            <x v="49"/>
          </reference>
          <reference field="2" count="1" selected="0">
            <x v="10"/>
          </reference>
          <reference field="5" count="1" selected="0">
            <x v="5"/>
          </reference>
          <reference field="23" count="1">
            <x v="0"/>
          </reference>
        </references>
      </pivotArea>
    </format>
    <format dxfId="11727">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1726">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1725">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1724">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1723">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1722">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72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1720">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1719">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171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1717">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71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171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171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171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171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171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171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170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1708">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1170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170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170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1704">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1703">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702">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701">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170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1169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1169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1169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1169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1169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11694">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1693">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1692">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11691">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1690">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1689">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168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1168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1168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1168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11684">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1683">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1682">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1681">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168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167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167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167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167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1675">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167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1167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1167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167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167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166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11668">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11667">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11666">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11665">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11664">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1663">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1662">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166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1660">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1659">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1658">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1657">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1656">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1655">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165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1653">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1652">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1651">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650">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1649">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1648">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1647">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1646">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1164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11644">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1164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11642">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641">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1640">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1639">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638">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1637">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1636">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1635">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1634">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163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11632">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1163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1163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1629">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1628">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1627">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1626">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1625">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1624">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1623">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11622">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1162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11620">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1619">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1618">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1617">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161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11615">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1161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1161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161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161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161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160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1608">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1607">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160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1605">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1604">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160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160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1601">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160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159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1598">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1597">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1596">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159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1594">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11593">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1592">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1591">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1590">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1589">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1588">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1587">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158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1585">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158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1583">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158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158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158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1579">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1578">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1577">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157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157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1574">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1573">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1572">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157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1570">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1569">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156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1567">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1566">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1565">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1564">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1563">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1562">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1561">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156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1559">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1558">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1557">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1556">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1555">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1554">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1553">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1552">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11551">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1550">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11549">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154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154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154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154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154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154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154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154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1540">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1539">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1538">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1537">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11536">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11535">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1534">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8"/>
          </reference>
          <reference field="23" count="1" selected="0">
            <x v="2"/>
          </reference>
          <reference field="72" count="1" selected="0">
            <x v="19"/>
          </reference>
        </references>
      </pivotArea>
    </format>
    <format dxfId="11533">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7"/>
          </reference>
          <reference field="23" count="1" selected="0">
            <x v="2"/>
          </reference>
          <reference field="72" count="1" selected="0">
            <x v="22"/>
          </reference>
        </references>
      </pivotArea>
    </format>
    <format dxfId="11532">
      <pivotArea dataOnly="0" labelOnly="1" outline="0" fieldPosition="0">
        <references count="7">
          <reference field="1" count="1" selected="0">
            <x v="47"/>
          </reference>
          <reference field="2" count="1" selected="0">
            <x v="6"/>
          </reference>
          <reference field="5" count="1" selected="0">
            <x v="2"/>
          </reference>
          <reference field="13" count="1" selected="0">
            <x v="2"/>
          </reference>
          <reference field="22" count="1">
            <x v="5"/>
          </reference>
          <reference field="23" count="1" selected="0">
            <x v="2"/>
          </reference>
          <reference field="72" count="1" selected="0">
            <x v="27"/>
          </reference>
        </references>
      </pivotArea>
    </format>
    <format dxfId="11531">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10"/>
          </reference>
          <reference field="23" count="1" selected="0">
            <x v="2"/>
          </reference>
          <reference field="72" count="1" selected="0">
            <x v="28"/>
          </reference>
        </references>
      </pivotArea>
    </format>
    <format dxfId="11530">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8"/>
          </reference>
          <reference field="23" count="1" selected="0">
            <x v="2"/>
          </reference>
          <reference field="72" count="1" selected="0">
            <x v="30"/>
          </reference>
        </references>
      </pivotArea>
    </format>
    <format dxfId="11529">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7"/>
          </reference>
          <reference field="23" count="1" selected="0">
            <x v="2"/>
          </reference>
          <reference field="72" count="1" selected="0">
            <x v="32"/>
          </reference>
        </references>
      </pivotArea>
    </format>
    <format dxfId="11528">
      <pivotArea dataOnly="0" labelOnly="1" outline="0" fieldPosition="0">
        <references count="7">
          <reference field="1" count="1" selected="0">
            <x v="48"/>
          </reference>
          <reference field="2" count="1" selected="0">
            <x v="8"/>
          </reference>
          <reference field="5" count="1" selected="0">
            <x v="2"/>
          </reference>
          <reference field="13" count="1" selected="0">
            <x v="2"/>
          </reference>
          <reference field="22" count="1">
            <x v="5"/>
          </reference>
          <reference field="23" count="1" selected="0">
            <x v="2"/>
          </reference>
          <reference field="72" count="1" selected="0">
            <x v="37"/>
          </reference>
        </references>
      </pivotArea>
    </format>
    <format dxfId="11527">
      <pivotArea dataOnly="0" labelOnly="1" outline="0" fieldPosition="0">
        <references count="7">
          <reference field="1" count="1" selected="0">
            <x v="49"/>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1526">
      <pivotArea dataOnly="0" labelOnly="1" outline="0" fieldPosition="0">
        <references count="7">
          <reference field="1" count="1" selected="0">
            <x v="50"/>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1525">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1524">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1523">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1522">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1521">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1520">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1519">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1518">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1517">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1516">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1515">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11514">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1513">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1512">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11511">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11510">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1509">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1508">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1507">
      <pivotArea dataOnly="0" labelOnly="1" outline="0" fieldPosition="0">
        <references count="10">
          <reference field="1" count="1" selected="0">
            <x v="49"/>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1506">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1505">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1504">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1503">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1502">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1501">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1500">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1499">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1498">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1497">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1496">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1495">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11494">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11493">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1492">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1491">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1490">
      <pivotArea dataOnly="0" labelOnly="1" outline="0" fieldPosition="0">
        <references count="11">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1489">
      <pivotArea field="72" type="button" dataOnly="0" labelOnly="1" outline="0" axis="axisRow" fieldPosition="5"/>
    </format>
    <format dxfId="11488">
      <pivotArea field="13" type="button" dataOnly="0" labelOnly="1" outline="0" axis="axisRow" fieldPosition="6"/>
    </format>
    <format dxfId="11487">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1486">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11485">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1484">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1483">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1482">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11481">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1480">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11479">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11478">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11477">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1476">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1475">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11474">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11473">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11472">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11471">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11470">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11469">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11468">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1467">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11466">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11465">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11464">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1463">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1462">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1461">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1460">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1459">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1458">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11457">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11456">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11455">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1454">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1453">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1452">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1451">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1450">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1449">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11448">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11447">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1446">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11445">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11444">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1443">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1442">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11441">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11440">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1439">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11438">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1437">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11436">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1435">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1434">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1433">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1432">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1431">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11430">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11429">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1428">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1427">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1426">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1425">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1424">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1423">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11422">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11421">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1420">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11419">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11418">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1417">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1416">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11415">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11414">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11413">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11412">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1411">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11410">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1409">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1408">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1407">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1406">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11405">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11404">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1403">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1402">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11401">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11400">
      <pivotArea dataOnly="0" labelOnly="1" outline="0" fieldPosition="0">
        <references count="6">
          <reference field="1" count="1" selected="0">
            <x v="47"/>
          </reference>
          <reference field="2" count="1" selected="0">
            <x v="6"/>
          </reference>
          <reference field="5" count="1" selected="0">
            <x v="2"/>
          </reference>
          <reference field="13" count="1">
            <x v="2"/>
          </reference>
          <reference field="23" count="1" selected="0">
            <x v="2"/>
          </reference>
          <reference field="72" count="1" selected="0">
            <x v="17"/>
          </reference>
        </references>
      </pivotArea>
    </format>
    <format dxfId="11399">
      <pivotArea dataOnly="0" labelOnly="1" outline="0" fieldPosition="0">
        <references count="6">
          <reference field="1" count="1" selected="0">
            <x v="49"/>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1398">
      <pivotArea field="81" type="button" dataOnly="0" labelOnly="1" outline="0" axis="axisRow" fieldPosition="8"/>
    </format>
    <format dxfId="11397">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598"/>
          </reference>
        </references>
      </pivotArea>
    </format>
    <format dxfId="11396">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395">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612"/>
          </reference>
        </references>
      </pivotArea>
    </format>
    <format dxfId="11394">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613"/>
          </reference>
        </references>
      </pivotArea>
    </format>
    <format dxfId="11393">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532"/>
          </reference>
        </references>
      </pivotArea>
    </format>
    <format dxfId="11392">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1391">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75"/>
          </reference>
        </references>
      </pivotArea>
    </format>
    <format dxfId="11390">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76"/>
          </reference>
        </references>
      </pivotArea>
    </format>
    <format dxfId="11389">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507"/>
          </reference>
        </references>
      </pivotArea>
    </format>
    <format dxfId="11388">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508"/>
          </reference>
        </references>
      </pivotArea>
    </format>
    <format dxfId="11387">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511"/>
          </reference>
        </references>
      </pivotArea>
    </format>
    <format dxfId="11386">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514"/>
          </reference>
        </references>
      </pivotArea>
    </format>
    <format dxfId="11385">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632"/>
          </reference>
        </references>
      </pivotArea>
    </format>
    <format dxfId="1138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571"/>
          </reference>
        </references>
      </pivotArea>
    </format>
    <format dxfId="1138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562"/>
          </reference>
        </references>
      </pivotArea>
    </format>
    <format dxfId="11382">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548"/>
          </reference>
        </references>
      </pivotArea>
    </format>
    <format dxfId="11381">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572"/>
          </reference>
        </references>
      </pivotArea>
    </format>
    <format dxfId="11380">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564"/>
          </reference>
        </references>
      </pivotArea>
    </format>
    <format dxfId="1137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573"/>
          </reference>
        </references>
      </pivotArea>
    </format>
    <format dxfId="1137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565"/>
          </reference>
        </references>
      </pivotArea>
    </format>
    <format dxfId="1137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574"/>
          </reference>
        </references>
      </pivotArea>
    </format>
    <format dxfId="11376">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614"/>
          </reference>
        </references>
      </pivotArea>
    </format>
    <format dxfId="11375">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612"/>
          </reference>
        </references>
      </pivotArea>
    </format>
    <format dxfId="11374">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613"/>
          </reference>
        </references>
      </pivotArea>
    </format>
    <format dxfId="11373">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532"/>
          </reference>
        </references>
      </pivotArea>
    </format>
    <format dxfId="11372">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1371">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77"/>
          </reference>
        </references>
      </pivotArea>
    </format>
    <format dxfId="11370">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78"/>
          </reference>
        </references>
      </pivotArea>
    </format>
    <format dxfId="11369">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632"/>
          </reference>
        </references>
      </pivotArea>
    </format>
    <format dxfId="11368">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594"/>
          </reference>
        </references>
      </pivotArea>
    </format>
    <format dxfId="11367">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583"/>
          </reference>
        </references>
      </pivotArea>
    </format>
    <format dxfId="1136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530"/>
          </reference>
        </references>
      </pivotArea>
    </format>
    <format dxfId="11365">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612"/>
          </reference>
        </references>
      </pivotArea>
    </format>
    <format dxfId="11364">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524"/>
          </reference>
        </references>
      </pivotArea>
    </format>
    <format dxfId="11363">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520"/>
          </reference>
        </references>
      </pivotArea>
    </format>
    <format dxfId="11362">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521"/>
          </reference>
        </references>
      </pivotArea>
    </format>
    <format dxfId="11361">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615"/>
          </reference>
        </references>
      </pivotArea>
    </format>
    <format dxfId="11360">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579"/>
          </reference>
        </references>
      </pivotArea>
    </format>
    <format dxfId="11359">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580"/>
          </reference>
        </references>
      </pivotArea>
    </format>
    <format dxfId="11358">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633"/>
          </reference>
        </references>
      </pivotArea>
    </format>
    <format dxfId="11357">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591"/>
          </reference>
        </references>
      </pivotArea>
    </format>
    <format dxfId="11356">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355">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562"/>
          </reference>
        </references>
      </pivotArea>
    </format>
    <format dxfId="11354">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563"/>
          </reference>
        </references>
      </pivotArea>
    </format>
    <format dxfId="11353">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564"/>
          </reference>
        </references>
      </pivotArea>
    </format>
    <format dxfId="11352">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565"/>
          </reference>
        </references>
      </pivotArea>
    </format>
    <format dxfId="11351">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613"/>
          </reference>
        </references>
      </pivotArea>
    </format>
    <format dxfId="11350">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618"/>
          </reference>
        </references>
      </pivotArea>
    </format>
    <format dxfId="11349">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616"/>
          </reference>
        </references>
      </pivotArea>
    </format>
    <format dxfId="11348">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617"/>
          </reference>
        </references>
      </pivotArea>
    </format>
    <format dxfId="11347">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619"/>
          </reference>
        </references>
      </pivotArea>
    </format>
    <format dxfId="1134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534"/>
          </reference>
        </references>
      </pivotArea>
    </format>
    <format dxfId="11345">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629"/>
          </reference>
        </references>
      </pivotArea>
    </format>
    <format dxfId="11344">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597"/>
          </reference>
        </references>
      </pivotArea>
    </format>
    <format dxfId="11343">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596"/>
          </reference>
        </references>
      </pivotArea>
    </format>
    <format dxfId="11342">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566"/>
          </reference>
        </references>
      </pivotArea>
    </format>
    <format dxfId="11341">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567"/>
          </reference>
        </references>
      </pivotArea>
    </format>
    <format dxfId="11340">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568"/>
          </reference>
        </references>
      </pivotArea>
    </format>
    <format dxfId="11339">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569"/>
          </reference>
        </references>
      </pivotArea>
    </format>
    <format dxfId="11338">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606"/>
          </reference>
        </references>
      </pivotArea>
    </format>
    <format dxfId="11337">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608"/>
          </reference>
        </references>
      </pivotArea>
    </format>
    <format dxfId="11336">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603"/>
          </reference>
        </references>
      </pivotArea>
    </format>
    <format dxfId="1133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607"/>
          </reference>
        </references>
      </pivotArea>
    </format>
    <format dxfId="11334">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609"/>
          </reference>
        </references>
      </pivotArea>
    </format>
    <format dxfId="11333">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610"/>
          </reference>
        </references>
      </pivotArea>
    </format>
    <format dxfId="11332">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331">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595"/>
          </reference>
        </references>
      </pivotArea>
    </format>
    <format dxfId="11330">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329">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511"/>
          </reference>
        </references>
      </pivotArea>
    </format>
    <format dxfId="11328">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512"/>
          </reference>
        </references>
      </pivotArea>
    </format>
    <format dxfId="11327">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606"/>
          </reference>
        </references>
      </pivotArea>
    </format>
    <format dxfId="1132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608"/>
          </reference>
        </references>
      </pivotArea>
    </format>
    <format dxfId="11325">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607"/>
          </reference>
        </references>
      </pivotArea>
    </format>
    <format dxfId="1132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611"/>
          </reference>
        </references>
      </pivotArea>
    </format>
    <format dxfId="11323">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10"/>
          </reference>
          <reference field="23" count="1" selected="0">
            <x v="2"/>
          </reference>
          <reference field="72" count="1" selected="0">
            <x v="39"/>
          </reference>
          <reference field="81" count="1">
            <x v="533"/>
          </reference>
        </references>
      </pivotArea>
    </format>
    <format dxfId="11322">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52"/>
          </reference>
          <reference field="81" count="1">
            <x v="532"/>
          </reference>
        </references>
      </pivotArea>
    </format>
    <format dxfId="11321">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3"/>
          </reference>
          <reference field="23" count="1" selected="0">
            <x v="2"/>
          </reference>
          <reference field="72" count="1" selected="0">
            <x v="154"/>
          </reference>
          <reference field="81" count="1">
            <x v="534"/>
          </reference>
        </references>
      </pivotArea>
    </format>
    <format dxfId="11320">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83"/>
          </reference>
        </references>
      </pivotArea>
    </format>
    <format dxfId="1131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507"/>
          </reference>
        </references>
      </pivotArea>
    </format>
    <format dxfId="1131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508"/>
          </reference>
        </references>
      </pivotArea>
    </format>
    <format dxfId="11317">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511"/>
          </reference>
        </references>
      </pivotArea>
    </format>
    <format dxfId="11316">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514"/>
          </reference>
        </references>
      </pivotArea>
    </format>
    <format dxfId="11315">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1314">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602"/>
          </reference>
        </references>
      </pivotArea>
    </format>
    <format dxfId="11313">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601"/>
          </reference>
        </references>
      </pivotArea>
    </format>
    <format dxfId="11312">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498"/>
          </reference>
        </references>
      </pivotArea>
    </format>
    <format dxfId="11311">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499"/>
          </reference>
        </references>
      </pivotArea>
    </format>
    <format dxfId="11310">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500"/>
          </reference>
        </references>
      </pivotArea>
    </format>
    <format dxfId="11309">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501"/>
          </reference>
        </references>
      </pivotArea>
    </format>
    <format dxfId="11308">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509"/>
          </reference>
        </references>
      </pivotArea>
    </format>
    <format dxfId="11307">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512"/>
          </reference>
        </references>
      </pivotArea>
    </format>
    <format dxfId="11306">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605"/>
          </reference>
        </references>
      </pivotArea>
    </format>
    <format dxfId="11305">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92"/>
          </reference>
        </references>
      </pivotArea>
    </format>
    <format dxfId="11304">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593"/>
          </reference>
        </references>
      </pivotArea>
    </format>
    <format dxfId="11303">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302">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559"/>
          </reference>
        </references>
      </pivotArea>
    </format>
    <format dxfId="11301">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549"/>
          </reference>
        </references>
      </pivotArea>
    </format>
    <format dxfId="11300">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560"/>
          </reference>
        </references>
      </pivotArea>
    </format>
    <format dxfId="11299">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561"/>
          </reference>
        </references>
      </pivotArea>
    </format>
    <format dxfId="11298">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533"/>
          </reference>
        </references>
      </pivotArea>
    </format>
    <format dxfId="11297">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617"/>
          </reference>
        </references>
      </pivotArea>
    </format>
    <format dxfId="11296">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624"/>
          </reference>
        </references>
      </pivotArea>
    </format>
    <format dxfId="11295">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77"/>
          </reference>
        </references>
      </pivotArea>
    </format>
    <format dxfId="11294">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83"/>
          </reference>
        </references>
      </pivotArea>
    </format>
    <format dxfId="11293">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1292">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1291">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92"/>
          </reference>
        </references>
      </pivotArea>
    </format>
    <format dxfId="11290">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593"/>
          </reference>
        </references>
      </pivotArea>
    </format>
    <format dxfId="11289">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88"/>
          </reference>
        </references>
      </pivotArea>
    </format>
    <format dxfId="11288">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557"/>
          </reference>
        </references>
      </pivotArea>
    </format>
    <format dxfId="11287">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555"/>
          </reference>
        </references>
      </pivotArea>
    </format>
    <format dxfId="11286">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558"/>
          </reference>
        </references>
      </pivotArea>
    </format>
    <format dxfId="11285">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550"/>
          </reference>
        </references>
      </pivotArea>
    </format>
    <format dxfId="11284">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625"/>
          </reference>
        </references>
      </pivotArea>
    </format>
    <format dxfId="11283">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523"/>
          </reference>
        </references>
      </pivotArea>
    </format>
    <format dxfId="11282">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626"/>
          </reference>
        </references>
      </pivotArea>
    </format>
    <format dxfId="11281">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511"/>
          </reference>
        </references>
      </pivotArea>
    </format>
    <format dxfId="11280">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605"/>
          </reference>
        </references>
      </pivotArea>
    </format>
    <format dxfId="11279">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603"/>
          </reference>
        </references>
      </pivotArea>
    </format>
    <format dxfId="11278">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604"/>
          </reference>
        </references>
      </pivotArea>
    </format>
    <format dxfId="11277">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1276">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1275">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70"/>
          </reference>
        </references>
      </pivotArea>
    </format>
    <format dxfId="11274">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620"/>
          </reference>
        </references>
      </pivotArea>
    </format>
    <format dxfId="11273">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621"/>
          </reference>
        </references>
      </pivotArea>
    </format>
    <format dxfId="11272">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622"/>
          </reference>
        </references>
      </pivotArea>
    </format>
    <format dxfId="11271">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28"/>
          </reference>
        </references>
      </pivotArea>
    </format>
    <format dxfId="11270">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29"/>
          </reference>
        </references>
      </pivotArea>
    </format>
    <format dxfId="11269">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30"/>
          </reference>
        </references>
      </pivotArea>
    </format>
    <format dxfId="11268">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70"/>
          </reference>
        </references>
      </pivotArea>
    </format>
    <format dxfId="11267">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616"/>
          </reference>
        </references>
      </pivotArea>
    </format>
    <format dxfId="11266">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623"/>
          </reference>
        </references>
      </pivotArea>
    </format>
    <format dxfId="11265">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624"/>
          </reference>
        </references>
      </pivotArea>
    </format>
    <format dxfId="11264">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528"/>
          </reference>
        </references>
      </pivotArea>
    </format>
    <format dxfId="11263">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529"/>
          </reference>
        </references>
      </pivotArea>
    </format>
    <format dxfId="11262">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530"/>
          </reference>
        </references>
      </pivotArea>
    </format>
    <format dxfId="11261">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516"/>
          </reference>
        </references>
      </pivotArea>
    </format>
    <format dxfId="11260">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531"/>
          </reference>
        </references>
      </pivotArea>
    </format>
    <format dxfId="11259">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1258">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589"/>
          </reference>
        </references>
      </pivotArea>
    </format>
    <format dxfId="11257">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590"/>
          </reference>
        </references>
      </pivotArea>
    </format>
    <format dxfId="11256">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15"/>
          </reference>
        </references>
      </pivotArea>
    </format>
    <format dxfId="11255">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16"/>
          </reference>
        </references>
      </pivotArea>
    </format>
    <format dxfId="11254">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17"/>
          </reference>
        </references>
      </pivotArea>
    </format>
    <format dxfId="11253">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00"/>
          </reference>
        </references>
      </pivotArea>
    </format>
    <format dxfId="11252">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15"/>
          </reference>
        </references>
      </pivotArea>
    </format>
    <format dxfId="11251">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16"/>
          </reference>
        </references>
      </pivotArea>
    </format>
    <format dxfId="11250">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17"/>
          </reference>
        </references>
      </pivotArea>
    </format>
    <format dxfId="11249">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00"/>
          </reference>
        </references>
      </pivotArea>
    </format>
    <format dxfId="11248">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518"/>
          </reference>
        </references>
      </pivotArea>
    </format>
    <format dxfId="11247">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515"/>
          </reference>
        </references>
      </pivotArea>
    </format>
    <format dxfId="11246">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516"/>
          </reference>
        </references>
      </pivotArea>
    </format>
    <format dxfId="11245">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99"/>
          </reference>
        </references>
      </pivotArea>
    </format>
    <format dxfId="11244">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597"/>
          </reference>
        </references>
      </pivotArea>
    </format>
    <format dxfId="11243">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599"/>
          </reference>
        </references>
      </pivotArea>
    </format>
    <format dxfId="11242">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1241">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524"/>
          </reference>
        </references>
      </pivotArea>
    </format>
    <format dxfId="11240">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502"/>
          </reference>
        </references>
      </pivotArea>
    </format>
    <format dxfId="11239">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523"/>
          </reference>
        </references>
      </pivotArea>
    </format>
    <format dxfId="11238">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526"/>
          </reference>
        </references>
      </pivotArea>
    </format>
    <format dxfId="11237">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545"/>
          </reference>
        </references>
      </pivotArea>
    </format>
    <format dxfId="11236">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546"/>
          </reference>
        </references>
      </pivotArea>
    </format>
    <format dxfId="11235">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547"/>
          </reference>
        </references>
      </pivotArea>
    </format>
    <format dxfId="11234">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548"/>
          </reference>
        </references>
      </pivotArea>
    </format>
    <format dxfId="11233">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1232">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10"/>
          </reference>
        </references>
      </pivotArea>
    </format>
    <format dxfId="11231">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506"/>
          </reference>
        </references>
      </pivotArea>
    </format>
    <format dxfId="1123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507"/>
          </reference>
        </references>
      </pivotArea>
    </format>
    <format dxfId="1122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508"/>
          </reference>
        </references>
      </pivotArea>
    </format>
    <format dxfId="1122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509"/>
          </reference>
        </references>
      </pivotArea>
    </format>
    <format dxfId="11227">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520"/>
          </reference>
        </references>
      </pivotArea>
    </format>
    <format dxfId="11226">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521"/>
          </reference>
        </references>
      </pivotArea>
    </format>
    <format dxfId="11225">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518"/>
          </reference>
        </references>
      </pivotArea>
    </format>
    <format dxfId="11224">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522"/>
          </reference>
        </references>
      </pivotArea>
    </format>
    <format dxfId="11223">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508"/>
          </reference>
        </references>
      </pivotArea>
    </format>
    <format dxfId="11222">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511"/>
          </reference>
        </references>
      </pivotArea>
    </format>
    <format dxfId="11221">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512"/>
          </reference>
        </references>
      </pivotArea>
    </format>
    <format dxfId="1122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513"/>
          </reference>
        </references>
      </pivotArea>
    </format>
    <format dxfId="11219">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502"/>
          </reference>
        </references>
      </pivotArea>
    </format>
    <format dxfId="11218">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503"/>
          </reference>
        </references>
      </pivotArea>
    </format>
    <format dxfId="11217">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504"/>
          </reference>
        </references>
      </pivotArea>
    </format>
    <format dxfId="11216">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505"/>
          </reference>
        </references>
      </pivotArea>
    </format>
    <format dxfId="11215">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1214">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1213">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537"/>
          </reference>
        </references>
      </pivotArea>
    </format>
    <format dxfId="11212">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543"/>
          </reference>
        </references>
      </pivotArea>
    </format>
    <format dxfId="11211">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544"/>
          </reference>
        </references>
      </pivotArea>
    </format>
    <format dxfId="11210">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545"/>
          </reference>
        </references>
      </pivotArea>
    </format>
    <format dxfId="11209">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546"/>
          </reference>
        </references>
      </pivotArea>
    </format>
    <format dxfId="11208">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547"/>
          </reference>
        </references>
      </pivotArea>
    </format>
    <format dxfId="11207">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548"/>
          </reference>
        </references>
      </pivotArea>
    </format>
    <format dxfId="11206">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506"/>
          </reference>
        </references>
      </pivotArea>
    </format>
    <format dxfId="11205">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507"/>
          </reference>
        </references>
      </pivotArea>
    </format>
    <format dxfId="1120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508"/>
          </reference>
        </references>
      </pivotArea>
    </format>
    <format dxfId="1120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509"/>
          </reference>
        </references>
      </pivotArea>
    </format>
    <format dxfId="11202">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630"/>
          </reference>
        </references>
      </pivotArea>
    </format>
    <format dxfId="11201">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1200">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527"/>
          </reference>
        </references>
      </pivotArea>
    </format>
    <format dxfId="11199">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1198">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37"/>
          </reference>
        </references>
      </pivotArea>
    </format>
    <format dxfId="11197">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638"/>
          </reference>
        </references>
      </pivotArea>
    </format>
    <format dxfId="11196">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639"/>
          </reference>
        </references>
      </pivotArea>
    </format>
    <format dxfId="11195">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11194">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1193">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627"/>
          </reference>
        </references>
      </pivotArea>
    </format>
    <format dxfId="11192">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191">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35"/>
          </reference>
        </references>
      </pivotArea>
    </format>
    <format dxfId="11190">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11189">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11188">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628"/>
          </reference>
        </references>
      </pivotArea>
    </format>
    <format dxfId="11187">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631"/>
          </reference>
        </references>
      </pivotArea>
    </format>
    <format dxfId="11186">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35"/>
          </reference>
        </references>
      </pivotArea>
    </format>
    <format dxfId="11185">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11184">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11183">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1182">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1181">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180">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606"/>
          </reference>
        </references>
      </pivotArea>
    </format>
    <format dxfId="11179">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525"/>
          </reference>
        </references>
      </pivotArea>
    </format>
    <format dxfId="11178">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34"/>
          </reference>
        </references>
      </pivotArea>
    </format>
    <format dxfId="1117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536"/>
          </reference>
        </references>
      </pivotArea>
    </format>
    <format dxfId="1117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535"/>
          </reference>
        </references>
      </pivotArea>
    </format>
    <format dxfId="1117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537"/>
          </reference>
        </references>
      </pivotArea>
    </format>
    <format dxfId="1117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526"/>
          </reference>
        </references>
      </pivotArea>
    </format>
    <format dxfId="1117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542"/>
          </reference>
        </references>
      </pivotArea>
    </format>
    <format dxfId="1117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541"/>
          </reference>
        </references>
      </pivotArea>
    </format>
    <format dxfId="1117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540"/>
          </reference>
        </references>
      </pivotArea>
    </format>
    <format dxfId="1117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539"/>
          </reference>
        </references>
      </pivotArea>
    </format>
    <format dxfId="11169">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538"/>
          </reference>
        </references>
      </pivotArea>
    </format>
    <format dxfId="11168">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34"/>
          </reference>
        </references>
      </pivotArea>
    </format>
    <format dxfId="11167">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636"/>
          </reference>
        </references>
      </pivotArea>
    </format>
    <format dxfId="11166">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519"/>
          </reference>
        </references>
      </pivotArea>
    </format>
    <format dxfId="11165">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1164">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581"/>
          </reference>
        </references>
      </pivotArea>
    </format>
    <format dxfId="11163">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582"/>
          </reference>
        </references>
      </pivotArea>
    </format>
    <format dxfId="11162">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586"/>
          </reference>
        </references>
      </pivotArea>
    </format>
    <format dxfId="11161">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587"/>
          </reference>
        </references>
      </pivotArea>
    </format>
    <format dxfId="11160">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600"/>
          </reference>
        </references>
      </pivotArea>
    </format>
    <format dxfId="11159">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10"/>
          </reference>
          <reference field="23" count="1" selected="0">
            <x v="2"/>
          </reference>
          <reference field="72" count="1" selected="0">
            <x v="17"/>
          </reference>
          <reference field="81" count="1">
            <x v="553"/>
          </reference>
        </references>
      </pivotArea>
    </format>
    <format dxfId="11158">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8"/>
          </reference>
          <reference field="23" count="1" selected="0">
            <x v="2"/>
          </reference>
          <reference field="72" count="1" selected="0">
            <x v="19"/>
          </reference>
          <reference field="81" count="1">
            <x v="554"/>
          </reference>
        </references>
      </pivotArea>
    </format>
    <format dxfId="11157">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7"/>
          </reference>
          <reference field="23" count="1" selected="0">
            <x v="2"/>
          </reference>
          <reference field="72" count="1" selected="0">
            <x v="22"/>
          </reference>
          <reference field="81" count="1">
            <x v="555"/>
          </reference>
        </references>
      </pivotArea>
    </format>
    <format dxfId="11156">
      <pivotArea dataOnly="0" labelOnly="1" outline="0" fieldPosition="0">
        <references count="8">
          <reference field="1" count="1" selected="0">
            <x v="47"/>
          </reference>
          <reference field="2" count="1" selected="0">
            <x v="6"/>
          </reference>
          <reference field="5" count="1" selected="0">
            <x v="2"/>
          </reference>
          <reference field="13" count="1" selected="0">
            <x v="2"/>
          </reference>
          <reference field="22" count="1" selected="0">
            <x v="5"/>
          </reference>
          <reference field="23" count="1" selected="0">
            <x v="2"/>
          </reference>
          <reference field="72" count="1" selected="0">
            <x v="27"/>
          </reference>
          <reference field="81" count="1">
            <x v="556"/>
          </reference>
        </references>
      </pivotArea>
    </format>
    <format dxfId="11155">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10"/>
          </reference>
          <reference field="23" count="1" selected="0">
            <x v="2"/>
          </reference>
          <reference field="72" count="1" selected="0">
            <x v="28"/>
          </reference>
          <reference field="81" count="1">
            <x v="549"/>
          </reference>
        </references>
      </pivotArea>
    </format>
    <format dxfId="11154">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8"/>
          </reference>
          <reference field="23" count="1" selected="0">
            <x v="2"/>
          </reference>
          <reference field="72" count="1" selected="0">
            <x v="30"/>
          </reference>
          <reference field="81" count="1">
            <x v="550"/>
          </reference>
        </references>
      </pivotArea>
    </format>
    <format dxfId="11153">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7"/>
          </reference>
          <reference field="23" count="1" selected="0">
            <x v="2"/>
          </reference>
          <reference field="72" count="1" selected="0">
            <x v="32"/>
          </reference>
          <reference field="81" count="1">
            <x v="551"/>
          </reference>
        </references>
      </pivotArea>
    </format>
    <format dxfId="11152">
      <pivotArea dataOnly="0" labelOnly="1" outline="0" fieldPosition="0">
        <references count="8">
          <reference field="1" count="1" selected="0">
            <x v="48"/>
          </reference>
          <reference field="2" count="1" selected="0">
            <x v="8"/>
          </reference>
          <reference field="5" count="1" selected="0">
            <x v="2"/>
          </reference>
          <reference field="13" count="1" selected="0">
            <x v="2"/>
          </reference>
          <reference field="22" count="1" selected="0">
            <x v="5"/>
          </reference>
          <reference field="23" count="1" selected="0">
            <x v="2"/>
          </reference>
          <reference field="72" count="1" selected="0">
            <x v="37"/>
          </reference>
          <reference field="81" count="1">
            <x v="552"/>
          </reference>
        </references>
      </pivotArea>
    </format>
    <format dxfId="11151">
      <pivotArea dataOnly="0" labelOnly="1" outline="0" fieldPosition="0">
        <references count="8">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1150">
      <pivotArea dataOnly="0" labelOnly="1" outline="0" fieldPosition="0">
        <references count="8">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1149">
      <pivotArea field="82" type="button" dataOnly="0" labelOnly="1" outline="0" axis="axisRow" fieldPosition="9"/>
    </format>
    <format dxfId="11148">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1147">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1146">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1145">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11144">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11143">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11142">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11141">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1140">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1139">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11138">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11137">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1136">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1135">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11134">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11133">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11132">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11131">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11130">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11129">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11128">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1127">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11126">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11125">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1124">
      <pivotArea dataOnly="0" labelOnly="1" outline="0" fieldPosition="0">
        <references count="9">
          <reference field="1" count="1" selected="0">
            <x v="49"/>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1123">
      <pivotArea dataOnly="0" labelOnly="1" outline="0" fieldPosition="0">
        <references count="9">
          <reference field="1" count="1" selected="0">
            <x v="50"/>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1122">
      <pivotArea field="87" type="button" dataOnly="0" labelOnly="1" outline="0" axis="axisRow" fieldPosition="12"/>
    </format>
    <format dxfId="11121">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1120">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11119">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1118">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11117">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11116">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11115">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11114">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1113">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1112">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11111">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11110">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1109">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1108">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11107">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11106">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11105">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11104">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11103">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11102">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11101">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1100">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11099">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11098">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1097">
      <pivotArea dataOnly="0" labelOnly="1" outline="0" fieldPosition="0">
        <references count="12">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1096">
      <pivotArea dataOnly="0" labelOnly="1" outline="0" fieldPosition="0">
        <references count="12">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1095">
      <pivotArea field="88" type="button" dataOnly="0" labelOnly="1" outline="0" axis="axisRow" fieldPosition="13"/>
    </format>
    <format dxfId="11094">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1093">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11092">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1091">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1090">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1089">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1088">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1087">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1086">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1085">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1084">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1083">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1082">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1081">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11080">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11079">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1078">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11077">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11076">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11075">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11074">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1073">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1072">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1071">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1070">
      <pivotArea dataOnly="0" labelOnly="1" outline="0" fieldPosition="0">
        <references count="13">
          <reference field="1" count="1" selected="0">
            <x v="49"/>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1069">
      <pivotArea dataOnly="0" labelOnly="1" outline="0" fieldPosition="0">
        <references count="13">
          <reference field="1" count="1" selected="0">
            <x v="50"/>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1068">
      <pivotArea field="72" type="button" dataOnly="0" labelOnly="1" outline="0" axis="axisRow" fieldPosition="5"/>
    </format>
    <format dxfId="11067">
      <pivotArea field="13" type="button" dataOnly="0" labelOnly="1" outline="0" axis="axisRow" fieldPosition="6"/>
    </format>
    <format dxfId="11066">
      <pivotArea field="81" type="button" dataOnly="0" labelOnly="1" outline="0" axis="axisRow" fieldPosition="8"/>
    </format>
    <format dxfId="11065">
      <pivotArea field="82" type="button" dataOnly="0" labelOnly="1" outline="0" axis="axisRow" fieldPosition="9"/>
    </format>
    <format dxfId="11064">
      <pivotArea field="87" type="button" dataOnly="0" labelOnly="1" outline="0" axis="axisRow" fieldPosition="12"/>
    </format>
    <format dxfId="11063">
      <pivotArea field="88" type="button" dataOnly="0" labelOnly="1" outline="0" axis="axisRow" fieldPosition="13"/>
    </format>
    <format dxfId="11062">
      <pivotArea field="72" type="button" dataOnly="0" labelOnly="1" outline="0" axis="axisRow" fieldPosition="5"/>
    </format>
    <format dxfId="11061">
      <pivotArea field="13" type="button" dataOnly="0" labelOnly="1" outline="0" axis="axisRow" fieldPosition="6"/>
    </format>
    <format dxfId="11060">
      <pivotArea field="81" type="button" dataOnly="0" labelOnly="1" outline="0" axis="axisRow" fieldPosition="8"/>
    </format>
    <format dxfId="11059">
      <pivotArea field="82" type="button" dataOnly="0" labelOnly="1" outline="0" axis="axisRow" fieldPosition="9"/>
    </format>
    <format dxfId="11058">
      <pivotArea field="87" type="button" dataOnly="0" labelOnly="1" outline="0" axis="axisRow" fieldPosition="12"/>
    </format>
    <format dxfId="11057">
      <pivotArea field="88" type="button" dataOnly="0" labelOnly="1" outline="0" axis="axisRow" fieldPosition="13"/>
    </format>
    <format dxfId="11056">
      <pivotArea field="1" type="button" dataOnly="0" labelOnly="1" outline="0" axis="axisRow" fieldPosition="0"/>
    </format>
    <format dxfId="11055">
      <pivotArea field="72" type="button" dataOnly="0" labelOnly="1" outline="0" axis="axisRow" fieldPosition="5"/>
    </format>
    <format dxfId="11054">
      <pivotArea field="13" type="button" dataOnly="0" labelOnly="1" outline="0" axis="axisRow" fieldPosition="6"/>
    </format>
    <format dxfId="11053">
      <pivotArea field="81" type="button" dataOnly="0" labelOnly="1" outline="0" axis="axisRow" fieldPosition="8"/>
    </format>
    <format dxfId="11052">
      <pivotArea field="82" type="button" dataOnly="0" labelOnly="1" outline="0" axis="axisRow" fieldPosition="9"/>
    </format>
    <format dxfId="11051">
      <pivotArea field="87" type="button" dataOnly="0" labelOnly="1" outline="0" axis="axisRow" fieldPosition="12"/>
    </format>
    <format dxfId="11050">
      <pivotArea field="88" type="button" dataOnly="0" labelOnly="1" outline="0" axis="axisRow" fieldPosition="13"/>
    </format>
    <format dxfId="11049">
      <pivotArea field="72" type="button" dataOnly="0" labelOnly="1" outline="0" axis="axisRow" fieldPosition="5"/>
    </format>
    <format dxfId="11048">
      <pivotArea field="13" type="button" dataOnly="0" labelOnly="1" outline="0" axis="axisRow" fieldPosition="6"/>
    </format>
    <format dxfId="11047">
      <pivotArea field="81" type="button" dataOnly="0" labelOnly="1" outline="0" axis="axisRow" fieldPosition="8"/>
    </format>
    <format dxfId="11046">
      <pivotArea field="82" type="button" dataOnly="0" labelOnly="1" outline="0" axis="axisRow" fieldPosition="9"/>
    </format>
    <format dxfId="11045">
      <pivotArea field="87" type="button" dataOnly="0" labelOnly="1" outline="0" axis="axisRow" fieldPosition="12"/>
    </format>
    <format dxfId="11044">
      <pivotArea field="88" type="button" dataOnly="0" labelOnly="1" outline="0" axis="axisRow" fieldPosition="13"/>
    </format>
    <format dxfId="11043">
      <pivotArea field="72" type="button" dataOnly="0" labelOnly="1" outline="0" axis="axisRow" fieldPosition="5"/>
    </format>
    <format dxfId="11042">
      <pivotArea field="13" type="button" dataOnly="0" labelOnly="1" outline="0" axis="axisRow" fieldPosition="6"/>
    </format>
    <format dxfId="11041">
      <pivotArea field="81" type="button" dataOnly="0" labelOnly="1" outline="0" axis="axisRow" fieldPosition="8"/>
    </format>
    <format dxfId="11040">
      <pivotArea field="82" type="button" dataOnly="0" labelOnly="1" outline="0" axis="axisRow" fieldPosition="9"/>
    </format>
    <format dxfId="11039">
      <pivotArea field="87" type="button" dataOnly="0" labelOnly="1" outline="0" axis="axisRow" fieldPosition="12"/>
    </format>
    <format dxfId="11038">
      <pivotArea field="88" type="button" dataOnly="0" labelOnly="1" outline="0" axis="axisRow" fieldPosition="13"/>
    </format>
    <format dxfId="11037">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11036">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11035">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034">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033">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032">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031">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030">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029">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028">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027">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026">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025">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1024">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1023">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022">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021">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020">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019">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1018">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1017">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1016">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1015">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1014">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013">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012">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1011">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010">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009">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008">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007">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1006">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1005">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1004">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1003">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1002">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1001">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1000">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999">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998">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997">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996">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995">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994">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993">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992">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991">
      <pivotArea field="72" type="button" dataOnly="0" labelOnly="1" outline="0" axis="axisRow" fieldPosition="5"/>
    </format>
    <format dxfId="10990">
      <pivotArea field="13" type="button" dataOnly="0" labelOnly="1" outline="0" axis="axisRow" fieldPosition="6"/>
    </format>
    <format dxfId="1098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10988">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10987">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10986">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10985">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10984">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0983">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0982">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10981">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10980">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1097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10978">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10977">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1097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0975">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10974">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1097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0972">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10971">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10970">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10969">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10968">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10967">
      <pivotArea field="81" type="button" dataOnly="0" labelOnly="1" outline="0" axis="axisRow" fieldPosition="8"/>
    </format>
    <format dxfId="1096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44"/>
          </reference>
        </references>
      </pivotArea>
    </format>
    <format dxfId="1096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45"/>
          </reference>
        </references>
      </pivotArea>
    </format>
    <format dxfId="1096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76"/>
          </reference>
        </references>
      </pivotArea>
    </format>
    <format dxfId="1096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77"/>
          </reference>
        </references>
      </pivotArea>
    </format>
    <format dxfId="1096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84"/>
          </reference>
        </references>
      </pivotArea>
    </format>
    <format dxfId="1096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85"/>
          </reference>
        </references>
      </pivotArea>
    </format>
    <format dxfId="1096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46"/>
          </reference>
        </references>
      </pivotArea>
    </format>
    <format dxfId="1095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47"/>
          </reference>
        </references>
      </pivotArea>
    </format>
    <format dxfId="1095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82"/>
          </reference>
        </references>
      </pivotArea>
    </format>
    <format dxfId="1095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83"/>
          </reference>
        </references>
      </pivotArea>
    </format>
    <format dxfId="1095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84"/>
          </reference>
        </references>
      </pivotArea>
    </format>
    <format dxfId="1095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79"/>
          </reference>
        </references>
      </pivotArea>
    </format>
    <format dxfId="1095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46"/>
          </reference>
        </references>
      </pivotArea>
    </format>
    <format dxfId="1095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47"/>
          </reference>
        </references>
      </pivotArea>
    </format>
    <format dxfId="1095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82"/>
          </reference>
        </references>
      </pivotArea>
    </format>
    <format dxfId="1095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83"/>
          </reference>
        </references>
      </pivotArea>
    </format>
    <format dxfId="1095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84"/>
          </reference>
        </references>
      </pivotArea>
    </format>
    <format dxfId="1094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79"/>
          </reference>
        </references>
      </pivotArea>
    </format>
    <format dxfId="1094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46"/>
          </reference>
        </references>
      </pivotArea>
    </format>
    <format dxfId="1094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47"/>
          </reference>
        </references>
      </pivotArea>
    </format>
    <format dxfId="1094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067"/>
          </reference>
        </references>
      </pivotArea>
    </format>
    <format dxfId="1094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94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079"/>
          </reference>
        </references>
      </pivotArea>
    </format>
    <format dxfId="1094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975"/>
          </reference>
        </references>
      </pivotArea>
    </format>
    <format dxfId="1094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80"/>
          </reference>
        </references>
      </pivotArea>
    </format>
    <format dxfId="1094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81"/>
          </reference>
        </references>
      </pivotArea>
    </format>
    <format dxfId="1094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44"/>
          </reference>
        </references>
      </pivotArea>
    </format>
    <format dxfId="1093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45"/>
          </reference>
        </references>
      </pivotArea>
    </format>
    <format dxfId="1093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76"/>
          </reference>
        </references>
      </pivotArea>
    </format>
    <format dxfId="1093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77"/>
          </reference>
        </references>
      </pivotArea>
    </format>
    <format dxfId="1093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84"/>
          </reference>
        </references>
      </pivotArea>
    </format>
    <format dxfId="1093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85"/>
          </reference>
        </references>
      </pivotArea>
    </format>
    <format dxfId="1093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105"/>
          </reference>
        </references>
      </pivotArea>
    </format>
    <format dxfId="1093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040"/>
          </reference>
        </references>
      </pivotArea>
    </format>
    <format dxfId="1093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017"/>
          </reference>
        </references>
      </pivotArea>
    </format>
    <format dxfId="1093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041"/>
          </reference>
        </references>
      </pivotArea>
    </format>
    <format dxfId="1093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033"/>
          </reference>
        </references>
      </pivotArea>
    </format>
    <format dxfId="1092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042"/>
          </reference>
        </references>
      </pivotArea>
    </format>
    <format dxfId="1092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034"/>
          </reference>
        </references>
      </pivotArea>
    </format>
    <format dxfId="1092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043"/>
          </reference>
        </references>
      </pivotArea>
    </format>
    <format dxfId="1092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031"/>
          </reference>
        </references>
      </pivotArea>
    </format>
    <format dxfId="1092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82"/>
          </reference>
        </references>
      </pivotArea>
    </format>
    <format dxfId="1092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83"/>
          </reference>
        </references>
      </pivotArea>
    </format>
    <format dxfId="1092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84"/>
          </reference>
        </references>
      </pivotArea>
    </format>
    <format dxfId="1092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79"/>
          </reference>
        </references>
      </pivotArea>
    </format>
    <format dxfId="1092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105"/>
          </reference>
        </references>
      </pivotArea>
    </format>
    <format dxfId="1092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44"/>
          </reference>
        </references>
      </pivotArea>
    </format>
    <format dxfId="1091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45"/>
          </reference>
        </references>
      </pivotArea>
    </format>
    <format dxfId="1091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975"/>
          </reference>
        </references>
      </pivotArea>
    </format>
    <format dxfId="1091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80"/>
          </reference>
        </references>
      </pivotArea>
    </format>
    <format dxfId="1091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81"/>
          </reference>
        </references>
      </pivotArea>
    </format>
    <format dxfId="1091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44"/>
          </reference>
        </references>
      </pivotArea>
    </format>
    <format dxfId="1091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45"/>
          </reference>
        </references>
      </pivotArea>
    </format>
    <format dxfId="1091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76"/>
          </reference>
        </references>
      </pivotArea>
    </format>
    <format dxfId="1091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77"/>
          </reference>
        </references>
      </pivotArea>
    </format>
    <format dxfId="1091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84"/>
          </reference>
        </references>
      </pivotArea>
    </format>
    <format dxfId="1091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85"/>
          </reference>
        </references>
      </pivotArea>
    </format>
    <format dxfId="1090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46"/>
          </reference>
        </references>
      </pivotArea>
    </format>
    <format dxfId="1090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47"/>
          </reference>
        </references>
      </pivotArea>
    </format>
    <format dxfId="10907">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82"/>
          </reference>
        </references>
      </pivotArea>
    </format>
    <format dxfId="1090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995"/>
          </reference>
        </references>
      </pivotArea>
    </format>
    <format dxfId="1090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994"/>
          </reference>
        </references>
      </pivotArea>
    </format>
    <format dxfId="1090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087"/>
          </reference>
        </references>
      </pivotArea>
    </format>
    <format dxfId="10903">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063"/>
          </reference>
        </references>
      </pivotArea>
    </format>
    <format dxfId="1090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052"/>
          </reference>
        </references>
      </pivotArea>
    </format>
    <format dxfId="1090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000"/>
          </reference>
        </references>
      </pivotArea>
    </format>
    <format dxfId="1090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85"/>
          </reference>
        </references>
      </pivotArea>
    </format>
    <format dxfId="1089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86"/>
          </reference>
        </references>
      </pivotArea>
    </format>
    <format dxfId="1089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048"/>
          </reference>
        </references>
      </pivotArea>
    </format>
    <format dxfId="1089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049"/>
          </reference>
        </references>
      </pivotArea>
    </format>
    <format dxfId="1089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106"/>
          </reference>
        </references>
      </pivotArea>
    </format>
    <format dxfId="1089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000"/>
          </reference>
        </references>
      </pivotArea>
    </format>
    <format dxfId="1089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85"/>
          </reference>
        </references>
      </pivotArea>
    </format>
    <format dxfId="1089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86"/>
          </reference>
        </references>
      </pivotArea>
    </format>
    <format dxfId="1089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090"/>
          </reference>
        </references>
      </pivotArea>
    </format>
    <format dxfId="1089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091"/>
          </reference>
        </references>
      </pivotArea>
    </format>
    <format dxfId="1089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092"/>
          </reference>
        </references>
      </pivotArea>
    </format>
    <format dxfId="1088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060"/>
          </reference>
        </references>
      </pivotArea>
    </format>
    <format dxfId="1088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88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033"/>
          </reference>
        </references>
      </pivotArea>
    </format>
    <format dxfId="108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034"/>
          </reference>
        </references>
      </pivotArea>
    </format>
    <format dxfId="1088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031"/>
          </reference>
        </references>
      </pivotArea>
    </format>
    <format dxfId="1088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032"/>
          </reference>
        </references>
      </pivotArea>
    </format>
    <format dxfId="1088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993"/>
          </reference>
        </references>
      </pivotArea>
    </format>
    <format dxfId="1088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088"/>
          </reference>
        </references>
      </pivotArea>
    </format>
    <format dxfId="1088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089"/>
          </reference>
        </references>
      </pivotArea>
    </format>
    <format dxfId="1088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1102"/>
          </reference>
        </references>
      </pivotArea>
    </format>
    <format dxfId="1087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065"/>
          </reference>
        </references>
      </pivotArea>
    </format>
    <format dxfId="1087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077"/>
          </reference>
        </references>
      </pivotArea>
    </format>
    <format dxfId="1087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989"/>
          </reference>
        </references>
      </pivotArea>
    </format>
    <format dxfId="1087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078"/>
          </reference>
        </references>
      </pivotArea>
    </format>
    <format dxfId="1087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066"/>
          </reference>
        </references>
      </pivotArea>
    </format>
    <format dxfId="1087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065"/>
          </reference>
        </references>
      </pivotArea>
    </format>
    <format dxfId="1087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037"/>
          </reference>
        </references>
      </pivotArea>
    </format>
    <format dxfId="1087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038"/>
          </reference>
        </references>
      </pivotArea>
    </format>
    <format dxfId="1087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035"/>
          </reference>
        </references>
      </pivotArea>
    </format>
    <format dxfId="1087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036"/>
          </reference>
        </references>
      </pivotArea>
    </format>
    <format dxfId="1086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87"/>
          </reference>
        </references>
      </pivotArea>
    </format>
    <format dxfId="1086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83"/>
          </reference>
        </references>
      </pivotArea>
    </format>
    <format dxfId="1086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074"/>
          </reference>
        </references>
      </pivotArea>
    </format>
    <format dxfId="1086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865">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066"/>
          </reference>
        </references>
      </pivotArea>
    </format>
    <format dxfId="1086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87"/>
          </reference>
        </references>
      </pivotArea>
    </format>
    <format dxfId="1086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83"/>
          </reference>
        </references>
      </pivotArea>
    </format>
    <format dxfId="1086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074"/>
          </reference>
        </references>
      </pivotArea>
    </format>
    <format dxfId="1086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064"/>
          </reference>
        </references>
      </pivotArea>
    </format>
    <format dxfId="1086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85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90"/>
          </reference>
        </references>
      </pivotArea>
    </format>
    <format dxfId="1085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977"/>
          </reference>
        </references>
      </pivotArea>
    </format>
    <format dxfId="1085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84"/>
          </reference>
        </references>
      </pivotArea>
    </format>
    <format dxfId="1085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004"/>
          </reference>
        </references>
      </pivotArea>
    </format>
    <format dxfId="1085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003"/>
          </reference>
        </references>
      </pivotArea>
    </format>
    <format dxfId="1085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005"/>
          </reference>
        </references>
      </pivotArea>
    </format>
    <format dxfId="1085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90"/>
          </reference>
        </references>
      </pivotArea>
    </format>
    <format dxfId="1085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977"/>
          </reference>
        </references>
      </pivotArea>
    </format>
    <format dxfId="1085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84"/>
          </reference>
        </references>
      </pivotArea>
    </format>
    <format dxfId="1085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052"/>
          </reference>
        </references>
      </pivotArea>
    </format>
    <format dxfId="1084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76"/>
          </reference>
        </references>
      </pivotArea>
    </format>
    <format dxfId="1084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77"/>
          </reference>
        </references>
      </pivotArea>
    </format>
    <format dxfId="1084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84"/>
          </reference>
        </references>
      </pivotArea>
    </format>
    <format dxfId="1084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85"/>
          </reference>
        </references>
      </pivotArea>
    </format>
    <format dxfId="1084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67"/>
          </reference>
        </references>
      </pivotArea>
    </format>
    <format dxfId="1084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68"/>
          </reference>
        </references>
      </pivotArea>
    </format>
    <format dxfId="1084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69"/>
          </reference>
        </references>
      </pivotArea>
    </format>
    <format dxfId="1084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70"/>
          </reference>
        </references>
      </pivotArea>
    </format>
    <format dxfId="1084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071"/>
          </reference>
        </references>
      </pivotArea>
    </format>
    <format dxfId="1084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070"/>
          </reference>
        </references>
      </pivotArea>
    </format>
    <format dxfId="1083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67"/>
          </reference>
        </references>
      </pivotArea>
    </format>
    <format dxfId="1083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68"/>
          </reference>
        </references>
      </pivotArea>
    </format>
    <format dxfId="1083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69"/>
          </reference>
        </references>
      </pivotArea>
    </format>
    <format dxfId="1083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70"/>
          </reference>
        </references>
      </pivotArea>
    </format>
    <format dxfId="1083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67"/>
          </reference>
        </references>
      </pivotArea>
    </format>
    <format dxfId="1083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68"/>
          </reference>
        </references>
      </pivotArea>
    </format>
    <format dxfId="1083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69"/>
          </reference>
        </references>
      </pivotArea>
    </format>
    <format dxfId="1083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70"/>
          </reference>
        </references>
      </pivotArea>
    </format>
    <format dxfId="1083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984"/>
          </reference>
        </references>
      </pivotArea>
    </format>
    <format dxfId="1083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986"/>
          </reference>
        </references>
      </pivotArea>
    </format>
    <format dxfId="1082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991"/>
          </reference>
        </references>
      </pivotArea>
    </format>
    <format dxfId="1082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61"/>
          </reference>
        </references>
      </pivotArea>
    </format>
    <format dxfId="1082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062"/>
          </reference>
        </references>
      </pivotArea>
    </format>
    <format dxfId="1082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82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028"/>
          </reference>
        </references>
      </pivotArea>
    </format>
    <format dxfId="1082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018"/>
          </reference>
        </references>
      </pivotArea>
    </format>
    <format dxfId="1082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029"/>
          </reference>
        </references>
      </pivotArea>
    </format>
    <format dxfId="1082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030"/>
          </reference>
        </references>
      </pivotArea>
    </format>
    <format dxfId="1082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085"/>
          </reference>
        </references>
      </pivotArea>
    </format>
    <format dxfId="1082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099"/>
          </reference>
        </references>
      </pivotArea>
    </format>
    <format dxfId="1081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003"/>
          </reference>
        </references>
      </pivotArea>
    </format>
    <format dxfId="1081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46"/>
          </reference>
        </references>
      </pivotArea>
    </format>
    <format dxfId="1081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052"/>
          </reference>
        </references>
      </pivotArea>
    </format>
    <format dxfId="1081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61"/>
          </reference>
        </references>
      </pivotArea>
    </format>
    <format dxfId="1081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062"/>
          </reference>
        </references>
      </pivotArea>
    </format>
    <format dxfId="1081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61"/>
          </reference>
        </references>
      </pivotArea>
    </format>
    <format dxfId="1081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062"/>
          </reference>
        </references>
      </pivotArea>
    </format>
    <format dxfId="1081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57"/>
          </reference>
        </references>
      </pivotArea>
    </format>
    <format dxfId="1081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026"/>
          </reference>
        </references>
      </pivotArea>
    </format>
    <format dxfId="1081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024"/>
          </reference>
        </references>
      </pivotArea>
    </format>
    <format dxfId="1080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027"/>
          </reference>
        </references>
      </pivotArea>
    </format>
    <format dxfId="1080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019"/>
          </reference>
        </references>
      </pivotArea>
    </format>
    <format dxfId="1080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097"/>
          </reference>
        </references>
      </pivotArea>
    </format>
    <format dxfId="1080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084"/>
          </reference>
        </references>
      </pivotArea>
    </format>
    <format dxfId="1080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098"/>
          </reference>
        </references>
      </pivotArea>
    </format>
    <format dxfId="1080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61"/>
          </reference>
        </references>
      </pivotArea>
    </format>
    <format dxfId="1080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062"/>
          </reference>
        </references>
      </pivotArea>
    </format>
    <format dxfId="1080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075"/>
          </reference>
        </references>
      </pivotArea>
    </format>
    <format dxfId="1080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074"/>
          </reference>
        </references>
      </pivotArea>
    </format>
    <format dxfId="1080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072"/>
          </reference>
        </references>
      </pivotArea>
    </format>
    <format dxfId="1079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073"/>
          </reference>
        </references>
      </pivotArea>
    </format>
    <format dxfId="1079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039"/>
          </reference>
        </references>
      </pivotArea>
    </format>
    <format dxfId="1079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093"/>
          </reference>
        </references>
      </pivotArea>
    </format>
    <format dxfId="1079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094"/>
          </reference>
        </references>
      </pivotArea>
    </format>
    <format dxfId="1079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004"/>
          </reference>
        </references>
      </pivotArea>
    </format>
    <format dxfId="1079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99"/>
          </reference>
        </references>
      </pivotArea>
    </format>
    <format dxfId="1079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000"/>
          </reference>
        </references>
      </pivotArea>
    </format>
    <format dxfId="1079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98"/>
          </reference>
        </references>
      </pivotArea>
    </format>
    <format dxfId="1079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039"/>
          </reference>
        </references>
      </pivotArea>
    </format>
    <format dxfId="1079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095"/>
          </reference>
        </references>
      </pivotArea>
    </format>
    <format dxfId="1078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096"/>
          </reference>
        </references>
      </pivotArea>
    </format>
    <format dxfId="1078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085"/>
          </reference>
        </references>
      </pivotArea>
    </format>
    <format dxfId="1078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99"/>
          </reference>
        </references>
      </pivotArea>
    </format>
    <format dxfId="1078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000"/>
          </reference>
        </references>
      </pivotArea>
    </format>
    <format dxfId="1078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001"/>
          </reference>
        </references>
      </pivotArea>
    </format>
    <format dxfId="1078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98"/>
          </reference>
        </references>
      </pivotArea>
    </format>
    <format dxfId="1078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002"/>
          </reference>
        </references>
      </pivotArea>
    </format>
    <format dxfId="1078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058"/>
          </reference>
        </references>
      </pivotArea>
    </format>
    <format dxfId="1078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059"/>
          </reference>
        </references>
      </pivotArea>
    </format>
    <format dxfId="1078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87"/>
          </reference>
        </references>
      </pivotArea>
    </format>
    <format dxfId="1077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88"/>
          </reference>
        </references>
      </pivotArea>
    </format>
    <format dxfId="1077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969"/>
          </reference>
        </references>
      </pivotArea>
    </format>
    <format dxfId="1077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85"/>
          </reference>
        </references>
      </pivotArea>
    </format>
    <format dxfId="1077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87"/>
          </reference>
        </references>
      </pivotArea>
    </format>
    <format dxfId="1077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88"/>
          </reference>
        </references>
      </pivotArea>
    </format>
    <format dxfId="1077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969"/>
          </reference>
        </references>
      </pivotArea>
    </format>
    <format dxfId="1077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85"/>
          </reference>
        </references>
      </pivotArea>
    </format>
    <format dxfId="1077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987"/>
          </reference>
        </references>
      </pivotArea>
    </format>
    <format dxfId="1077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968"/>
          </reference>
        </references>
      </pivotArea>
    </format>
    <format dxfId="1077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985"/>
          </reference>
        </references>
      </pivotArea>
    </format>
    <format dxfId="1076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978"/>
          </reference>
        </references>
      </pivotArea>
    </format>
    <format dxfId="1076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066"/>
          </reference>
        </references>
      </pivotArea>
    </format>
    <format dxfId="1076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068"/>
          </reference>
        </references>
      </pivotArea>
    </format>
    <format dxfId="1076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013"/>
          </reference>
        </references>
      </pivotArea>
    </format>
    <format dxfId="1076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993"/>
          </reference>
        </references>
      </pivotArea>
    </format>
    <format dxfId="1076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994"/>
          </reference>
        </references>
      </pivotArea>
    </format>
    <format dxfId="10763">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0762">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996"/>
          </reference>
        </references>
      </pivotArea>
    </format>
    <format dxfId="1076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14"/>
          </reference>
        </references>
      </pivotArea>
    </format>
    <format dxfId="1076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17"/>
          </reference>
        </references>
      </pivotArea>
    </format>
    <format dxfId="1075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15"/>
          </reference>
        </references>
      </pivotArea>
    </format>
    <format dxfId="1075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16"/>
          </reference>
        </references>
      </pivotArea>
    </format>
    <format dxfId="1075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79"/>
          </reference>
        </references>
      </pivotArea>
    </format>
    <format dxfId="1075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75"/>
          </reference>
        </references>
      </pivotArea>
    </format>
    <format dxfId="1075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76"/>
          </reference>
        </references>
      </pivotArea>
    </format>
    <format dxfId="1075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77"/>
          </reference>
        </references>
      </pivotArea>
    </format>
    <format dxfId="1075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78"/>
          </reference>
        </references>
      </pivotArea>
    </format>
    <format dxfId="1075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14"/>
          </reference>
        </references>
      </pivotArea>
    </format>
    <format dxfId="1075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17"/>
          </reference>
        </references>
      </pivotArea>
    </format>
    <format dxfId="1075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15"/>
          </reference>
        </references>
      </pivotArea>
    </format>
    <format dxfId="1074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16"/>
          </reference>
        </references>
      </pivotArea>
    </format>
    <format dxfId="1074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79"/>
          </reference>
        </references>
      </pivotArea>
    </format>
    <format dxfId="1074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75"/>
          </reference>
        </references>
      </pivotArea>
    </format>
    <format dxfId="1074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76"/>
          </reference>
        </references>
      </pivotArea>
    </format>
    <format dxfId="1074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77"/>
          </reference>
        </references>
      </pivotArea>
    </format>
    <format dxfId="1074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78"/>
          </reference>
        </references>
      </pivotArea>
    </format>
    <format dxfId="1074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14"/>
          </reference>
        </references>
      </pivotArea>
    </format>
    <format dxfId="1074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17"/>
          </reference>
        </references>
      </pivotArea>
    </format>
    <format dxfId="1074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15"/>
          </reference>
        </references>
      </pivotArea>
    </format>
    <format dxfId="1074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16"/>
          </reference>
        </references>
      </pivotArea>
    </format>
    <format dxfId="1073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79"/>
          </reference>
        </references>
      </pivotArea>
    </format>
    <format dxfId="1073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75"/>
          </reference>
        </references>
      </pivotArea>
    </format>
    <format dxfId="1073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76"/>
          </reference>
        </references>
      </pivotArea>
    </format>
    <format dxfId="1073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77"/>
          </reference>
        </references>
      </pivotArea>
    </format>
    <format dxfId="1073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78"/>
          </reference>
        </references>
      </pivotArea>
    </format>
    <format dxfId="1073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990"/>
          </reference>
        </references>
      </pivotArea>
    </format>
    <format dxfId="1073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992"/>
          </reference>
        </references>
      </pivotArea>
    </format>
    <format dxfId="1073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991"/>
          </reference>
        </references>
      </pivotArea>
    </format>
    <format dxfId="1073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978"/>
          </reference>
        </references>
      </pivotArea>
    </format>
    <format dxfId="1073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80"/>
          </reference>
        </references>
      </pivotArea>
    </format>
    <format dxfId="1072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81"/>
          </reference>
        </references>
      </pivotArea>
    </format>
    <format dxfId="1072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82"/>
          </reference>
        </references>
      </pivotArea>
    </format>
    <format dxfId="1072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83"/>
          </reference>
        </references>
      </pivotArea>
    </format>
    <format dxfId="1072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80"/>
          </reference>
        </references>
      </pivotArea>
    </format>
    <format dxfId="1072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81"/>
          </reference>
        </references>
      </pivotArea>
    </format>
    <format dxfId="1072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82"/>
          </reference>
        </references>
      </pivotArea>
    </format>
    <format dxfId="1072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83"/>
          </reference>
        </references>
      </pivotArea>
    </format>
    <format dxfId="1072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971"/>
          </reference>
        </references>
      </pivotArea>
    </format>
    <format dxfId="1072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973"/>
          </reference>
        </references>
      </pivotArea>
    </format>
    <format dxfId="1072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974"/>
          </reference>
        </references>
      </pivotArea>
    </format>
    <format dxfId="1071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972"/>
          </reference>
        </references>
      </pivotArea>
    </format>
    <format dxfId="1071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012"/>
          </reference>
        </references>
      </pivotArea>
    </format>
    <format dxfId="1071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971"/>
          </reference>
        </references>
      </pivotArea>
    </format>
    <format dxfId="1071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011"/>
          </reference>
        </references>
      </pivotArea>
    </format>
    <format dxfId="1071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014"/>
          </reference>
        </references>
      </pivotArea>
    </format>
    <format dxfId="1071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017"/>
          </reference>
        </references>
      </pivotArea>
    </format>
    <format dxfId="1071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015"/>
          </reference>
        </references>
      </pivotArea>
    </format>
    <format dxfId="1071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016"/>
          </reference>
        </references>
      </pivotArea>
    </format>
    <format dxfId="1071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75"/>
          </reference>
        </references>
      </pivotArea>
    </format>
    <format dxfId="1071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76"/>
          </reference>
        </references>
      </pivotArea>
    </format>
    <format dxfId="1070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77"/>
          </reference>
        </references>
      </pivotArea>
    </format>
    <format dxfId="1070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78"/>
          </reference>
        </references>
      </pivotArea>
    </format>
    <format dxfId="1070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75"/>
          </reference>
        </references>
      </pivotArea>
    </format>
    <format dxfId="1070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76"/>
          </reference>
        </references>
      </pivotArea>
    </format>
    <format dxfId="1070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77"/>
          </reference>
        </references>
      </pivotArea>
    </format>
    <format dxfId="1070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78"/>
          </reference>
        </references>
      </pivotArea>
    </format>
    <format dxfId="10703">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103"/>
          </reference>
        </references>
      </pivotArea>
    </format>
    <format dxfId="10702">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997"/>
          </reference>
        </references>
      </pivotArea>
    </format>
    <format dxfId="1070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110"/>
          </reference>
        </references>
      </pivotArea>
    </format>
    <format dxfId="10700">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111"/>
          </reference>
        </references>
      </pivotArea>
    </format>
    <format dxfId="10699">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1112"/>
          </reference>
        </references>
      </pivotArea>
    </format>
    <format dxfId="1069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100"/>
          </reference>
        </references>
      </pivotArea>
    </format>
    <format dxfId="1069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108"/>
          </reference>
        </references>
      </pivotArea>
    </format>
    <format dxfId="1069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101"/>
          </reference>
        </references>
      </pivotArea>
    </format>
    <format dxfId="10695">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104"/>
          </reference>
        </references>
      </pivotArea>
    </format>
    <format dxfId="10694">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108"/>
          </reference>
        </references>
      </pivotArea>
    </format>
    <format dxfId="1069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076"/>
          </reference>
        </references>
      </pivotArea>
    </format>
    <format dxfId="1069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995"/>
          </reference>
        </references>
      </pivotArea>
    </format>
    <format dxfId="1069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969"/>
          </reference>
        </references>
      </pivotArea>
    </format>
    <format dxfId="1069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973"/>
          </reference>
        </references>
      </pivotArea>
    </format>
    <format dxfId="106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011"/>
          </reference>
        </references>
      </pivotArea>
    </format>
    <format dxfId="1068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010"/>
          </reference>
        </references>
      </pivotArea>
    </format>
    <format dxfId="1068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009"/>
          </reference>
        </references>
      </pivotArea>
    </format>
    <format dxfId="106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008"/>
          </reference>
        </references>
      </pivotArea>
    </format>
    <format dxfId="106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006"/>
          </reference>
        </references>
      </pivotArea>
    </format>
    <format dxfId="106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972"/>
          </reference>
        </references>
      </pivotArea>
    </format>
    <format dxfId="1068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007"/>
          </reference>
        </references>
      </pivotArea>
    </format>
    <format dxfId="1068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1109"/>
          </reference>
        </references>
      </pivotArea>
    </format>
    <format dxfId="1068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107"/>
          </reference>
        </references>
      </pivotArea>
    </format>
    <format dxfId="1068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969"/>
          </reference>
        </references>
      </pivotArea>
    </format>
    <format dxfId="1067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006"/>
          </reference>
        </references>
      </pivotArea>
    </format>
    <format dxfId="1067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107"/>
          </reference>
        </references>
      </pivotArea>
    </format>
    <format dxfId="1067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989"/>
          </reference>
        </references>
      </pivotArea>
    </format>
    <format dxfId="1067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050"/>
          </reference>
        </references>
      </pivotArea>
    </format>
    <format dxfId="10675">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051"/>
          </reference>
        </references>
      </pivotArea>
    </format>
    <format dxfId="10674">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050"/>
          </reference>
        </references>
      </pivotArea>
    </format>
    <format dxfId="10673">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051"/>
          </reference>
        </references>
      </pivotArea>
    </format>
    <format dxfId="1067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053"/>
          </reference>
        </references>
      </pivotArea>
    </format>
    <format dxfId="1067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054"/>
          </reference>
        </references>
      </pivotArea>
    </format>
    <format dxfId="10670">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053"/>
          </reference>
        </references>
      </pivotArea>
    </format>
    <format dxfId="1066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055"/>
          </reference>
        </references>
      </pivotArea>
    </format>
    <format dxfId="1066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056"/>
          </reference>
        </references>
      </pivotArea>
    </format>
    <format dxfId="10667">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069"/>
          </reference>
        </references>
      </pivotArea>
    </format>
    <format dxfId="1066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024"/>
          </reference>
        </references>
      </pivotArea>
    </format>
    <format dxfId="1066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025"/>
          </reference>
        </references>
      </pivotArea>
    </format>
    <format dxfId="1066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022"/>
          </reference>
        </references>
      </pivotArea>
    </format>
    <format dxfId="1066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023"/>
          </reference>
        </references>
      </pivotArea>
    </format>
    <format dxfId="1066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018"/>
          </reference>
        </references>
      </pivotArea>
    </format>
    <format dxfId="1066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019"/>
          </reference>
        </references>
      </pivotArea>
    </format>
    <format dxfId="1066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020"/>
          </reference>
        </references>
      </pivotArea>
    </format>
    <format dxfId="1065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021"/>
          </reference>
        </references>
      </pivotArea>
    </format>
    <format dxfId="1065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977"/>
          </reference>
        </references>
      </pivotArea>
    </format>
    <format dxfId="1065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984"/>
          </reference>
        </references>
      </pivotArea>
    </format>
    <format dxfId="1065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986"/>
          </reference>
        </references>
      </pivotArea>
    </format>
    <format dxfId="1065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987"/>
          </reference>
        </references>
      </pivotArea>
    </format>
    <format dxfId="10654">
      <pivotArea field="82" type="button" dataOnly="0" labelOnly="1" outline="0" axis="axisRow" fieldPosition="9"/>
    </format>
    <format dxfId="10653">
      <pivotArea field="87" type="button" dataOnly="0" labelOnly="1" outline="0" axis="axisRow" fieldPosition="12"/>
    </format>
    <format dxfId="10652">
      <pivotArea field="88" type="button" dataOnly="0" labelOnly="1" outline="0" axis="axisRow" fieldPosition="13"/>
    </format>
    <format dxfId="10651">
      <pivotArea field="72" type="button" dataOnly="0" labelOnly="1" outline="0" axis="axisRow" fieldPosition="5"/>
    </format>
    <format dxfId="10650">
      <pivotArea field="13" type="button" dataOnly="0" labelOnly="1" outline="0" axis="axisRow" fieldPosition="6"/>
    </format>
    <format dxfId="10649">
      <pivotArea field="81" type="button" dataOnly="0" labelOnly="1" outline="0" axis="axisRow" fieldPosition="8"/>
    </format>
    <format dxfId="10648">
      <pivotArea field="82" type="button" dataOnly="0" labelOnly="1" outline="0" axis="axisRow" fieldPosition="9"/>
    </format>
    <format dxfId="10647">
      <pivotArea field="87" type="button" dataOnly="0" labelOnly="1" outline="0" axis="axisRow" fieldPosition="12"/>
    </format>
    <format dxfId="10646">
      <pivotArea field="88" type="button" dataOnly="0" labelOnly="1" outline="0" axis="axisRow" fieldPosition="13"/>
    </format>
    <format dxfId="10645">
      <pivotArea field="72" type="button" dataOnly="0" labelOnly="1" outline="0" axis="axisRow" fieldPosition="5"/>
    </format>
    <format dxfId="10644">
      <pivotArea field="13" type="button" dataOnly="0" labelOnly="1" outline="0" axis="axisRow" fieldPosition="6"/>
    </format>
    <format dxfId="10643">
      <pivotArea field="81" type="button" dataOnly="0" labelOnly="1" outline="0" axis="axisRow" fieldPosition="8"/>
    </format>
    <format dxfId="10642">
      <pivotArea field="82" type="button" dataOnly="0" labelOnly="1" outline="0" axis="axisRow" fieldPosition="9"/>
    </format>
    <format dxfId="10641">
      <pivotArea field="87" type="button" dataOnly="0" labelOnly="1" outline="0" axis="axisRow" fieldPosition="12"/>
    </format>
    <format dxfId="10640">
      <pivotArea field="88" type="button" dataOnly="0" labelOnly="1" outline="0" axis="axisRow" fieldPosition="13"/>
    </format>
    <format dxfId="10639">
      <pivotArea dataOnly="0" labelOnly="1" outline="0" fieldPosition="0">
        <references count="3">
          <reference field="1" count="0" selected="0"/>
          <reference field="2" count="0"/>
          <reference field="3" count="1" selected="0">
            <x v="5"/>
          </reference>
        </references>
      </pivotArea>
    </format>
    <format dxfId="10638">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10637">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10636">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10635">
      <pivotArea field="72" type="button" dataOnly="0" labelOnly="1" outline="0" axis="axisRow" fieldPosition="5"/>
    </format>
    <format dxfId="10634">
      <pivotArea field="13" type="button" dataOnly="0" labelOnly="1" outline="0" axis="axisRow" fieldPosition="6"/>
    </format>
    <format dxfId="10633">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10632">
      <pivotArea field="81" type="button" dataOnly="0" labelOnly="1" outline="0" axis="axisRow" fieldPosition="8"/>
    </format>
    <format dxfId="10631">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1482"/>
          </reference>
        </references>
      </pivotArea>
    </format>
    <format dxfId="10630">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500"/>
          </reference>
        </references>
      </pivotArea>
    </format>
    <format dxfId="10629">
      <pivotArea field="82" type="button" dataOnly="0" labelOnly="1" outline="0" axis="axisRow" fieldPosition="9"/>
    </format>
    <format dxfId="10628">
      <pivotArea field="87" type="button" dataOnly="0" labelOnly="1" outline="0" axis="axisRow" fieldPosition="12"/>
    </format>
    <format dxfId="10627">
      <pivotArea field="88" type="button" dataOnly="0" labelOnly="1" outline="0" axis="axisRow" fieldPosition="13"/>
    </format>
    <format dxfId="10626">
      <pivotArea field="72" type="button" dataOnly="0" labelOnly="1" outline="0" axis="axisRow" fieldPosition="5"/>
    </format>
    <format dxfId="10625">
      <pivotArea field="13" type="button" dataOnly="0" labelOnly="1" outline="0" axis="axisRow" fieldPosition="6"/>
    </format>
    <format dxfId="10624">
      <pivotArea field="81" type="button" dataOnly="0" labelOnly="1" outline="0" axis="axisRow" fieldPosition="8"/>
    </format>
    <format dxfId="10623">
      <pivotArea field="82" type="button" dataOnly="0" labelOnly="1" outline="0" axis="axisRow" fieldPosition="9"/>
    </format>
    <format dxfId="10622">
      <pivotArea field="87" type="button" dataOnly="0" labelOnly="1" outline="0" axis="axisRow" fieldPosition="12"/>
    </format>
    <format dxfId="10621">
      <pivotArea field="88" type="button" dataOnly="0" labelOnly="1" outline="0" axis="axisRow" fieldPosition="13"/>
    </format>
    <format dxfId="10620">
      <pivotArea field="72" type="button" dataOnly="0" labelOnly="1" outline="0" axis="axisRow" fieldPosition="5"/>
    </format>
    <format dxfId="10619">
      <pivotArea field="13" type="button" dataOnly="0" labelOnly="1" outline="0" axis="axisRow" fieldPosition="6"/>
    </format>
    <format dxfId="10618">
      <pivotArea field="81" type="button" dataOnly="0" labelOnly="1" outline="0" axis="axisRow" fieldPosition="8"/>
    </format>
    <format dxfId="10617">
      <pivotArea field="82" type="button" dataOnly="0" labelOnly="1" outline="0" axis="axisRow" fieldPosition="9"/>
    </format>
    <format dxfId="10616">
      <pivotArea field="87" type="button" dataOnly="0" labelOnly="1" outline="0" axis="axisRow" fieldPosition="12"/>
    </format>
    <format dxfId="10615">
      <pivotArea field="88" type="button" dataOnly="0" labelOnly="1" outline="0" axis="axisRow" fieldPosition="13"/>
    </format>
    <format dxfId="10614">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613">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612">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611">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610">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609">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608">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607">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606">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605">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604">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603">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602">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601">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0600">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0599">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0598">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597">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596">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95">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94">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93">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592">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591">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590">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589">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588">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587">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586">
      <pivotArea field="72" type="button" dataOnly="0" labelOnly="1" outline="0" axis="axisRow" fieldPosition="5"/>
    </format>
    <format dxfId="10585">
      <pivotArea field="13" type="button" dataOnly="0" labelOnly="1" outline="0" axis="axisRow" fieldPosition="6"/>
    </format>
    <format dxfId="10584">
      <pivotArea field="81" type="button" dataOnly="0" labelOnly="1" outline="0" axis="axisRow" fieldPosition="8"/>
    </format>
    <format dxfId="1058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8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83"/>
          </reference>
        </references>
      </pivotArea>
    </format>
    <format dxfId="1058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14"/>
          </reference>
        </references>
      </pivotArea>
    </format>
    <format dxfId="1058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15"/>
          </reference>
        </references>
      </pivotArea>
    </format>
    <format dxfId="1057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22"/>
          </reference>
        </references>
      </pivotArea>
    </format>
    <format dxfId="1057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23"/>
          </reference>
        </references>
      </pivotArea>
    </format>
    <format dxfId="1057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7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84"/>
          </reference>
        </references>
      </pivotArea>
    </format>
    <format dxfId="1057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22"/>
          </reference>
        </references>
      </pivotArea>
    </format>
    <format dxfId="1057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23"/>
          </reference>
        </references>
      </pivotArea>
    </format>
    <format dxfId="1057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24"/>
          </reference>
        </references>
      </pivotArea>
    </format>
    <format dxfId="1057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519"/>
          </reference>
        </references>
      </pivotArea>
    </format>
    <format dxfId="1057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7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84"/>
          </reference>
        </references>
      </pivotArea>
    </format>
    <format dxfId="1056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22"/>
          </reference>
        </references>
      </pivotArea>
    </format>
    <format dxfId="1056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23"/>
          </reference>
        </references>
      </pivotArea>
    </format>
    <format dxfId="1056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24"/>
          </reference>
        </references>
      </pivotArea>
    </format>
    <format dxfId="1056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519"/>
          </reference>
        </references>
      </pivotArea>
    </format>
    <format dxfId="1056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6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84"/>
          </reference>
        </references>
      </pivotArea>
    </format>
    <format dxfId="1056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505"/>
          </reference>
        </references>
      </pivotArea>
    </format>
    <format dxfId="1056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56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519"/>
          </reference>
        </references>
      </pivotArea>
    </format>
    <format dxfId="1056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413"/>
          </reference>
        </references>
      </pivotArea>
    </format>
    <format dxfId="1055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520"/>
          </reference>
        </references>
      </pivotArea>
    </format>
    <format dxfId="1055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521"/>
          </reference>
        </references>
      </pivotArea>
    </format>
    <format dxfId="1055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5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83"/>
          </reference>
        </references>
      </pivotArea>
    </format>
    <format dxfId="1055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14"/>
          </reference>
        </references>
      </pivotArea>
    </format>
    <format dxfId="1055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15"/>
          </reference>
        </references>
      </pivotArea>
    </format>
    <format dxfId="1055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22"/>
          </reference>
        </references>
      </pivotArea>
    </format>
    <format dxfId="1055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23"/>
          </reference>
        </references>
      </pivotArea>
    </format>
    <format dxfId="10551">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500"/>
          </reference>
        </references>
      </pivotArea>
    </format>
    <format dxfId="1055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478"/>
          </reference>
        </references>
      </pivotArea>
    </format>
    <format dxfId="1054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455"/>
          </reference>
        </references>
      </pivotArea>
    </format>
    <format dxfId="1054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479"/>
          </reference>
        </references>
      </pivotArea>
    </format>
    <format dxfId="1054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471"/>
          </reference>
        </references>
      </pivotArea>
    </format>
    <format dxfId="1054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480"/>
          </reference>
        </references>
      </pivotArea>
    </format>
    <format dxfId="1054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472"/>
          </reference>
        </references>
      </pivotArea>
    </format>
    <format dxfId="105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481"/>
          </reference>
        </references>
      </pivotArea>
    </format>
    <format dxfId="105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469"/>
          </reference>
        </references>
      </pivotArea>
    </format>
    <format dxfId="1054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22"/>
          </reference>
        </references>
      </pivotArea>
    </format>
    <format dxfId="1054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523"/>
          </reference>
        </references>
      </pivotArea>
    </format>
    <format dxfId="1054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524"/>
          </reference>
        </references>
      </pivotArea>
    </format>
    <format dxfId="1053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519"/>
          </reference>
        </references>
      </pivotArea>
    </format>
    <format dxfId="1053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500"/>
          </reference>
        </references>
      </pivotArea>
    </format>
    <format dxfId="1053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3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83"/>
          </reference>
        </references>
      </pivotArea>
    </format>
    <format dxfId="1053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413"/>
          </reference>
        </references>
      </pivotArea>
    </format>
    <format dxfId="1053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520"/>
          </reference>
        </references>
      </pivotArea>
    </format>
    <format dxfId="1053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521"/>
          </reference>
        </references>
      </pivotArea>
    </format>
    <format dxfId="1053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3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83"/>
          </reference>
        </references>
      </pivotArea>
    </format>
    <format dxfId="1053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14"/>
          </reference>
        </references>
      </pivotArea>
    </format>
    <format dxfId="1052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15"/>
          </reference>
        </references>
      </pivotArea>
    </format>
    <format dxfId="1052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22"/>
          </reference>
        </references>
      </pivotArea>
    </format>
    <format dxfId="1052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23"/>
          </reference>
        </references>
      </pivotArea>
    </format>
    <format dxfId="1052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82"/>
          </reference>
        </references>
      </pivotArea>
    </format>
    <format dxfId="1052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84"/>
          </reference>
        </references>
      </pivotArea>
    </format>
    <format dxfId="1052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522"/>
          </reference>
        </references>
      </pivotArea>
    </format>
    <format dxfId="1052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433"/>
          </reference>
        </references>
      </pivotArea>
    </format>
    <format dxfId="1052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432"/>
          </reference>
        </references>
      </pivotArea>
    </format>
    <format dxfId="1052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527"/>
          </reference>
        </references>
      </pivotArea>
    </format>
    <format dxfId="1052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502"/>
          </reference>
        </references>
      </pivotArea>
    </format>
    <format dxfId="1051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489"/>
          </reference>
        </references>
      </pivotArea>
    </format>
    <format dxfId="1051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38"/>
          </reference>
        </references>
      </pivotArea>
    </format>
    <format dxfId="1051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525"/>
          </reference>
        </references>
      </pivotArea>
    </format>
    <format dxfId="1051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526"/>
          </reference>
        </references>
      </pivotArea>
    </format>
    <format dxfId="1051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485"/>
          </reference>
        </references>
      </pivotArea>
    </format>
    <format dxfId="1051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86"/>
          </reference>
        </references>
      </pivotArea>
    </format>
    <format dxfId="10513">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545"/>
          </reference>
        </references>
      </pivotArea>
    </format>
    <format dxfId="1051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38"/>
          </reference>
        </references>
      </pivotArea>
    </format>
    <format dxfId="1051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525"/>
          </reference>
        </references>
      </pivotArea>
    </format>
    <format dxfId="1051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526"/>
          </reference>
        </references>
      </pivotArea>
    </format>
    <format dxfId="1050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530"/>
          </reference>
        </references>
      </pivotArea>
    </format>
    <format dxfId="1050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531"/>
          </reference>
        </references>
      </pivotArea>
    </format>
    <format dxfId="1050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532"/>
          </reference>
        </references>
      </pivotArea>
    </format>
    <format dxfId="1050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499"/>
          </reference>
        </references>
      </pivotArea>
    </format>
    <format dxfId="1050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50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471"/>
          </reference>
        </references>
      </pivotArea>
    </format>
    <format dxfId="1050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472"/>
          </reference>
        </references>
      </pivotArea>
    </format>
    <format dxfId="1050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469"/>
          </reference>
        </references>
      </pivotArea>
    </format>
    <format dxfId="1050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470"/>
          </reference>
        </references>
      </pivotArea>
    </format>
    <format dxfId="1050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431"/>
          </reference>
        </references>
      </pivotArea>
    </format>
    <format dxfId="1049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528"/>
          </reference>
        </references>
      </pivotArea>
    </format>
    <format dxfId="1049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529"/>
          </reference>
        </references>
      </pivotArea>
    </format>
    <format dxfId="1049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542"/>
          </reference>
        </references>
      </pivotArea>
    </format>
    <format dxfId="1049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504"/>
          </reference>
        </references>
      </pivotArea>
    </format>
    <format dxfId="1049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517"/>
          </reference>
        </references>
      </pivotArea>
    </format>
    <format dxfId="1049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427"/>
          </reference>
        </references>
      </pivotArea>
    </format>
    <format dxfId="1049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518"/>
          </reference>
        </references>
      </pivotArea>
    </format>
    <format dxfId="1049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506"/>
          </reference>
        </references>
      </pivotArea>
    </format>
    <format dxfId="1049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504"/>
          </reference>
        </references>
      </pivotArea>
    </format>
    <format dxfId="1049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475"/>
          </reference>
        </references>
      </pivotArea>
    </format>
    <format dxfId="1048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476"/>
          </reference>
        </references>
      </pivotArea>
    </format>
    <format dxfId="1048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473"/>
          </reference>
        </references>
      </pivotArea>
    </format>
    <format dxfId="1048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474"/>
          </reference>
        </references>
      </pivotArea>
    </format>
    <format dxfId="1048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425"/>
          </reference>
        </references>
      </pivotArea>
    </format>
    <format dxfId="1048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421"/>
          </reference>
        </references>
      </pivotArea>
    </format>
    <format dxfId="1048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514"/>
          </reference>
        </references>
      </pivotArea>
    </format>
    <format dxfId="1048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48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425"/>
          </reference>
        </references>
      </pivotArea>
    </format>
    <format dxfId="1048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421"/>
          </reference>
        </references>
      </pivotArea>
    </format>
    <format dxfId="1048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514"/>
          </reference>
        </references>
      </pivotArea>
    </format>
    <format dxfId="1047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503"/>
          </reference>
        </references>
      </pivotArea>
    </format>
    <format dxfId="1047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47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428"/>
          </reference>
        </references>
      </pivotArea>
    </format>
    <format dxfId="1047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415"/>
          </reference>
        </references>
      </pivotArea>
    </format>
    <format dxfId="1047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422"/>
          </reference>
        </references>
      </pivotArea>
    </format>
    <format dxfId="1047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442"/>
          </reference>
        </references>
      </pivotArea>
    </format>
    <format dxfId="1047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441"/>
          </reference>
        </references>
      </pivotArea>
    </format>
    <format dxfId="1047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443"/>
          </reference>
        </references>
      </pivotArea>
    </format>
    <format dxfId="1047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428"/>
          </reference>
        </references>
      </pivotArea>
    </format>
    <format dxfId="1047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415"/>
          </reference>
        </references>
      </pivotArea>
    </format>
    <format dxfId="1046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422"/>
          </reference>
        </references>
      </pivotArea>
    </format>
    <format dxfId="1046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89"/>
          </reference>
        </references>
      </pivotArea>
    </format>
    <format dxfId="1046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414"/>
          </reference>
        </references>
      </pivotArea>
    </format>
    <format dxfId="1046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415"/>
          </reference>
        </references>
      </pivotArea>
    </format>
    <format dxfId="1046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422"/>
          </reference>
        </references>
      </pivotArea>
    </format>
    <format dxfId="1046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423"/>
          </reference>
        </references>
      </pivotArea>
    </format>
    <format dxfId="1046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05"/>
          </reference>
        </references>
      </pivotArea>
    </format>
    <format dxfId="1046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06"/>
          </reference>
        </references>
      </pivotArea>
    </format>
    <format dxfId="1046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07"/>
          </reference>
        </references>
      </pivotArea>
    </format>
    <format dxfId="1046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08"/>
          </reference>
        </references>
      </pivotArea>
    </format>
    <format dxfId="1045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511"/>
          </reference>
        </references>
      </pivotArea>
    </format>
    <format dxfId="1045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510"/>
          </reference>
        </references>
      </pivotArea>
    </format>
    <format dxfId="1045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05"/>
          </reference>
        </references>
      </pivotArea>
    </format>
    <format dxfId="1045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06"/>
          </reference>
        </references>
      </pivotArea>
    </format>
    <format dxfId="1045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07"/>
          </reference>
        </references>
      </pivotArea>
    </format>
    <format dxfId="1045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08"/>
          </reference>
        </references>
      </pivotArea>
    </format>
    <format dxfId="1045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05"/>
          </reference>
        </references>
      </pivotArea>
    </format>
    <format dxfId="1045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06"/>
          </reference>
        </references>
      </pivotArea>
    </format>
    <format dxfId="1045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07"/>
          </reference>
        </references>
      </pivotArea>
    </format>
    <format dxfId="1045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08"/>
          </reference>
        </references>
      </pivotArea>
    </format>
    <format dxfId="1044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422"/>
          </reference>
        </references>
      </pivotArea>
    </format>
    <format dxfId="1044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424"/>
          </reference>
        </references>
      </pivotArea>
    </format>
    <format dxfId="1044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429"/>
          </reference>
        </references>
      </pivotArea>
    </format>
    <format dxfId="1044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00"/>
          </reference>
        </references>
      </pivotArea>
    </format>
    <format dxfId="1044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01"/>
          </reference>
        </references>
      </pivotArea>
    </format>
    <format dxfId="1044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44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466"/>
          </reference>
        </references>
      </pivotArea>
    </format>
    <format dxfId="1044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456"/>
          </reference>
        </references>
      </pivotArea>
    </format>
    <format dxfId="1044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467"/>
          </reference>
        </references>
      </pivotArea>
    </format>
    <format dxfId="1044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468"/>
          </reference>
        </references>
      </pivotArea>
    </format>
    <format dxfId="1043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525"/>
          </reference>
        </references>
      </pivotArea>
    </format>
    <format dxfId="1043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539"/>
          </reference>
        </references>
      </pivotArea>
    </format>
    <format dxfId="1043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441"/>
          </reference>
        </references>
      </pivotArea>
    </format>
    <format dxfId="1043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98"/>
          </reference>
        </references>
      </pivotArea>
    </format>
    <format dxfId="1043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89"/>
          </reference>
        </references>
      </pivotArea>
    </format>
    <format dxfId="1043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00"/>
          </reference>
        </references>
      </pivotArea>
    </format>
    <format dxfId="1043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501"/>
          </reference>
        </references>
      </pivotArea>
    </format>
    <format dxfId="1043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00"/>
          </reference>
        </references>
      </pivotArea>
    </format>
    <format dxfId="1043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01"/>
          </reference>
        </references>
      </pivotArea>
    </format>
    <format dxfId="1043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95"/>
          </reference>
        </references>
      </pivotArea>
    </format>
    <format dxfId="1042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464"/>
          </reference>
        </references>
      </pivotArea>
    </format>
    <format dxfId="1042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462"/>
          </reference>
        </references>
      </pivotArea>
    </format>
    <format dxfId="1042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465"/>
          </reference>
        </references>
      </pivotArea>
    </format>
    <format dxfId="1042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457"/>
          </reference>
        </references>
      </pivotArea>
    </format>
    <format dxfId="1042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537"/>
          </reference>
        </references>
      </pivotArea>
    </format>
    <format dxfId="1042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524"/>
          </reference>
        </references>
      </pivotArea>
    </format>
    <format dxfId="1042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538"/>
          </reference>
        </references>
      </pivotArea>
    </format>
    <format dxfId="1042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98"/>
          </reference>
        </references>
      </pivotArea>
    </format>
    <format dxfId="1042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00"/>
          </reference>
        </references>
      </pivotArea>
    </format>
    <format dxfId="1042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501"/>
          </reference>
        </references>
      </pivotArea>
    </format>
    <format dxfId="1041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515"/>
          </reference>
        </references>
      </pivotArea>
    </format>
    <format dxfId="1041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514"/>
          </reference>
        </references>
      </pivotArea>
    </format>
    <format dxfId="1041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512"/>
          </reference>
        </references>
      </pivotArea>
    </format>
    <format dxfId="1041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513"/>
          </reference>
        </references>
      </pivotArea>
    </format>
    <format dxfId="1041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77"/>
          </reference>
        </references>
      </pivotArea>
    </format>
    <format dxfId="1041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533"/>
          </reference>
        </references>
      </pivotArea>
    </format>
    <format dxfId="1041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534"/>
          </reference>
        </references>
      </pivotArea>
    </format>
    <format dxfId="1041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442"/>
          </reference>
        </references>
      </pivotArea>
    </format>
    <format dxfId="1041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37"/>
          </reference>
        </references>
      </pivotArea>
    </format>
    <format dxfId="1041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38"/>
          </reference>
        </references>
      </pivotArea>
    </format>
    <format dxfId="1040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36"/>
          </reference>
        </references>
      </pivotArea>
    </format>
    <format dxfId="10408">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77"/>
          </reference>
        </references>
      </pivotArea>
    </format>
    <format dxfId="1040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535"/>
          </reference>
        </references>
      </pivotArea>
    </format>
    <format dxfId="1040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536"/>
          </reference>
        </references>
      </pivotArea>
    </format>
    <format dxfId="1040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525"/>
          </reference>
        </references>
      </pivotArea>
    </format>
    <format dxfId="1040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37"/>
          </reference>
        </references>
      </pivotArea>
    </format>
    <format dxfId="1040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38"/>
          </reference>
        </references>
      </pivotArea>
    </format>
    <format dxfId="1040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439"/>
          </reference>
        </references>
      </pivotArea>
    </format>
    <format dxfId="1040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36"/>
          </reference>
        </references>
      </pivotArea>
    </format>
    <format dxfId="1040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440"/>
          </reference>
        </references>
      </pivotArea>
    </format>
    <format dxfId="1039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96"/>
          </reference>
        </references>
      </pivotArea>
    </format>
    <format dxfId="1039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97"/>
          </reference>
        </references>
      </pivotArea>
    </format>
    <format dxfId="1039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425"/>
          </reference>
        </references>
      </pivotArea>
    </format>
    <format dxfId="1039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426"/>
          </reference>
        </references>
      </pivotArea>
    </format>
    <format dxfId="1039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407"/>
          </reference>
        </references>
      </pivotArea>
    </format>
    <format dxfId="1039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423"/>
          </reference>
        </references>
      </pivotArea>
    </format>
    <format dxfId="1039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425"/>
          </reference>
        </references>
      </pivotArea>
    </format>
    <format dxfId="1039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426"/>
          </reference>
        </references>
      </pivotArea>
    </format>
    <format dxfId="1039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407"/>
          </reference>
        </references>
      </pivotArea>
    </format>
    <format dxfId="1039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423"/>
          </reference>
        </references>
      </pivotArea>
    </format>
    <format dxfId="1038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425"/>
          </reference>
        </references>
      </pivotArea>
    </format>
    <format dxfId="1038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406"/>
          </reference>
        </references>
      </pivotArea>
    </format>
    <format dxfId="1038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423"/>
          </reference>
        </references>
      </pivotArea>
    </format>
    <format dxfId="1038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416"/>
          </reference>
        </references>
      </pivotArea>
    </format>
    <format dxfId="1038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506"/>
          </reference>
        </references>
      </pivotArea>
    </format>
    <format dxfId="1038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507"/>
          </reference>
        </references>
      </pivotArea>
    </format>
    <format dxfId="10383">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51"/>
          </reference>
        </references>
      </pivotArea>
    </format>
    <format dxfId="10382">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431"/>
          </reference>
        </references>
      </pivotArea>
    </format>
    <format dxfId="10381">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432"/>
          </reference>
        </references>
      </pivotArea>
    </format>
    <format dxfId="1038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434"/>
          </reference>
        </references>
      </pivotArea>
    </format>
    <format dxfId="1037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2"/>
          </reference>
        </references>
      </pivotArea>
    </format>
    <format dxfId="1037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55"/>
          </reference>
        </references>
      </pivotArea>
    </format>
    <format dxfId="1037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53"/>
          </reference>
        </references>
      </pivotArea>
    </format>
    <format dxfId="1037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54"/>
          </reference>
        </references>
      </pivotArea>
    </format>
    <format dxfId="1037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17"/>
          </reference>
        </references>
      </pivotArea>
    </format>
    <format dxfId="1037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13"/>
          </reference>
        </references>
      </pivotArea>
    </format>
    <format dxfId="1037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14"/>
          </reference>
        </references>
      </pivotArea>
    </format>
    <format dxfId="1037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15"/>
          </reference>
        </references>
      </pivotArea>
    </format>
    <format dxfId="1037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16"/>
          </reference>
        </references>
      </pivotArea>
    </format>
    <format dxfId="1037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2"/>
          </reference>
        </references>
      </pivotArea>
    </format>
    <format dxfId="1036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55"/>
          </reference>
        </references>
      </pivotArea>
    </format>
    <format dxfId="1036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53"/>
          </reference>
        </references>
      </pivotArea>
    </format>
    <format dxfId="1036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54"/>
          </reference>
        </references>
      </pivotArea>
    </format>
    <format dxfId="1036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17"/>
          </reference>
        </references>
      </pivotArea>
    </format>
    <format dxfId="1036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13"/>
          </reference>
        </references>
      </pivotArea>
    </format>
    <format dxfId="1036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14"/>
          </reference>
        </references>
      </pivotArea>
    </format>
    <format dxfId="1036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15"/>
          </reference>
        </references>
      </pivotArea>
    </format>
    <format dxfId="1036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16"/>
          </reference>
        </references>
      </pivotArea>
    </format>
    <format dxfId="1036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2"/>
          </reference>
        </references>
      </pivotArea>
    </format>
    <format dxfId="1036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55"/>
          </reference>
        </references>
      </pivotArea>
    </format>
    <format dxfId="1035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53"/>
          </reference>
        </references>
      </pivotArea>
    </format>
    <format dxfId="1035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54"/>
          </reference>
        </references>
      </pivotArea>
    </format>
    <format dxfId="1035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417"/>
          </reference>
        </references>
      </pivotArea>
    </format>
    <format dxfId="1035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13"/>
          </reference>
        </references>
      </pivotArea>
    </format>
    <format dxfId="1035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14"/>
          </reference>
        </references>
      </pivotArea>
    </format>
    <format dxfId="1035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15"/>
          </reference>
        </references>
      </pivotArea>
    </format>
    <format dxfId="1035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16"/>
          </reference>
        </references>
      </pivotArea>
    </format>
    <format dxfId="1035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428"/>
          </reference>
        </references>
      </pivotArea>
    </format>
    <format dxfId="1035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430"/>
          </reference>
        </references>
      </pivotArea>
    </format>
    <format dxfId="1035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429"/>
          </reference>
        </references>
      </pivotArea>
    </format>
    <format dxfId="1034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416"/>
          </reference>
        </references>
      </pivotArea>
    </format>
    <format dxfId="1034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418"/>
          </reference>
        </references>
      </pivotArea>
    </format>
    <format dxfId="1034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419"/>
          </reference>
        </references>
      </pivotArea>
    </format>
    <format dxfId="1034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420"/>
          </reference>
        </references>
      </pivotArea>
    </format>
    <format dxfId="1034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421"/>
          </reference>
        </references>
      </pivotArea>
    </format>
    <format dxfId="1034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418"/>
          </reference>
        </references>
      </pivotArea>
    </format>
    <format dxfId="1034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419"/>
          </reference>
        </references>
      </pivotArea>
    </format>
    <format dxfId="1034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420"/>
          </reference>
        </references>
      </pivotArea>
    </format>
    <format dxfId="1034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421"/>
          </reference>
        </references>
      </pivotArea>
    </format>
    <format dxfId="1034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409"/>
          </reference>
        </references>
      </pivotArea>
    </format>
    <format dxfId="1033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411"/>
          </reference>
        </references>
      </pivotArea>
    </format>
    <format dxfId="1033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412"/>
          </reference>
        </references>
      </pivotArea>
    </format>
    <format dxfId="1033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410"/>
          </reference>
        </references>
      </pivotArea>
    </format>
    <format dxfId="1033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50"/>
          </reference>
        </references>
      </pivotArea>
    </format>
    <format dxfId="1033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409"/>
          </reference>
        </references>
      </pivotArea>
    </format>
    <format dxfId="1033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49"/>
          </reference>
        </references>
      </pivotArea>
    </format>
    <format dxfId="1033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52"/>
          </reference>
        </references>
      </pivotArea>
    </format>
    <format dxfId="1033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55"/>
          </reference>
        </references>
      </pivotArea>
    </format>
    <format dxfId="1033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53"/>
          </reference>
        </references>
      </pivotArea>
    </format>
    <format dxfId="1033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54"/>
          </reference>
        </references>
      </pivotArea>
    </format>
    <format dxfId="1032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13"/>
          </reference>
        </references>
      </pivotArea>
    </format>
    <format dxfId="1032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14"/>
          </reference>
        </references>
      </pivotArea>
    </format>
    <format dxfId="1032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15"/>
          </reference>
        </references>
      </pivotArea>
    </format>
    <format dxfId="1032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16"/>
          </reference>
        </references>
      </pivotArea>
    </format>
    <format dxfId="1032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413"/>
          </reference>
        </references>
      </pivotArea>
    </format>
    <format dxfId="1032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414"/>
          </reference>
        </references>
      </pivotArea>
    </format>
    <format dxfId="1032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415"/>
          </reference>
        </references>
      </pivotArea>
    </format>
    <format dxfId="1032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416"/>
          </reference>
        </references>
      </pivotArea>
    </format>
    <format dxfId="10321">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543"/>
          </reference>
        </references>
      </pivotArea>
    </format>
    <format dxfId="1032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435"/>
          </reference>
        </references>
      </pivotArea>
    </format>
    <format dxfId="10319">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550"/>
          </reference>
        </references>
      </pivotArea>
    </format>
    <format dxfId="10318">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551"/>
          </reference>
        </references>
      </pivotArea>
    </format>
    <format dxfId="10317">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550"/>
          </reference>
        </references>
      </pivotArea>
    </format>
    <format dxfId="10316">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540"/>
          </reference>
        </references>
      </pivotArea>
    </format>
    <format dxfId="1031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48"/>
          </reference>
        </references>
      </pivotArea>
    </format>
    <format dxfId="1031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541"/>
          </reference>
        </references>
      </pivotArea>
    </format>
    <format dxfId="1031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544"/>
          </reference>
        </references>
      </pivotArea>
    </format>
    <format dxfId="1031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48"/>
          </reference>
        </references>
      </pivotArea>
    </format>
    <format dxfId="1031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516"/>
          </reference>
        </references>
      </pivotArea>
    </format>
    <format dxfId="1031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433"/>
          </reference>
        </references>
      </pivotArea>
    </format>
    <format dxfId="1030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407"/>
          </reference>
        </references>
      </pivotArea>
    </format>
    <format dxfId="103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411"/>
          </reference>
        </references>
      </pivotArea>
    </format>
    <format dxfId="103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49"/>
          </reference>
        </references>
      </pivotArea>
    </format>
    <format dxfId="103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48"/>
          </reference>
        </references>
      </pivotArea>
    </format>
    <format dxfId="103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47"/>
          </reference>
        </references>
      </pivotArea>
    </format>
    <format dxfId="103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46"/>
          </reference>
        </references>
      </pivotArea>
    </format>
    <format dxfId="103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44"/>
          </reference>
        </references>
      </pivotArea>
    </format>
    <format dxfId="103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410"/>
          </reference>
        </references>
      </pivotArea>
    </format>
    <format dxfId="1030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445"/>
          </reference>
        </references>
      </pivotArea>
    </format>
    <format dxfId="1030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549"/>
          </reference>
        </references>
      </pivotArea>
    </format>
    <format dxfId="1029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46"/>
          </reference>
        </references>
      </pivotArea>
    </format>
    <format dxfId="1029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407"/>
          </reference>
        </references>
      </pivotArea>
    </format>
    <format dxfId="1029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44"/>
          </reference>
        </references>
      </pivotArea>
    </format>
    <format dxfId="1029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46"/>
          </reference>
        </references>
      </pivotArea>
    </format>
    <format dxfId="1029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427"/>
          </reference>
        </references>
      </pivotArea>
    </format>
    <format dxfId="10294">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492"/>
          </reference>
        </references>
      </pivotArea>
    </format>
    <format dxfId="1029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88"/>
          </reference>
        </references>
      </pivotArea>
    </format>
    <format dxfId="10292">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87"/>
          </reference>
        </references>
      </pivotArea>
    </format>
    <format dxfId="10291">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88"/>
          </reference>
        </references>
      </pivotArea>
    </format>
    <format dxfId="1029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90"/>
          </reference>
        </references>
      </pivotArea>
    </format>
    <format dxfId="1028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91"/>
          </reference>
        </references>
      </pivotArea>
    </format>
    <format dxfId="10288">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90"/>
          </reference>
        </references>
      </pivotArea>
    </format>
    <format dxfId="1028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493"/>
          </reference>
        </references>
      </pivotArea>
    </format>
    <format dxfId="1028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94"/>
          </reference>
        </references>
      </pivotArea>
    </format>
    <format dxfId="1028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509"/>
          </reference>
        </references>
      </pivotArea>
    </format>
    <format dxfId="1028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508"/>
          </reference>
        </references>
      </pivotArea>
    </format>
    <format dxfId="1028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462"/>
          </reference>
        </references>
      </pivotArea>
    </format>
    <format dxfId="1028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463"/>
          </reference>
        </references>
      </pivotArea>
    </format>
    <format dxfId="1028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460"/>
          </reference>
        </references>
      </pivotArea>
    </format>
    <format dxfId="1028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461"/>
          </reference>
        </references>
      </pivotArea>
    </format>
    <format dxfId="1027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456"/>
          </reference>
        </references>
      </pivotArea>
    </format>
    <format dxfId="1027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457"/>
          </reference>
        </references>
      </pivotArea>
    </format>
    <format dxfId="1027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458"/>
          </reference>
        </references>
      </pivotArea>
    </format>
    <format dxfId="1027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459"/>
          </reference>
        </references>
      </pivotArea>
    </format>
    <format dxfId="1027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415"/>
          </reference>
        </references>
      </pivotArea>
    </format>
    <format dxfId="1027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422"/>
          </reference>
        </references>
      </pivotArea>
    </format>
    <format dxfId="1027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424"/>
          </reference>
        </references>
      </pivotArea>
    </format>
    <format dxfId="1027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425"/>
          </reference>
        </references>
      </pivotArea>
    </format>
    <format dxfId="10271">
      <pivotArea field="82" type="button" dataOnly="0" labelOnly="1" outline="0" axis="axisRow" fieldPosition="9"/>
    </format>
    <format dxfId="10270">
      <pivotArea field="87" type="button" dataOnly="0" labelOnly="1" outline="0" axis="axisRow" fieldPosition="12"/>
    </format>
    <format dxfId="10269">
      <pivotArea field="88" type="button" dataOnly="0" labelOnly="1" outline="0" axis="axisRow" fieldPosition="13"/>
    </format>
    <format dxfId="10268">
      <pivotArea field="72" type="button" dataOnly="0" labelOnly="1" outline="0" axis="axisRow" fieldPosition="5"/>
    </format>
    <format dxfId="10267">
      <pivotArea field="13" type="button" dataOnly="0" labelOnly="1" outline="0" axis="axisRow" fieldPosition="6"/>
    </format>
    <format dxfId="10266">
      <pivotArea field="81" type="button" dataOnly="0" labelOnly="1" outline="0" axis="axisRow" fieldPosition="8"/>
    </format>
    <format dxfId="10265">
      <pivotArea field="82" type="button" dataOnly="0" labelOnly="1" outline="0" axis="axisRow" fieldPosition="9"/>
    </format>
    <format dxfId="10264">
      <pivotArea field="87" type="button" dataOnly="0" labelOnly="1" outline="0" axis="axisRow" fieldPosition="12"/>
    </format>
    <format dxfId="10263">
      <pivotArea field="88" type="button" dataOnly="0" labelOnly="1" outline="0" axis="axisRow" fieldPosition="13"/>
    </format>
    <format dxfId="10262">
      <pivotArea field="72" type="button" dataOnly="0" labelOnly="1" outline="0" axis="axisRow" fieldPosition="5"/>
    </format>
    <format dxfId="10261">
      <pivotArea field="13" type="button" dataOnly="0" labelOnly="1" outline="0" axis="axisRow" fieldPosition="6"/>
    </format>
    <format dxfId="10260">
      <pivotArea field="81" type="button" dataOnly="0" labelOnly="1" outline="0" axis="axisRow" fieldPosition="8"/>
    </format>
    <format dxfId="10259">
      <pivotArea field="82" type="button" dataOnly="0" labelOnly="1" outline="0" axis="axisRow" fieldPosition="9"/>
    </format>
    <format dxfId="10258">
      <pivotArea field="87" type="button" dataOnly="0" labelOnly="1" outline="0" axis="axisRow" fieldPosition="12"/>
    </format>
    <format dxfId="10257">
      <pivotArea field="88" type="button" dataOnly="0" labelOnly="1" outline="0" axis="axisRow" fieldPosition="13"/>
    </format>
    <format dxfId="10256">
      <pivotArea dataOnly="0" labelOnly="1" outline="0" fieldPosition="0">
        <references count="2">
          <reference field="1" count="0" selected="0"/>
          <reference field="3" count="0"/>
        </references>
      </pivotArea>
    </format>
    <format dxfId="10255">
      <pivotArea dataOnly="0" labelOnly="1" outline="0" fieldPosition="0">
        <references count="3">
          <reference field="1" count="0" selected="0"/>
          <reference field="2" count="0"/>
          <reference field="3" count="1" selected="0">
            <x v="4"/>
          </reference>
        </references>
      </pivotArea>
    </format>
    <format dxfId="10254">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10253">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10252">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10251">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10250">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249">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248">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247">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246">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245">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244">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0243">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242">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241">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240">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0239">
      <pivotArea field="72" type="button" dataOnly="0" labelOnly="1" outline="0" axis="axisRow" fieldPosition="5"/>
    </format>
    <format dxfId="10238">
      <pivotArea field="13" type="button" dataOnly="0" labelOnly="1" outline="0" axis="axisRow" fieldPosition="6"/>
    </format>
    <format dxfId="10237">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10236">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10235">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10234">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10233">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10232">
      <pivotArea field="81" type="button" dataOnly="0" labelOnly="1" outline="0" axis="axisRow" fieldPosition="8"/>
    </format>
    <format dxfId="10231">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230">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229">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228">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227">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226">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225">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224">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223">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222">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221">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220">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219">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218">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217">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216">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215">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47"/>
          </reference>
        </references>
      </pivotArea>
    </format>
    <format dxfId="10214">
      <pivotArea field="82" type="button" dataOnly="0" labelOnly="1" outline="0" axis="axisRow" fieldPosition="9"/>
    </format>
    <format dxfId="10213">
      <pivotArea field="87" type="button" dataOnly="0" labelOnly="1" outline="0" axis="axisRow" fieldPosition="12"/>
    </format>
    <format dxfId="10212">
      <pivotArea field="88" type="button" dataOnly="0" labelOnly="1" outline="0" axis="axisRow" fieldPosition="13"/>
    </format>
    <format dxfId="10211">
      <pivotArea field="72" type="button" dataOnly="0" labelOnly="1" outline="0" axis="axisRow" fieldPosition="5"/>
    </format>
    <format dxfId="10210">
      <pivotArea field="13" type="button" dataOnly="0" labelOnly="1" outline="0" axis="axisRow" fieldPosition="6"/>
    </format>
    <format dxfId="10209">
      <pivotArea field="81" type="button" dataOnly="0" labelOnly="1" outline="0" axis="axisRow" fieldPosition="8"/>
    </format>
    <format dxfId="10208">
      <pivotArea field="82" type="button" dataOnly="0" labelOnly="1" outline="0" axis="axisRow" fieldPosition="9"/>
    </format>
    <format dxfId="10207">
      <pivotArea field="87" type="button" dataOnly="0" labelOnly="1" outline="0" axis="axisRow" fieldPosition="12"/>
    </format>
    <format dxfId="10206">
      <pivotArea field="88" type="button" dataOnly="0" labelOnly="1" outline="0" axis="axisRow" fieldPosition="13"/>
    </format>
    <format dxfId="10205">
      <pivotArea field="72" type="button" dataOnly="0" labelOnly="1" outline="0" axis="axisRow" fieldPosition="5"/>
    </format>
    <format dxfId="10204">
      <pivotArea field="13" type="button" dataOnly="0" labelOnly="1" outline="0" axis="axisRow" fieldPosition="6"/>
    </format>
    <format dxfId="10203">
      <pivotArea field="81" type="button" dataOnly="0" labelOnly="1" outline="0" axis="axisRow" fieldPosition="8"/>
    </format>
    <format dxfId="10202">
      <pivotArea field="82" type="button" dataOnly="0" labelOnly="1" outline="0" axis="axisRow" fieldPosition="9"/>
    </format>
    <format dxfId="10201">
      <pivotArea field="87" type="button" dataOnly="0" labelOnly="1" outline="0" axis="axisRow" fieldPosition="12"/>
    </format>
    <format dxfId="10200">
      <pivotArea field="88" type="button" dataOnly="0" labelOnly="1" outline="0" axis="axisRow" fieldPosition="13"/>
    </format>
    <format dxfId="10199">
      <pivotArea field="72" type="button" dataOnly="0" labelOnly="1" outline="0" axis="axisRow" fieldPosition="5"/>
    </format>
    <format dxfId="10198">
      <pivotArea field="13" type="button" dataOnly="0" labelOnly="1" outline="0" axis="axisRow" fieldPosition="6"/>
    </format>
    <format dxfId="10197">
      <pivotArea field="81" type="button" dataOnly="0" labelOnly="1" outline="0" axis="axisRow" fieldPosition="8"/>
    </format>
    <format dxfId="10196">
      <pivotArea field="82" type="button" dataOnly="0" labelOnly="1" outline="0" axis="axisRow" fieldPosition="9"/>
    </format>
    <format dxfId="10195">
      <pivotArea field="87" type="button" dataOnly="0" labelOnly="1" outline="0" axis="axisRow" fieldPosition="12"/>
    </format>
    <format dxfId="10194">
      <pivotArea field="88" type="button" dataOnly="0" labelOnly="1" outline="0" axis="axisRow" fieldPosition="13"/>
    </format>
    <format dxfId="10193">
      <pivotArea field="72" type="button" dataOnly="0" labelOnly="1" outline="0" axis="axisRow" fieldPosition="5"/>
    </format>
    <format dxfId="10192">
      <pivotArea field="13" type="button" dataOnly="0" labelOnly="1" outline="0" axis="axisRow" fieldPosition="6"/>
    </format>
    <format dxfId="10191">
      <pivotArea field="81" type="button" dataOnly="0" labelOnly="1" outline="0" axis="axisRow" fieldPosition="8"/>
    </format>
    <format dxfId="10190">
      <pivotArea field="82" type="button" dataOnly="0" labelOnly="1" outline="0" axis="axisRow" fieldPosition="9"/>
    </format>
    <format dxfId="10189">
      <pivotArea field="87" type="button" dataOnly="0" labelOnly="1" outline="0" axis="axisRow" fieldPosition="12"/>
    </format>
    <format dxfId="10188">
      <pivotArea field="88" type="button" dataOnly="0" labelOnly="1" outline="0" axis="axisRow" fieldPosition="13"/>
    </format>
    <format dxfId="10187">
      <pivotArea field="72" type="button" dataOnly="0" labelOnly="1" outline="0" axis="axisRow" fieldPosition="5"/>
    </format>
    <format dxfId="10186">
      <pivotArea field="13" type="button" dataOnly="0" labelOnly="1" outline="0" axis="axisRow" fieldPosition="6"/>
    </format>
    <format dxfId="10185">
      <pivotArea field="81" type="button" dataOnly="0" labelOnly="1" outline="0" axis="axisRow" fieldPosition="8"/>
    </format>
    <format dxfId="10184">
      <pivotArea field="82" type="button" dataOnly="0" labelOnly="1" outline="0" axis="axisRow" fieldPosition="9"/>
    </format>
    <format dxfId="10183">
      <pivotArea field="87" type="button" dataOnly="0" labelOnly="1" outline="0" axis="axisRow" fieldPosition="12"/>
    </format>
    <format dxfId="10182">
      <pivotArea field="88" type="button" dataOnly="0" labelOnly="1" outline="0" axis="axisRow" fieldPosition="13"/>
    </format>
    <format dxfId="10181">
      <pivotArea dataOnly="0" labelOnly="1" outline="0" fieldPosition="0">
        <references count="3">
          <reference field="1" count="1" selected="0">
            <x v="0"/>
          </reference>
          <reference field="2" count="1">
            <x v="6"/>
          </reference>
          <reference field="3" count="1" selected="0">
            <x v="13"/>
          </reference>
        </references>
      </pivotArea>
    </format>
    <format dxfId="10180">
      <pivotArea dataOnly="0" labelOnly="1" outline="0" fieldPosition="0">
        <references count="3">
          <reference field="1" count="1" selected="0">
            <x v="1"/>
          </reference>
          <reference field="2" count="1">
            <x v="3"/>
          </reference>
          <reference field="3" count="1" selected="0">
            <x v="5"/>
          </reference>
        </references>
      </pivotArea>
    </format>
    <format dxfId="10179">
      <pivotArea dataOnly="0" labelOnly="1" outline="0" fieldPosition="0">
        <references count="3">
          <reference field="1" count="1" selected="0">
            <x v="29"/>
          </reference>
          <reference field="2" count="2">
            <x v="2"/>
            <x v="16"/>
          </reference>
          <reference field="3" count="1" selected="0">
            <x v="18"/>
          </reference>
        </references>
      </pivotArea>
    </format>
    <format dxfId="10178">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10177">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10176">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10175">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10174">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10173">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10172">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10171">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10170">
      <pivotArea field="72" type="button" dataOnly="0" labelOnly="1" outline="0" axis="axisRow" fieldPosition="5"/>
    </format>
    <format dxfId="10169">
      <pivotArea field="13" type="button" dataOnly="0" labelOnly="1" outline="0" axis="axisRow" fieldPosition="6"/>
    </format>
    <format dxfId="1016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10167">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10166">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10165">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10164">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10163">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10162">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10161">
      <pivotArea field="81" type="button" dataOnly="0" labelOnly="1" outline="0" axis="axisRow" fieldPosition="8"/>
    </format>
    <format dxfId="1016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1629"/>
          </reference>
        </references>
      </pivotArea>
    </format>
    <format dxfId="1015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1652"/>
          </reference>
        </references>
      </pivotArea>
    </format>
    <format dxfId="1015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1629"/>
          </reference>
        </references>
      </pivotArea>
    </format>
    <format dxfId="10157">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647"/>
          </reference>
        </references>
      </pivotArea>
    </format>
    <format dxfId="1015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1629"/>
          </reference>
        </references>
      </pivotArea>
    </format>
    <format dxfId="10155">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1649"/>
          </reference>
        </references>
      </pivotArea>
    </format>
    <format dxfId="1015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1632"/>
          </reference>
        </references>
      </pivotArea>
    </format>
    <format dxfId="10153">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1693"/>
          </reference>
        </references>
      </pivotArea>
    </format>
    <format dxfId="1015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1646"/>
          </reference>
        </references>
      </pivotArea>
    </format>
    <format dxfId="1015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1690"/>
          </reference>
        </references>
      </pivotArea>
    </format>
    <format dxfId="1015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1653"/>
          </reference>
        </references>
      </pivotArea>
    </format>
    <format dxfId="1014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1650"/>
          </reference>
        </references>
      </pivotArea>
    </format>
    <format dxfId="1014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1647"/>
          </reference>
        </references>
      </pivotArea>
    </format>
    <format dxfId="1014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645"/>
          </reference>
        </references>
      </pivotArea>
    </format>
    <format dxfId="1014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1647"/>
          </reference>
        </references>
      </pivotArea>
    </format>
    <format dxfId="10145">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645"/>
          </reference>
        </references>
      </pivotArea>
    </format>
    <format dxfId="1014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1647"/>
          </reference>
        </references>
      </pivotArea>
    </format>
    <format dxfId="1014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1643"/>
          </reference>
        </references>
      </pivotArea>
    </format>
    <format dxfId="1014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1653"/>
          </reference>
        </references>
      </pivotArea>
    </format>
    <format dxfId="1014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1697"/>
          </reference>
        </references>
      </pivotArea>
    </format>
    <format dxfId="10140">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1694"/>
          </reference>
        </references>
      </pivotArea>
    </format>
    <format dxfId="10139">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1639"/>
          </reference>
        </references>
      </pivotArea>
    </format>
    <format dxfId="10138">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1634"/>
          </reference>
        </references>
      </pivotArea>
    </format>
    <format dxfId="1013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1637"/>
          </reference>
        </references>
      </pivotArea>
    </format>
    <format dxfId="1013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1640"/>
          </reference>
        </references>
      </pivotArea>
    </format>
    <format dxfId="1013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1656"/>
          </reference>
        </references>
      </pivotArea>
    </format>
    <format dxfId="10134">
      <pivotArea field="82" type="button" dataOnly="0" labelOnly="1" outline="0" axis="axisRow" fieldPosition="9"/>
    </format>
    <format dxfId="10133">
      <pivotArea field="87" type="button" dataOnly="0" labelOnly="1" outline="0" axis="axisRow" fieldPosition="12"/>
    </format>
    <format dxfId="10132">
      <pivotArea field="88" type="button" dataOnly="0" labelOnly="1" outline="0" axis="axisRow" fieldPosition="13"/>
    </format>
    <format dxfId="10131">
      <pivotArea field="72" type="button" dataOnly="0" labelOnly="1" outline="0" axis="axisRow" fieldPosition="5"/>
    </format>
    <format dxfId="10130">
      <pivotArea field="13" type="button" dataOnly="0" labelOnly="1" outline="0" axis="axisRow" fieldPosition="6"/>
    </format>
    <format dxfId="10129">
      <pivotArea field="81" type="button" dataOnly="0" labelOnly="1" outline="0" axis="axisRow" fieldPosition="8"/>
    </format>
    <format dxfId="10128">
      <pivotArea field="82" type="button" dataOnly="0" labelOnly="1" outline="0" axis="axisRow" fieldPosition="9"/>
    </format>
    <format dxfId="10127">
      <pivotArea field="87" type="button" dataOnly="0" labelOnly="1" outline="0" axis="axisRow" fieldPosition="12"/>
    </format>
    <format dxfId="10126">
      <pivotArea field="88" type="button" dataOnly="0" labelOnly="1" outline="0" axis="axisRow" fieldPosition="13"/>
    </format>
    <format dxfId="10125">
      <pivotArea field="72" type="button" dataOnly="0" labelOnly="1" outline="0" axis="axisRow" fieldPosition="5"/>
    </format>
    <format dxfId="10124">
      <pivotArea field="13" type="button" dataOnly="0" labelOnly="1" outline="0" axis="axisRow" fieldPosition="6"/>
    </format>
    <format dxfId="10123">
      <pivotArea field="81" type="button" dataOnly="0" labelOnly="1" outline="0" axis="axisRow" fieldPosition="8"/>
    </format>
    <format dxfId="10122">
      <pivotArea field="82" type="button" dataOnly="0" labelOnly="1" outline="0" axis="axisRow" fieldPosition="9"/>
    </format>
    <format dxfId="10121">
      <pivotArea field="87" type="button" dataOnly="0" labelOnly="1" outline="0" axis="axisRow" fieldPosition="12"/>
    </format>
    <format dxfId="10120">
      <pivotArea field="88" type="button" dataOnly="0" labelOnly="1" outline="0" axis="axisRow" fieldPosition="13"/>
    </format>
    <format dxfId="10119">
      <pivotArea dataOnly="0" labelOnly="1" outline="0" fieldPosition="0">
        <references count="2">
          <reference field="1" count="1" selected="0">
            <x v="42"/>
          </reference>
          <reference field="3" count="3">
            <x v="3"/>
            <x v="4"/>
            <x v="6"/>
          </reference>
        </references>
      </pivotArea>
    </format>
    <format dxfId="10118">
      <pivotArea dataOnly="0" labelOnly="1" outline="0" fieldPosition="0">
        <references count="2">
          <reference field="1" count="1" selected="0">
            <x v="43"/>
          </reference>
          <reference field="3" count="3">
            <x v="5"/>
            <x v="7"/>
            <x v="21"/>
          </reference>
        </references>
      </pivotArea>
    </format>
    <format dxfId="10117">
      <pivotArea dataOnly="0" labelOnly="1" outline="0" fieldPosition="0">
        <references count="3">
          <reference field="1" count="1" selected="0">
            <x v="42"/>
          </reference>
          <reference field="2" count="1">
            <x v="10"/>
          </reference>
          <reference field="3" count="1" selected="0">
            <x v="3"/>
          </reference>
        </references>
      </pivotArea>
    </format>
    <format dxfId="10116">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10115">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10114">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10113">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10112">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10111">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10110">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10109">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10108">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1010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10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105">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104">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103">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102">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101">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100">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099">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098">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097">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0096">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0095">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0094">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093">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09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09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090">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089">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088">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087">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086">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085">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084">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083">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082">
      <pivotArea field="72" type="button" dataOnly="0" labelOnly="1" outline="0" axis="axisRow" fieldPosition="5"/>
    </format>
    <format dxfId="10081">
      <pivotArea field="13" type="button" dataOnly="0" labelOnly="1" outline="0" axis="axisRow" fieldPosition="6"/>
    </format>
    <format dxfId="10080">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1007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10078">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10077">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10076">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10075">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10074">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10073">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10072">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10071">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10070">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10069">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10068">
      <pivotArea field="81" type="button" dataOnly="0" labelOnly="1" outline="0" axis="axisRow" fieldPosition="8"/>
    </format>
    <format dxfId="1006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6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630"/>
          </reference>
        </references>
      </pivotArea>
    </format>
    <format dxfId="1006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61"/>
          </reference>
        </references>
      </pivotArea>
    </format>
    <format dxfId="1006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62"/>
          </reference>
        </references>
      </pivotArea>
    </format>
    <format dxfId="1006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69"/>
          </reference>
        </references>
      </pivotArea>
    </format>
    <format dxfId="1006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0"/>
          </reference>
        </references>
      </pivotArea>
    </format>
    <format dxfId="1006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6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05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05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05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05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05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5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05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05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05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05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04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4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04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652"/>
          </reference>
        </references>
      </pivotArea>
    </format>
    <format dxfId="1004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1004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666"/>
          </reference>
        </references>
      </pivotArea>
    </format>
    <format dxfId="1004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560"/>
          </reference>
        </references>
      </pivotArea>
    </format>
    <format dxfId="1004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67"/>
          </reference>
        </references>
      </pivotArea>
    </format>
    <format dxfId="1004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68"/>
          </reference>
        </references>
      </pivotArea>
    </format>
    <format dxfId="1004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4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630"/>
          </reference>
        </references>
      </pivotArea>
    </format>
    <format dxfId="1003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61"/>
          </reference>
        </references>
      </pivotArea>
    </format>
    <format dxfId="1003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62"/>
          </reference>
        </references>
      </pivotArea>
    </format>
    <format dxfId="1003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69"/>
          </reference>
        </references>
      </pivotArea>
    </format>
    <format dxfId="1003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0"/>
          </reference>
        </references>
      </pivotArea>
    </format>
    <format dxfId="1003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47"/>
          </reference>
        </references>
      </pivotArea>
    </format>
    <format dxfId="1003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625"/>
          </reference>
        </references>
      </pivotArea>
    </format>
    <format dxfId="1003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602"/>
          </reference>
        </references>
      </pivotArea>
    </format>
    <format dxfId="1003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626"/>
          </reference>
        </references>
      </pivotArea>
    </format>
    <format dxfId="1003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618"/>
          </reference>
        </references>
      </pivotArea>
    </format>
    <format dxfId="1003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627"/>
          </reference>
        </references>
      </pivotArea>
    </format>
    <format dxfId="1002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619"/>
          </reference>
        </references>
      </pivotArea>
    </format>
    <format dxfId="1002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628"/>
          </reference>
        </references>
      </pivotArea>
    </format>
    <format dxfId="1002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616"/>
          </reference>
        </references>
      </pivotArea>
    </format>
    <format dxfId="1002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02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71"/>
          </reference>
        </references>
      </pivotArea>
    </format>
    <format dxfId="1002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72"/>
          </reference>
        </references>
      </pivotArea>
    </format>
    <format dxfId="1002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69"/>
          </reference>
        </references>
      </pivotArea>
    </format>
    <format dxfId="1002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47"/>
          </reference>
        </references>
      </pivotArea>
    </format>
    <format dxfId="1002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2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630"/>
          </reference>
        </references>
      </pivotArea>
    </format>
    <format dxfId="1001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560"/>
          </reference>
        </references>
      </pivotArea>
    </format>
    <format dxfId="1001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67"/>
          </reference>
        </references>
      </pivotArea>
    </format>
    <format dxfId="1001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68"/>
          </reference>
        </references>
      </pivotArea>
    </format>
    <format dxfId="1001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1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630"/>
          </reference>
        </references>
      </pivotArea>
    </format>
    <format dxfId="1001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61"/>
          </reference>
        </references>
      </pivotArea>
    </format>
    <format dxfId="1001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62"/>
          </reference>
        </references>
      </pivotArea>
    </format>
    <format dxfId="1001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69"/>
          </reference>
        </references>
      </pivotArea>
    </format>
    <format dxfId="1001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0"/>
          </reference>
        </references>
      </pivotArea>
    </format>
    <format dxfId="1001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629"/>
          </reference>
        </references>
      </pivotArea>
    </format>
    <format dxfId="1000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631"/>
          </reference>
        </references>
      </pivotArea>
    </format>
    <format dxfId="1000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70"/>
          </reference>
        </references>
      </pivotArea>
    </format>
    <format dxfId="1000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580"/>
          </reference>
        </references>
      </pivotArea>
    </format>
    <format dxfId="1000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579"/>
          </reference>
        </references>
      </pivotArea>
    </format>
    <format dxfId="1000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675"/>
          </reference>
        </references>
      </pivotArea>
    </format>
    <format dxfId="1000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649"/>
          </reference>
        </references>
      </pivotArea>
    </format>
    <format dxfId="1000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636"/>
          </reference>
        </references>
      </pivotArea>
    </format>
    <format dxfId="1000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85"/>
          </reference>
        </references>
      </pivotArea>
    </format>
    <format dxfId="1000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673"/>
          </reference>
        </references>
      </pivotArea>
    </format>
    <format dxfId="1000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674"/>
          </reference>
        </references>
      </pivotArea>
    </format>
    <format dxfId="999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632"/>
          </reference>
        </references>
      </pivotArea>
    </format>
    <format dxfId="999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633"/>
          </reference>
        </references>
      </pivotArea>
    </format>
    <format dxfId="999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93"/>
          </reference>
        </references>
      </pivotArea>
    </format>
    <format dxfId="999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85"/>
          </reference>
        </references>
      </pivotArea>
    </format>
    <format dxfId="999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673"/>
          </reference>
        </references>
      </pivotArea>
    </format>
    <format dxfId="999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674"/>
          </reference>
        </references>
      </pivotArea>
    </format>
    <format dxfId="999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678"/>
          </reference>
        </references>
      </pivotArea>
    </format>
    <format dxfId="999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679"/>
          </reference>
        </references>
      </pivotArea>
    </format>
    <format dxfId="999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680"/>
          </reference>
        </references>
      </pivotArea>
    </format>
    <format dxfId="999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646"/>
          </reference>
        </references>
      </pivotArea>
    </format>
    <format dxfId="998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998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18"/>
          </reference>
        </references>
      </pivotArea>
    </format>
    <format dxfId="998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19"/>
          </reference>
        </references>
      </pivotArea>
    </format>
    <format dxfId="99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16"/>
          </reference>
        </references>
      </pivotArea>
    </format>
    <format dxfId="998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17"/>
          </reference>
        </references>
      </pivotArea>
    </format>
    <format dxfId="998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578"/>
          </reference>
        </references>
      </pivotArea>
    </format>
    <format dxfId="998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676"/>
          </reference>
        </references>
      </pivotArea>
    </format>
    <format dxfId="998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677"/>
          </reference>
        </references>
      </pivotArea>
    </format>
    <format dxfId="998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690"/>
          </reference>
        </references>
      </pivotArea>
    </format>
    <format dxfId="9980">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51"/>
          </reference>
        </references>
      </pivotArea>
    </format>
    <format dxfId="997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664"/>
          </reference>
        </references>
      </pivotArea>
    </format>
    <format dxfId="997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574"/>
          </reference>
        </references>
      </pivotArea>
    </format>
    <format dxfId="997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665"/>
          </reference>
        </references>
      </pivotArea>
    </format>
    <format dxfId="997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53"/>
          </reference>
        </references>
      </pivotArea>
    </format>
    <format dxfId="997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51"/>
          </reference>
        </references>
      </pivotArea>
    </format>
    <format dxfId="997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22"/>
          </reference>
        </references>
      </pivotArea>
    </format>
    <format dxfId="997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623"/>
          </reference>
        </references>
      </pivotArea>
    </format>
    <format dxfId="997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20"/>
          </reference>
        </references>
      </pivotArea>
    </format>
    <format dxfId="997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21"/>
          </reference>
        </references>
      </pivotArea>
    </format>
    <format dxfId="997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572"/>
          </reference>
        </references>
      </pivotArea>
    </format>
    <format dxfId="996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568"/>
          </reference>
        </references>
      </pivotArea>
    </format>
    <format dxfId="996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61"/>
          </reference>
        </references>
      </pivotArea>
    </format>
    <format dxfId="9967">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996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572"/>
          </reference>
        </references>
      </pivotArea>
    </format>
    <format dxfId="996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568"/>
          </reference>
        </references>
      </pivotArea>
    </format>
    <format dxfId="996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61"/>
          </reference>
        </references>
      </pivotArea>
    </format>
    <format dxfId="996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650"/>
          </reference>
        </references>
      </pivotArea>
    </format>
    <format dxfId="996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996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575"/>
          </reference>
        </references>
      </pivotArea>
    </format>
    <format dxfId="996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562"/>
          </reference>
        </references>
      </pivotArea>
    </format>
    <format dxfId="995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569"/>
          </reference>
        </references>
      </pivotArea>
    </format>
    <format dxfId="995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589"/>
          </reference>
        </references>
      </pivotArea>
    </format>
    <format dxfId="995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588"/>
          </reference>
        </references>
      </pivotArea>
    </format>
    <format dxfId="995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590"/>
          </reference>
        </references>
      </pivotArea>
    </format>
    <format dxfId="995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575"/>
          </reference>
        </references>
      </pivotArea>
    </format>
    <format dxfId="995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562"/>
          </reference>
        </references>
      </pivotArea>
    </format>
    <format dxfId="995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569"/>
          </reference>
        </references>
      </pivotArea>
    </format>
    <format dxfId="9952">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636"/>
          </reference>
        </references>
      </pivotArea>
    </format>
    <format dxfId="995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61"/>
          </reference>
        </references>
      </pivotArea>
    </format>
    <format dxfId="995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62"/>
          </reference>
        </references>
      </pivotArea>
    </format>
    <format dxfId="994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69"/>
          </reference>
        </references>
      </pivotArea>
    </format>
    <format dxfId="994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0"/>
          </reference>
        </references>
      </pivotArea>
    </format>
    <format dxfId="994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52"/>
          </reference>
        </references>
      </pivotArea>
    </format>
    <format dxfId="994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53"/>
          </reference>
        </references>
      </pivotArea>
    </format>
    <format dxfId="994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54"/>
          </reference>
        </references>
      </pivotArea>
    </format>
    <format dxfId="994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55"/>
          </reference>
        </references>
      </pivotArea>
    </format>
    <format dxfId="994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658"/>
          </reference>
        </references>
      </pivotArea>
    </format>
    <format dxfId="994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657"/>
          </reference>
        </references>
      </pivotArea>
    </format>
    <format dxfId="994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52"/>
          </reference>
        </references>
      </pivotArea>
    </format>
    <format dxfId="994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53"/>
          </reference>
        </references>
      </pivotArea>
    </format>
    <format dxfId="993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54"/>
          </reference>
        </references>
      </pivotArea>
    </format>
    <format dxfId="993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55"/>
          </reference>
        </references>
      </pivotArea>
    </format>
    <format dxfId="993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52"/>
          </reference>
        </references>
      </pivotArea>
    </format>
    <format dxfId="993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53"/>
          </reference>
        </references>
      </pivotArea>
    </format>
    <format dxfId="993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54"/>
          </reference>
        </references>
      </pivotArea>
    </format>
    <format dxfId="993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55"/>
          </reference>
        </references>
      </pivotArea>
    </format>
    <format dxfId="993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569"/>
          </reference>
        </references>
      </pivotArea>
    </format>
    <format dxfId="993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571"/>
          </reference>
        </references>
      </pivotArea>
    </format>
    <format dxfId="993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576"/>
          </reference>
        </references>
      </pivotArea>
    </format>
    <format dxfId="993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7"/>
          </reference>
        </references>
      </pivotArea>
    </format>
    <format dxfId="992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48"/>
          </reference>
        </references>
      </pivotArea>
    </format>
    <format dxfId="992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992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613"/>
          </reference>
        </references>
      </pivotArea>
    </format>
    <format dxfId="992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603"/>
          </reference>
        </references>
      </pivotArea>
    </format>
    <format dxfId="992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14"/>
          </reference>
        </references>
      </pivotArea>
    </format>
    <format dxfId="992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15"/>
          </reference>
        </references>
      </pivotArea>
    </format>
    <format dxfId="992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673"/>
          </reference>
        </references>
      </pivotArea>
    </format>
    <format dxfId="992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687"/>
          </reference>
        </references>
      </pivotArea>
    </format>
    <format dxfId="992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588"/>
          </reference>
        </references>
      </pivotArea>
    </format>
    <format dxfId="992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645"/>
          </reference>
        </references>
      </pivotArea>
    </format>
    <format dxfId="991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636"/>
          </reference>
        </references>
      </pivotArea>
    </format>
    <format dxfId="991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7"/>
          </reference>
        </references>
      </pivotArea>
    </format>
    <format dxfId="991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48"/>
          </reference>
        </references>
      </pivotArea>
    </format>
    <format dxfId="991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7"/>
          </reference>
        </references>
      </pivotArea>
    </format>
    <format dxfId="991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48"/>
          </reference>
        </references>
      </pivotArea>
    </format>
    <format dxfId="991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42"/>
          </reference>
        </references>
      </pivotArea>
    </format>
    <format dxfId="991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611"/>
          </reference>
        </references>
      </pivotArea>
    </format>
    <format dxfId="991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609"/>
          </reference>
        </references>
      </pivotArea>
    </format>
    <format dxfId="991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612"/>
          </reference>
        </references>
      </pivotArea>
    </format>
    <format dxfId="991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604"/>
          </reference>
        </references>
      </pivotArea>
    </format>
    <format dxfId="990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685"/>
          </reference>
        </references>
      </pivotArea>
    </format>
    <format dxfId="990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672"/>
          </reference>
        </references>
      </pivotArea>
    </format>
    <format dxfId="990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686"/>
          </reference>
        </references>
      </pivotArea>
    </format>
    <format dxfId="990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645"/>
          </reference>
        </references>
      </pivotArea>
    </format>
    <format dxfId="990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47"/>
          </reference>
        </references>
      </pivotArea>
    </format>
    <format dxfId="990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48"/>
          </reference>
        </references>
      </pivotArea>
    </format>
    <format dxfId="990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662"/>
          </reference>
        </references>
      </pivotArea>
    </format>
    <format dxfId="990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661"/>
          </reference>
        </references>
      </pivotArea>
    </format>
    <format dxfId="990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659"/>
          </reference>
        </references>
      </pivotArea>
    </format>
    <format dxfId="990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660"/>
          </reference>
        </references>
      </pivotArea>
    </format>
    <format dxfId="989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24"/>
          </reference>
        </references>
      </pivotArea>
    </format>
    <format dxfId="989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681"/>
          </reference>
        </references>
      </pivotArea>
    </format>
    <format dxfId="989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682"/>
          </reference>
        </references>
      </pivotArea>
    </format>
    <format dxfId="989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589"/>
          </reference>
        </references>
      </pivotArea>
    </format>
    <format dxfId="989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84"/>
          </reference>
        </references>
      </pivotArea>
    </format>
    <format dxfId="989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85"/>
          </reference>
        </references>
      </pivotArea>
    </format>
    <format dxfId="989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83"/>
          </reference>
        </references>
      </pivotArea>
    </format>
    <format dxfId="989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24"/>
          </reference>
        </references>
      </pivotArea>
    </format>
    <format dxfId="989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683"/>
          </reference>
        </references>
      </pivotArea>
    </format>
    <format dxfId="989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684"/>
          </reference>
        </references>
      </pivotArea>
    </format>
    <format dxfId="988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673"/>
          </reference>
        </references>
      </pivotArea>
    </format>
    <format dxfId="988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84"/>
          </reference>
        </references>
      </pivotArea>
    </format>
    <format dxfId="988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85"/>
          </reference>
        </references>
      </pivotArea>
    </format>
    <format dxfId="988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586"/>
          </reference>
        </references>
      </pivotArea>
    </format>
    <format dxfId="988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83"/>
          </reference>
        </references>
      </pivotArea>
    </format>
    <format dxfId="988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587"/>
          </reference>
        </references>
      </pivotArea>
    </format>
    <format dxfId="988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643"/>
          </reference>
        </references>
      </pivotArea>
    </format>
    <format dxfId="988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644"/>
          </reference>
        </references>
      </pivotArea>
    </format>
    <format dxfId="988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72"/>
          </reference>
        </references>
      </pivotArea>
    </format>
    <format dxfId="988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73"/>
          </reference>
        </references>
      </pivotArea>
    </format>
    <format dxfId="987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4"/>
          </reference>
        </references>
      </pivotArea>
    </format>
    <format dxfId="987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70"/>
          </reference>
        </references>
      </pivotArea>
    </format>
    <format dxfId="987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72"/>
          </reference>
        </references>
      </pivotArea>
    </format>
    <format dxfId="987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73"/>
          </reference>
        </references>
      </pivotArea>
    </format>
    <format dxfId="987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4"/>
          </reference>
        </references>
      </pivotArea>
    </format>
    <format dxfId="987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70"/>
          </reference>
        </references>
      </pivotArea>
    </format>
    <format dxfId="987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572"/>
          </reference>
        </references>
      </pivotArea>
    </format>
    <format dxfId="987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553"/>
          </reference>
        </references>
      </pivotArea>
    </format>
    <format dxfId="987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570"/>
          </reference>
        </references>
      </pivotArea>
    </format>
    <format dxfId="987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563"/>
          </reference>
        </references>
      </pivotArea>
    </format>
    <format dxfId="986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653"/>
          </reference>
        </references>
      </pivotArea>
    </format>
    <format dxfId="986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654"/>
          </reference>
        </references>
      </pivotArea>
    </format>
    <format dxfId="986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598"/>
          </reference>
        </references>
      </pivotArea>
    </format>
    <format dxfId="986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578"/>
          </reference>
        </references>
      </pivotArea>
    </format>
    <format dxfId="986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579"/>
          </reference>
        </references>
      </pivotArea>
    </format>
    <format dxfId="9864">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581"/>
          </reference>
        </references>
      </pivotArea>
    </format>
    <format dxfId="986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99"/>
          </reference>
        </references>
      </pivotArea>
    </format>
    <format dxfId="986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02"/>
          </reference>
        </references>
      </pivotArea>
    </format>
    <format dxfId="986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00"/>
          </reference>
        </references>
      </pivotArea>
    </format>
    <format dxfId="986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01"/>
          </reference>
        </references>
      </pivotArea>
    </format>
    <format dxfId="985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64"/>
          </reference>
        </references>
      </pivotArea>
    </format>
    <format dxfId="985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60"/>
          </reference>
        </references>
      </pivotArea>
    </format>
    <format dxfId="985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61"/>
          </reference>
        </references>
      </pivotArea>
    </format>
    <format dxfId="985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62"/>
          </reference>
        </references>
      </pivotArea>
    </format>
    <format dxfId="985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63"/>
          </reference>
        </references>
      </pivotArea>
    </format>
    <format dxfId="985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99"/>
          </reference>
        </references>
      </pivotArea>
    </format>
    <format dxfId="985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02"/>
          </reference>
        </references>
      </pivotArea>
    </format>
    <format dxfId="985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00"/>
          </reference>
        </references>
      </pivotArea>
    </format>
    <format dxfId="985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01"/>
          </reference>
        </references>
      </pivotArea>
    </format>
    <format dxfId="985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64"/>
          </reference>
        </references>
      </pivotArea>
    </format>
    <format dxfId="984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60"/>
          </reference>
        </references>
      </pivotArea>
    </format>
    <format dxfId="984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61"/>
          </reference>
        </references>
      </pivotArea>
    </format>
    <format dxfId="984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62"/>
          </reference>
        </references>
      </pivotArea>
    </format>
    <format dxfId="984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63"/>
          </reference>
        </references>
      </pivotArea>
    </format>
    <format dxfId="984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99"/>
          </reference>
        </references>
      </pivotArea>
    </format>
    <format dxfId="984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02"/>
          </reference>
        </references>
      </pivotArea>
    </format>
    <format dxfId="984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00"/>
          </reference>
        </references>
      </pivotArea>
    </format>
    <format dxfId="984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01"/>
          </reference>
        </references>
      </pivotArea>
    </format>
    <format dxfId="984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64"/>
          </reference>
        </references>
      </pivotArea>
    </format>
    <format dxfId="984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60"/>
          </reference>
        </references>
      </pivotArea>
    </format>
    <format dxfId="983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61"/>
          </reference>
        </references>
      </pivotArea>
    </format>
    <format dxfId="983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62"/>
          </reference>
        </references>
      </pivotArea>
    </format>
    <format dxfId="983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63"/>
          </reference>
        </references>
      </pivotArea>
    </format>
    <format dxfId="983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575"/>
          </reference>
        </references>
      </pivotArea>
    </format>
    <format dxfId="983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577"/>
          </reference>
        </references>
      </pivotArea>
    </format>
    <format dxfId="983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576"/>
          </reference>
        </references>
      </pivotArea>
    </format>
    <format dxfId="983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563"/>
          </reference>
        </references>
      </pivotArea>
    </format>
    <format dxfId="983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65"/>
          </reference>
        </references>
      </pivotArea>
    </format>
    <format dxfId="983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66"/>
          </reference>
        </references>
      </pivotArea>
    </format>
    <format dxfId="983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67"/>
          </reference>
        </references>
      </pivotArea>
    </format>
    <format dxfId="982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68"/>
          </reference>
        </references>
      </pivotArea>
    </format>
    <format dxfId="982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65"/>
          </reference>
        </references>
      </pivotArea>
    </format>
    <format dxfId="982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66"/>
          </reference>
        </references>
      </pivotArea>
    </format>
    <format dxfId="982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67"/>
          </reference>
        </references>
      </pivotArea>
    </format>
    <format dxfId="982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68"/>
          </reference>
        </references>
      </pivotArea>
    </format>
    <format dxfId="982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556"/>
          </reference>
        </references>
      </pivotArea>
    </format>
    <format dxfId="982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558"/>
          </reference>
        </references>
      </pivotArea>
    </format>
    <format dxfId="982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559"/>
          </reference>
        </references>
      </pivotArea>
    </format>
    <format dxfId="982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557"/>
          </reference>
        </references>
      </pivotArea>
    </format>
    <format dxfId="982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597"/>
          </reference>
        </references>
      </pivotArea>
    </format>
    <format dxfId="981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556"/>
          </reference>
        </references>
      </pivotArea>
    </format>
    <format dxfId="981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596"/>
          </reference>
        </references>
      </pivotArea>
    </format>
    <format dxfId="981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99"/>
          </reference>
        </references>
      </pivotArea>
    </format>
    <format dxfId="981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02"/>
          </reference>
        </references>
      </pivotArea>
    </format>
    <format dxfId="981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00"/>
          </reference>
        </references>
      </pivotArea>
    </format>
    <format dxfId="981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01"/>
          </reference>
        </references>
      </pivotArea>
    </format>
    <format dxfId="981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60"/>
          </reference>
        </references>
      </pivotArea>
    </format>
    <format dxfId="981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61"/>
          </reference>
        </references>
      </pivotArea>
    </format>
    <format dxfId="981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62"/>
          </reference>
        </references>
      </pivotArea>
    </format>
    <format dxfId="981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63"/>
          </reference>
        </references>
      </pivotArea>
    </format>
    <format dxfId="980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60"/>
          </reference>
        </references>
      </pivotArea>
    </format>
    <format dxfId="980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61"/>
          </reference>
        </references>
      </pivotArea>
    </format>
    <format dxfId="980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62"/>
          </reference>
        </references>
      </pivotArea>
    </format>
    <format dxfId="980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63"/>
          </reference>
        </references>
      </pivotArea>
    </format>
    <format dxfId="9805">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691"/>
          </reference>
        </references>
      </pivotArea>
    </format>
    <format dxfId="9804">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582"/>
          </reference>
        </references>
      </pivotArea>
    </format>
    <format dxfId="980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97"/>
          </reference>
        </references>
      </pivotArea>
    </format>
    <format dxfId="980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698"/>
          </reference>
        </references>
      </pivotArea>
    </format>
    <format dxfId="9801">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97"/>
          </reference>
        </references>
      </pivotArea>
    </format>
    <format dxfId="9800">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688"/>
          </reference>
        </references>
      </pivotArea>
    </format>
    <format dxfId="9799">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95"/>
          </reference>
        </references>
      </pivotArea>
    </format>
    <format dxfId="9798">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689"/>
          </reference>
        </references>
      </pivotArea>
    </format>
    <format dxfId="979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92"/>
          </reference>
        </references>
      </pivotArea>
    </format>
    <format dxfId="9796">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95"/>
          </reference>
        </references>
      </pivotArea>
    </format>
    <format dxfId="979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663"/>
          </reference>
        </references>
      </pivotArea>
    </format>
    <format dxfId="979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580"/>
          </reference>
        </references>
      </pivotArea>
    </format>
    <format dxfId="97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554"/>
          </reference>
        </references>
      </pivotArea>
    </format>
    <format dxfId="97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558"/>
          </reference>
        </references>
      </pivotArea>
    </format>
    <format dxfId="979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596"/>
          </reference>
        </references>
      </pivotArea>
    </format>
    <format dxfId="979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595"/>
          </reference>
        </references>
      </pivotArea>
    </format>
    <format dxfId="97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594"/>
          </reference>
        </references>
      </pivotArea>
    </format>
    <format dxfId="978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593"/>
          </reference>
        </references>
      </pivotArea>
    </format>
    <format dxfId="978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91"/>
          </reference>
        </references>
      </pivotArea>
    </format>
    <format dxfId="97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557"/>
          </reference>
        </references>
      </pivotArea>
    </format>
    <format dxfId="978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592"/>
          </reference>
        </references>
      </pivotArea>
    </format>
    <format dxfId="978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96"/>
          </reference>
        </references>
      </pivotArea>
    </format>
    <format dxfId="978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94"/>
          </reference>
        </references>
      </pivotArea>
    </format>
    <format dxfId="978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554"/>
          </reference>
        </references>
      </pivotArea>
    </format>
    <format dxfId="978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91"/>
          </reference>
        </references>
      </pivotArea>
    </format>
    <format dxfId="978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94"/>
          </reference>
        </references>
      </pivotArea>
    </format>
    <format dxfId="977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74"/>
          </reference>
        </references>
      </pivotArea>
    </format>
    <format dxfId="9778">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639"/>
          </reference>
        </references>
      </pivotArea>
    </format>
    <format dxfId="9777">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635"/>
          </reference>
        </references>
      </pivotArea>
    </format>
    <format dxfId="9776">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634"/>
          </reference>
        </references>
      </pivotArea>
    </format>
    <format dxfId="9775">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635"/>
          </reference>
        </references>
      </pivotArea>
    </format>
    <format dxfId="9774">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637"/>
          </reference>
        </references>
      </pivotArea>
    </format>
    <format dxfId="977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638"/>
          </reference>
        </references>
      </pivotArea>
    </format>
    <format dxfId="9772">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637"/>
          </reference>
        </references>
      </pivotArea>
    </format>
    <format dxfId="977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640"/>
          </reference>
        </references>
      </pivotArea>
    </format>
    <format dxfId="977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641"/>
          </reference>
        </references>
      </pivotArea>
    </format>
    <format dxfId="976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656"/>
          </reference>
        </references>
      </pivotArea>
    </format>
    <format dxfId="976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655"/>
          </reference>
        </references>
      </pivotArea>
    </format>
    <format dxfId="976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1609"/>
          </reference>
        </references>
      </pivotArea>
    </format>
    <format dxfId="976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1610"/>
          </reference>
        </references>
      </pivotArea>
    </format>
    <format dxfId="976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1607"/>
          </reference>
        </references>
      </pivotArea>
    </format>
    <format dxfId="976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1608"/>
          </reference>
        </references>
      </pivotArea>
    </format>
    <format dxfId="9763">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1603"/>
          </reference>
        </references>
      </pivotArea>
    </format>
    <format dxfId="976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1604"/>
          </reference>
        </references>
      </pivotArea>
    </format>
    <format dxfId="976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1605"/>
          </reference>
        </references>
      </pivotArea>
    </format>
    <format dxfId="976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1606"/>
          </reference>
        </references>
      </pivotArea>
    </format>
    <format dxfId="975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562"/>
          </reference>
        </references>
      </pivotArea>
    </format>
    <format dxfId="975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569"/>
          </reference>
        </references>
      </pivotArea>
    </format>
    <format dxfId="975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571"/>
          </reference>
        </references>
      </pivotArea>
    </format>
    <format dxfId="975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572"/>
          </reference>
        </references>
      </pivotArea>
    </format>
    <format dxfId="9755">
      <pivotArea field="82" type="button" dataOnly="0" labelOnly="1" outline="0" axis="axisRow" fieldPosition="9"/>
    </format>
    <format dxfId="9754">
      <pivotArea field="87" type="button" dataOnly="0" labelOnly="1" outline="0" axis="axisRow" fieldPosition="12"/>
    </format>
    <format dxfId="9753">
      <pivotArea field="88" type="button" dataOnly="0" labelOnly="1" outline="0" axis="axisRow" fieldPosition="13"/>
    </format>
    <format dxfId="9752">
      <pivotArea field="72" type="button" dataOnly="0" labelOnly="1" outline="0" axis="axisRow" fieldPosition="5"/>
    </format>
    <format dxfId="9751">
      <pivotArea field="13" type="button" dataOnly="0" labelOnly="1" outline="0" axis="axisRow" fieldPosition="6"/>
    </format>
    <format dxfId="9750">
      <pivotArea field="81" type="button" dataOnly="0" labelOnly="1" outline="0" axis="axisRow" fieldPosition="8"/>
    </format>
    <format dxfId="9749">
      <pivotArea field="82" type="button" dataOnly="0" labelOnly="1" outline="0" axis="axisRow" fieldPosition="9"/>
    </format>
    <format dxfId="9748">
      <pivotArea field="87" type="button" dataOnly="0" labelOnly="1" outline="0" axis="axisRow" fieldPosition="12"/>
    </format>
    <format dxfId="9747">
      <pivotArea field="88" type="button" dataOnly="0" labelOnly="1" outline="0" axis="axisRow" fieldPosition="13"/>
    </format>
    <format dxfId="9746">
      <pivotArea field="72" type="button" dataOnly="0" labelOnly="1" outline="0" axis="axisRow" fieldPosition="5"/>
    </format>
    <format dxfId="9745">
      <pivotArea field="13" type="button" dataOnly="0" labelOnly="1" outline="0" axis="axisRow" fieldPosition="6"/>
    </format>
    <format dxfId="9744">
      <pivotArea field="81" type="button" dataOnly="0" labelOnly="1" outline="0" axis="axisRow" fieldPosition="8"/>
    </format>
    <format dxfId="9743">
      <pivotArea field="82" type="button" dataOnly="0" labelOnly="1" outline="0" axis="axisRow" fieldPosition="9"/>
    </format>
    <format dxfId="9742">
      <pivotArea field="87" type="button" dataOnly="0" labelOnly="1" outline="0" axis="axisRow" fieldPosition="12"/>
    </format>
    <format dxfId="9741">
      <pivotArea field="88" type="button" dataOnly="0" labelOnly="1" outline="0" axis="axisRow" fieldPosition="13"/>
    </format>
    <format dxfId="9740">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814"/>
          </reference>
        </references>
      </pivotArea>
    </format>
    <format dxfId="9739">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6"/>
          </reference>
        </references>
      </pivotArea>
    </format>
    <format dxfId="9738">
      <pivotArea dataOnly="0" labelOnly="1" outline="0" fieldPosition="0">
        <references count="10">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814"/>
          </reference>
          <reference field="82" count="1">
            <x v="179"/>
          </reference>
        </references>
      </pivotArea>
    </format>
    <format dxfId="9737">
      <pivotArea dataOnly="0" labelOnly="1" outline="0" fieldPosition="0">
        <references count="10">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1776"/>
          </reference>
          <reference field="82" count="1">
            <x v="132"/>
          </reference>
        </references>
      </pivotArea>
    </format>
    <format dxfId="9736">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845"/>
          </reference>
        </references>
      </pivotArea>
    </format>
    <format dxfId="9735">
      <pivotArea dataOnly="0" labelOnly="1" outline="0" fieldPosition="0">
        <references count="10">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845"/>
          </reference>
          <reference field="82" count="1">
            <x v="185"/>
          </reference>
        </references>
      </pivotArea>
    </format>
    <format dxfId="9734">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793"/>
          </reference>
        </references>
      </pivotArea>
    </format>
    <format dxfId="9733">
      <pivotArea dataOnly="0" labelOnly="1" outline="0" fieldPosition="0">
        <references count="13">
          <reference field="1" count="0" selected="0"/>
          <reference field="2" count="0" selected="0"/>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814"/>
          </reference>
          <reference field="82" count="1" selected="0">
            <x v="179"/>
          </reference>
          <reference field="85" count="1" selected="0">
            <x v="0"/>
          </reference>
          <reference field="87" count="1">
            <x v="1143"/>
          </reference>
        </references>
      </pivotArea>
    </format>
    <format dxfId="9732">
      <pivotArea dataOnly="0" labelOnly="1" outline="0" fieldPosition="0">
        <references count="13">
          <reference field="1" count="0" selected="0"/>
          <reference field="2" count="0" selected="0"/>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1776"/>
          </reference>
          <reference field="82" count="1" selected="0">
            <x v="132"/>
          </reference>
          <reference field="85" count="1" selected="0">
            <x v="7"/>
          </reference>
          <reference field="87" count="1">
            <x v="1097"/>
          </reference>
        </references>
      </pivotArea>
    </format>
    <format dxfId="9731">
      <pivotArea dataOnly="0" labelOnly="1" outline="0" fieldPosition="0">
        <references count="13">
          <reference field="1" count="0" selected="0"/>
          <reference field="2" count="0" selected="0"/>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845"/>
          </reference>
          <reference field="82" count="1" selected="0">
            <x v="185"/>
          </reference>
          <reference field="85" count="1" selected="0">
            <x v="7"/>
          </reference>
          <reference field="87" count="1">
            <x v="1182"/>
          </reference>
        </references>
      </pivotArea>
    </format>
    <format dxfId="9730">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9729">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9728">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9727">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9726">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9725">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724">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723">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9722">
      <pivotArea field="72" type="button" dataOnly="0" labelOnly="1" outline="0" axis="axisRow" fieldPosition="5"/>
    </format>
    <format dxfId="9721">
      <pivotArea field="81" type="button" dataOnly="0" labelOnly="1" outline="0" axis="axisRow" fieldPosition="8"/>
    </format>
    <format dxfId="9720">
      <pivotArea field="82" type="button" dataOnly="0" labelOnly="1" outline="0" axis="axisRow" fieldPosition="9"/>
    </format>
    <format dxfId="9719">
      <pivotArea field="87" type="button" dataOnly="0" labelOnly="1" outline="0" axis="axisRow" fieldPosition="12"/>
    </format>
    <format dxfId="9718">
      <pivotArea field="88" type="button" dataOnly="0" labelOnly="1" outline="0" axis="axisRow" fieldPosition="13"/>
    </format>
    <format dxfId="9717">
      <pivotArea field="13" type="button" dataOnly="0" labelOnly="1" outline="0" axis="axisRow" fieldPosition="6"/>
    </format>
    <format dxfId="9716">
      <pivotArea field="72" type="button" dataOnly="0" labelOnly="1" outline="0" axis="axisRow" fieldPosition="5"/>
    </format>
    <format dxfId="9715">
      <pivotArea field="13" type="button" dataOnly="0" labelOnly="1" outline="0" axis="axisRow" fieldPosition="6"/>
    </format>
    <format dxfId="9714">
      <pivotArea field="81" type="button" dataOnly="0" labelOnly="1" outline="0" axis="axisRow" fieldPosition="8"/>
    </format>
    <format dxfId="9713">
      <pivotArea field="82" type="button" dataOnly="0" labelOnly="1" outline="0" axis="axisRow" fieldPosition="9"/>
    </format>
    <format dxfId="9712">
      <pivotArea field="87" type="button" dataOnly="0" labelOnly="1" outline="0" axis="axisRow" fieldPosition="12"/>
    </format>
    <format dxfId="9711">
      <pivotArea field="88" type="button" dataOnly="0" labelOnly="1" outline="0" axis="axisRow" fieldPosition="13"/>
    </format>
    <format dxfId="9710">
      <pivotArea field="72" type="button" dataOnly="0" labelOnly="1" outline="0" axis="axisRow" fieldPosition="5"/>
    </format>
    <format dxfId="9709">
      <pivotArea field="13" type="button" dataOnly="0" labelOnly="1" outline="0" axis="axisRow" fieldPosition="6"/>
    </format>
    <format dxfId="9708">
      <pivotArea field="81" type="button" dataOnly="0" labelOnly="1" outline="0" axis="axisRow" fieldPosition="8"/>
    </format>
    <format dxfId="9707">
      <pivotArea field="82" type="button" dataOnly="0" labelOnly="1" outline="0" axis="axisRow" fieldPosition="9"/>
    </format>
    <format dxfId="9706">
      <pivotArea field="87" type="button" dataOnly="0" labelOnly="1" outline="0" axis="axisRow" fieldPosition="12"/>
    </format>
    <format dxfId="9705">
      <pivotArea field="88" type="button" dataOnly="0" labelOnly="1" outline="0" axis="axisRow" fieldPosition="13"/>
    </format>
    <format dxfId="9704">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s>
      </pivotArea>
    </format>
    <format dxfId="9703">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s>
      </pivotArea>
    </format>
    <format dxfId="9702">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s>
      </pivotArea>
    </format>
    <format dxfId="9701">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s>
      </pivotArea>
    </format>
    <format dxfId="9700">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s>
      </pivotArea>
    </format>
    <format dxfId="9699">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s>
      </pivotArea>
    </format>
    <format dxfId="9698">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s>
      </pivotArea>
    </format>
    <format dxfId="9697">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103"/>
          </reference>
          <reference field="82" count="1" selected="0">
            <x v="540"/>
          </reference>
        </references>
      </pivotArea>
    </format>
    <format dxfId="9696">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s>
      </pivotArea>
    </format>
    <format dxfId="9695">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s>
      </pivotArea>
    </format>
    <format dxfId="9694">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8"/>
          </reference>
        </references>
      </pivotArea>
    </format>
    <format dxfId="9693">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066"/>
          </reference>
          <reference field="82" count="1" selected="0">
            <x v="485"/>
          </reference>
        </references>
      </pivotArea>
    </format>
    <format dxfId="9692">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s>
      </pivotArea>
    </format>
    <format dxfId="9691">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7"/>
          </reference>
        </references>
      </pivotArea>
    </format>
    <format dxfId="9690">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s>
      </pivotArea>
    </format>
    <format dxfId="9689">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s>
      </pivotArea>
    </format>
    <format dxfId="9688">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s>
      </pivotArea>
    </format>
    <format dxfId="9687">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s>
      </pivotArea>
    </format>
    <format dxfId="968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s>
      </pivotArea>
    </format>
    <format dxfId="9685">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089"/>
          </reference>
          <reference field="82" count="1" selected="0">
            <x v="514"/>
          </reference>
        </references>
      </pivotArea>
    </format>
    <format dxfId="9684">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s>
      </pivotArea>
    </format>
    <format dxfId="9683">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s>
      </pivotArea>
    </format>
    <format dxfId="9682">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s>
      </pivotArea>
    </format>
    <format dxfId="9681">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s>
      </pivotArea>
    </format>
    <format dxfId="9680">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115"/>
          </reference>
          <reference field="82" count="1" selected="0">
            <x v="556"/>
          </reference>
        </references>
      </pivotArea>
    </format>
    <format dxfId="9679">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086"/>
          </reference>
          <reference field="82" count="1" selected="0">
            <x v="510"/>
          </reference>
        </references>
      </pivotArea>
    </format>
    <format dxfId="9678">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059"/>
          </reference>
          <reference field="82" count="1" selected="0">
            <x v="477"/>
          </reference>
        </references>
      </pivotArea>
    </format>
    <format dxfId="9677">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019"/>
          </reference>
          <reference field="82" count="1" selected="0">
            <x v="553"/>
          </reference>
        </references>
      </pivotArea>
    </format>
    <format dxfId="9676">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127"/>
          </reference>
          <reference field="82" count="1" selected="0">
            <x v="574"/>
          </reference>
        </references>
      </pivotArea>
    </format>
    <format dxfId="9675">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101"/>
          </reference>
          <reference field="82" count="1" selected="0">
            <x v="535"/>
          </reference>
        </references>
      </pivotArea>
    </format>
    <format dxfId="9674">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137"/>
          </reference>
          <reference field="82" count="1" selected="0">
            <x v="589"/>
          </reference>
        </references>
      </pivotArea>
    </format>
    <format dxfId="9673">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063"/>
          </reference>
          <reference field="82" count="1" selected="0">
            <x v="481"/>
          </reference>
        </references>
      </pivotArea>
    </format>
    <format dxfId="9672">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s>
      </pivotArea>
    </format>
    <format dxfId="9671">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s>
      </pivotArea>
    </format>
    <format dxfId="9670">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s>
      </pivotArea>
    </format>
    <format dxfId="9669">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090"/>
          </reference>
          <reference field="82" count="1" selected="0">
            <x v="516"/>
          </reference>
        </references>
      </pivotArea>
    </format>
    <format dxfId="9668">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s>
      </pivotArea>
    </format>
    <format dxfId="9667">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030"/>
          </reference>
          <reference field="82" count="1" selected="0">
            <x v="441"/>
          </reference>
        </references>
      </pivotArea>
    </format>
    <format dxfId="9666">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s>
      </pivotArea>
    </format>
    <format dxfId="9665">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0"/>
          </reference>
        </references>
      </pivotArea>
    </format>
    <format dxfId="9664">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433"/>
          </reference>
        </references>
      </pivotArea>
    </format>
    <format dxfId="9663">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s>
      </pivotArea>
    </format>
    <format dxfId="9662">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007"/>
          </reference>
          <reference field="82" count="1" selected="0">
            <x v="526"/>
          </reference>
        </references>
      </pivotArea>
    </format>
    <format dxfId="9661">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s>
      </pivotArea>
    </format>
    <format dxfId="9660">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s>
      </pivotArea>
    </format>
    <format dxfId="9659">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010"/>
          </reference>
          <reference field="82" count="1" selected="0">
            <x v="539"/>
          </reference>
        </references>
      </pivotArea>
    </format>
    <format dxfId="9658">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s>
      </pivotArea>
    </format>
    <format dxfId="9657">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054"/>
          </reference>
          <reference field="82" count="1" selected="0">
            <x v="471"/>
          </reference>
        </references>
      </pivotArea>
    </format>
    <format dxfId="9656">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110"/>
          </reference>
          <reference field="82" count="1" selected="0">
            <x v="566"/>
          </reference>
        </references>
      </pivotArea>
    </format>
    <format dxfId="9655">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s>
      </pivotArea>
    </format>
    <format dxfId="9654">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s>
      </pivotArea>
    </format>
    <format dxfId="9653">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052"/>
          </reference>
          <reference field="82" count="1" selected="0">
            <x v="467"/>
          </reference>
        </references>
      </pivotArea>
    </format>
    <format dxfId="9652">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122"/>
          </reference>
          <reference field="82" count="1" selected="0">
            <x v="567"/>
          </reference>
        </references>
      </pivotArea>
    </format>
    <format dxfId="9651">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s>
      </pivotArea>
    </format>
    <format dxfId="9650">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s>
      </pivotArea>
    </format>
    <format dxfId="9649">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118"/>
          </reference>
          <reference field="82" count="1" selected="0">
            <x v="561"/>
          </reference>
        </references>
      </pivotArea>
    </format>
    <format dxfId="9648">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s>
      </pivotArea>
    </format>
    <format dxfId="9647">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s>
      </pivotArea>
    </format>
    <format dxfId="9646">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120"/>
          </reference>
          <reference field="82" count="1" selected="0">
            <x v="564"/>
          </reference>
        </references>
      </pivotArea>
    </format>
    <format dxfId="9645">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s>
      </pivotArea>
    </format>
    <format dxfId="9644">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083"/>
          </reference>
          <reference field="82" count="1" selected="0">
            <x v="506"/>
          </reference>
        </references>
      </pivotArea>
    </format>
    <format dxfId="9643">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15"/>
          </reference>
        </references>
      </pivotArea>
    </format>
    <format dxfId="9642">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087"/>
          </reference>
          <reference field="82" count="1" selected="0">
            <x v="521"/>
          </reference>
        </references>
      </pivotArea>
    </format>
    <format dxfId="9641">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039"/>
          </reference>
          <reference field="82" count="1" selected="0">
            <x v="454"/>
          </reference>
        </references>
      </pivotArea>
    </format>
    <format dxfId="9640">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019"/>
          </reference>
          <reference field="82" count="1" selected="0">
            <x v="429"/>
          </reference>
        </references>
      </pivotArea>
    </format>
    <format dxfId="9639">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022"/>
          </reference>
          <reference field="82" count="1" selected="0">
            <x v="432"/>
          </reference>
        </references>
      </pivotArea>
    </format>
    <format dxfId="9638">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s>
      </pivotArea>
    </format>
    <format dxfId="9637">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s>
      </pivotArea>
    </format>
    <format dxfId="9636">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s>
      </pivotArea>
    </format>
    <format dxfId="9635">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016"/>
          </reference>
          <reference field="82" count="1" selected="0">
            <x v="425"/>
          </reference>
        </references>
      </pivotArea>
    </format>
    <format dxfId="9634">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038"/>
          </reference>
          <reference field="82" count="1" selected="0">
            <x v="452"/>
          </reference>
        </references>
      </pivotArea>
    </format>
    <format dxfId="9633">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s>
      </pivotArea>
    </format>
    <format dxfId="9632">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128"/>
          </reference>
          <reference field="82" count="1" selected="0">
            <x v="575"/>
          </reference>
        </references>
      </pivotArea>
    </format>
    <format dxfId="9631">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023"/>
          </reference>
          <reference field="82" count="1" selected="0">
            <x v="434"/>
          </reference>
        </references>
      </pivotArea>
    </format>
    <format dxfId="9630">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4"/>
          </reference>
        </references>
      </pivotArea>
    </format>
    <format dxfId="9629">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125"/>
          </reference>
          <reference field="82" count="1" selected="0">
            <x v="572"/>
          </reference>
        </references>
      </pivotArea>
    </format>
    <format dxfId="9628">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126"/>
          </reference>
          <reference field="82" count="1" selected="0">
            <x v="573"/>
          </reference>
        </references>
      </pivotArea>
    </format>
    <format dxfId="9627">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129"/>
          </reference>
          <reference field="82" count="1" selected="0">
            <x v="576"/>
          </reference>
        </references>
      </pivotArea>
    </format>
    <format dxfId="9626">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s>
      </pivotArea>
    </format>
    <format dxfId="9625">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100"/>
          </reference>
          <reference field="82" count="1" selected="0">
            <x v="531"/>
          </reference>
        </references>
      </pivotArea>
    </format>
    <format dxfId="9624">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021"/>
          </reference>
          <reference field="82" count="1" selected="0">
            <x v="431"/>
          </reference>
        </references>
      </pivotArea>
    </format>
    <format dxfId="9623">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s>
      </pivotArea>
    </format>
    <format dxfId="9622">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033"/>
          </reference>
          <reference field="82" count="1" selected="0">
            <x v="445"/>
          </reference>
        </references>
      </pivotArea>
    </format>
    <format dxfId="9621">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133"/>
          </reference>
          <reference field="82" count="1" selected="0">
            <x v="583"/>
          </reference>
        </references>
      </pivotArea>
    </format>
    <format dxfId="9620">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0"/>
          </reference>
        </references>
      </pivotArea>
    </format>
    <format dxfId="9619">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s>
      </pivotArea>
    </format>
    <format dxfId="9618">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2"/>
          </reference>
        </references>
      </pivotArea>
    </format>
    <format dxfId="9617">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015"/>
          </reference>
          <reference field="82" count="1" selected="0">
            <x v="424"/>
          </reference>
        </references>
      </pivotArea>
    </format>
    <format dxfId="9616">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079"/>
          </reference>
          <reference field="82" count="1" selected="0">
            <x v="502"/>
          </reference>
        </references>
      </pivotArea>
    </format>
    <format dxfId="9615">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050"/>
          </reference>
          <reference field="82" count="1" selected="0">
            <x v="465"/>
          </reference>
        </references>
      </pivotArea>
    </format>
    <format dxfId="9614">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003"/>
          </reference>
          <reference field="82" count="1" selected="0">
            <x v="412"/>
          </reference>
        </references>
      </pivotArea>
    </format>
    <format dxfId="9613">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x v="7"/>
          </reference>
        </references>
      </pivotArea>
    </format>
    <format dxfId="9612">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x v="4"/>
          </reference>
        </references>
      </pivotArea>
    </format>
    <format dxfId="9611">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x v="7"/>
          </reference>
        </references>
      </pivotArea>
    </format>
    <format dxfId="9610">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x v="0"/>
          </reference>
        </references>
      </pivotArea>
    </format>
    <format dxfId="9609">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x v="7"/>
          </reference>
        </references>
      </pivotArea>
    </format>
    <format dxfId="9608">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x v="0"/>
          </reference>
        </references>
      </pivotArea>
    </format>
    <format dxfId="9607">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x v="7"/>
          </reference>
        </references>
      </pivotArea>
    </format>
    <format dxfId="9606">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103"/>
          </reference>
          <reference field="82" count="1" selected="0">
            <x v="540"/>
          </reference>
          <reference field="85" count="1">
            <x v="0"/>
          </reference>
        </references>
      </pivotArea>
    </format>
    <format dxfId="9605">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x v="7"/>
          </reference>
        </references>
      </pivotArea>
    </format>
    <format dxfId="9604">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x v="4"/>
          </reference>
        </references>
      </pivotArea>
    </format>
    <format dxfId="960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8"/>
          </reference>
          <reference field="85" count="1">
            <x v="7"/>
          </reference>
        </references>
      </pivotArea>
    </format>
    <format dxfId="960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66"/>
          </reference>
          <reference field="82" count="1" selected="0">
            <x v="485"/>
          </reference>
          <reference field="85" count="1">
            <x v="4"/>
          </reference>
        </references>
      </pivotArea>
    </format>
    <format dxfId="9601">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x v="0"/>
          </reference>
        </references>
      </pivotArea>
    </format>
    <format dxfId="9600">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7"/>
          </reference>
          <reference field="85" count="1">
            <x v="7"/>
          </reference>
        </references>
      </pivotArea>
    </format>
    <format dxfId="9599">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x v="7"/>
          </reference>
        </references>
      </pivotArea>
    </format>
    <format dxfId="9598">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x v="7"/>
          </reference>
        </references>
      </pivotArea>
    </format>
    <format dxfId="9597">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x v="4"/>
          </reference>
        </references>
      </pivotArea>
    </format>
    <format dxfId="9596">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x v="7"/>
          </reference>
        </references>
      </pivotArea>
    </format>
    <format dxfId="9595">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x v="0"/>
          </reference>
        </references>
      </pivotArea>
    </format>
    <format dxfId="9594">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89"/>
          </reference>
          <reference field="82" count="1" selected="0">
            <x v="514"/>
          </reference>
          <reference field="85" count="1">
            <x v="7"/>
          </reference>
        </references>
      </pivotArea>
    </format>
    <format dxfId="9593">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x v="0"/>
          </reference>
        </references>
      </pivotArea>
    </format>
    <format dxfId="9592">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x v="7"/>
          </reference>
        </references>
      </pivotArea>
    </format>
    <format dxfId="9591">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x v="0"/>
          </reference>
        </references>
      </pivotArea>
    </format>
    <format dxfId="9590">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x v="7"/>
          </reference>
        </references>
      </pivotArea>
    </format>
    <format dxfId="9589">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115"/>
          </reference>
          <reference field="82" count="1" selected="0">
            <x v="556"/>
          </reference>
          <reference field="85" count="1">
            <x v="0"/>
          </reference>
        </references>
      </pivotArea>
    </format>
    <format dxfId="9588">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86"/>
          </reference>
          <reference field="82" count="1" selected="0">
            <x v="510"/>
          </reference>
          <reference field="85" count="1">
            <x v="7"/>
          </reference>
        </references>
      </pivotArea>
    </format>
    <format dxfId="9587">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59"/>
          </reference>
          <reference field="82" count="1" selected="0">
            <x v="477"/>
          </reference>
          <reference field="85" count="1">
            <x v="4"/>
          </reference>
        </references>
      </pivotArea>
    </format>
    <format dxfId="9586">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19"/>
          </reference>
          <reference field="82" count="1" selected="0">
            <x v="553"/>
          </reference>
          <reference field="85" count="1">
            <x v="0"/>
          </reference>
        </references>
      </pivotArea>
    </format>
    <format dxfId="9585">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27"/>
          </reference>
          <reference field="82" count="1" selected="0">
            <x v="574"/>
          </reference>
          <reference field="85" count="1">
            <x v="7"/>
          </reference>
        </references>
      </pivotArea>
    </format>
    <format dxfId="9584">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01"/>
          </reference>
          <reference field="82" count="1" selected="0">
            <x v="535"/>
          </reference>
          <reference field="85" count="1">
            <x v="0"/>
          </reference>
        </references>
      </pivotArea>
    </format>
    <format dxfId="9583">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7"/>
          </reference>
          <reference field="82" count="1" selected="0">
            <x v="589"/>
          </reference>
          <reference field="85" count="1">
            <x v="7"/>
          </reference>
        </references>
      </pivotArea>
    </format>
    <format dxfId="9582">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63"/>
          </reference>
          <reference field="82" count="1" selected="0">
            <x v="481"/>
          </reference>
          <reference field="85" count="1">
            <x v="4"/>
          </reference>
        </references>
      </pivotArea>
    </format>
    <format dxfId="9581">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x v="0"/>
          </reference>
        </references>
      </pivotArea>
    </format>
    <format dxfId="9580">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x v="7"/>
          </reference>
        </references>
      </pivotArea>
    </format>
    <format dxfId="9579">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x v="0"/>
          </reference>
        </references>
      </pivotArea>
    </format>
    <format dxfId="9578">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90"/>
          </reference>
          <reference field="82" count="1" selected="0">
            <x v="516"/>
          </reference>
          <reference field="85" count="1">
            <x v="7"/>
          </reference>
        </references>
      </pivotArea>
    </format>
    <format dxfId="9577">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x v="0"/>
          </reference>
        </references>
      </pivotArea>
    </format>
    <format dxfId="9576">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30"/>
          </reference>
          <reference field="82" count="1" selected="0">
            <x v="441"/>
          </reference>
          <reference field="85" count="1">
            <x v="2"/>
          </reference>
        </references>
      </pivotArea>
    </format>
    <format dxfId="9575">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x v="0"/>
          </reference>
        </references>
      </pivotArea>
    </format>
    <format dxfId="9574">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0"/>
          </reference>
          <reference field="85" count="1">
            <x v="7"/>
          </reference>
        </references>
      </pivotArea>
    </format>
    <format dxfId="9573">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433"/>
          </reference>
          <reference field="85" count="1">
            <x v="4"/>
          </reference>
        </references>
      </pivotArea>
    </format>
    <format dxfId="9572">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x v="4"/>
          </reference>
        </references>
      </pivotArea>
    </format>
    <format dxfId="9571">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07"/>
          </reference>
          <reference field="82" count="1" selected="0">
            <x v="526"/>
          </reference>
          <reference field="85" count="1">
            <x v="3"/>
          </reference>
        </references>
      </pivotArea>
    </format>
    <format dxfId="957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x v="4"/>
          </reference>
        </references>
      </pivotArea>
    </format>
    <format dxfId="9569">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x v="4"/>
          </reference>
        </references>
      </pivotArea>
    </format>
    <format dxfId="9568">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10"/>
          </reference>
          <reference field="82" count="1" selected="0">
            <x v="539"/>
          </reference>
          <reference field="85" count="1">
            <x v="0"/>
          </reference>
        </references>
      </pivotArea>
    </format>
    <format dxfId="9567">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x v="7"/>
          </reference>
        </references>
      </pivotArea>
    </format>
    <format dxfId="9566">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54"/>
          </reference>
          <reference field="82" count="1" selected="0">
            <x v="471"/>
          </reference>
          <reference field="85" count="1">
            <x v="4"/>
          </reference>
        </references>
      </pivotArea>
    </format>
    <format dxfId="9565">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110"/>
          </reference>
          <reference field="82" count="1" selected="0">
            <x v="566"/>
          </reference>
          <reference field="85" count="1">
            <x v="0"/>
          </reference>
        </references>
      </pivotArea>
    </format>
    <format dxfId="9564">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x v="7"/>
          </reference>
        </references>
      </pivotArea>
    </format>
    <format dxfId="9563">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x v="3"/>
          </reference>
        </references>
      </pivotArea>
    </format>
    <format dxfId="9562">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x v="7"/>
          </reference>
        </references>
      </pivotArea>
    </format>
    <format dxfId="9561">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52"/>
          </reference>
          <reference field="82" count="1" selected="0">
            <x v="467"/>
          </reference>
          <reference field="85" count="1">
            <x v="4"/>
          </reference>
        </references>
      </pivotArea>
    </format>
    <format dxfId="9560">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122"/>
          </reference>
          <reference field="82" count="1" selected="0">
            <x v="567"/>
          </reference>
          <reference field="85" count="1">
            <x v="0"/>
          </reference>
        </references>
      </pivotArea>
    </format>
    <format dxfId="9559">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x v="7"/>
          </reference>
        </references>
      </pivotArea>
    </format>
    <format dxfId="9558">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x v="3"/>
          </reference>
        </references>
      </pivotArea>
    </format>
    <format dxfId="9557">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x v="7"/>
          </reference>
        </references>
      </pivotArea>
    </format>
    <format dxfId="9556">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96"/>
          </reference>
          <reference field="82" count="1" selected="0">
            <x v="530"/>
          </reference>
          <reference field="85" count="1">
            <x v="3"/>
          </reference>
        </references>
      </pivotArea>
    </format>
    <format dxfId="9555">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x v="4"/>
          </reference>
        </references>
      </pivotArea>
    </format>
    <format dxfId="9554">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118"/>
          </reference>
          <reference field="82" count="1" selected="0">
            <x v="561"/>
          </reference>
          <reference field="85" count="1">
            <x v="0"/>
          </reference>
        </references>
      </pivotArea>
    </format>
    <format dxfId="9553">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x v="2"/>
          </reference>
        </references>
      </pivotArea>
    </format>
    <format dxfId="9552">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x v="4"/>
          </reference>
        </references>
      </pivotArea>
    </format>
    <format dxfId="9551">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120"/>
          </reference>
          <reference field="82" count="1" selected="0">
            <x v="564"/>
          </reference>
          <reference field="85" count="1">
            <x v="0"/>
          </reference>
        </references>
      </pivotArea>
    </format>
    <format dxfId="9550">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x v="2"/>
          </reference>
        </references>
      </pivotArea>
    </format>
    <format dxfId="9549">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83"/>
          </reference>
          <reference field="82" count="1" selected="0">
            <x v="506"/>
          </reference>
          <reference field="85" count="1">
            <x v="7"/>
          </reference>
        </references>
      </pivotArea>
    </format>
    <format dxfId="9548">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15"/>
          </reference>
          <reference field="85" count="1">
            <x v="4"/>
          </reference>
        </references>
      </pivotArea>
    </format>
    <format dxfId="9547">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87"/>
          </reference>
          <reference field="82" count="1" selected="0">
            <x v="521"/>
          </reference>
          <reference field="85" count="1">
            <x v="7"/>
          </reference>
        </references>
      </pivotArea>
    </format>
    <format dxfId="9546">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39"/>
          </reference>
          <reference field="82" count="1" selected="0">
            <x v="454"/>
          </reference>
          <reference field="85" count="1">
            <x v="2"/>
          </reference>
        </references>
      </pivotArea>
    </format>
    <format dxfId="9545">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019"/>
          </reference>
          <reference field="82" count="1" selected="0">
            <x v="429"/>
          </reference>
          <reference field="85" count="1">
            <x v="4"/>
          </reference>
        </references>
      </pivotArea>
    </format>
    <format dxfId="9544">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022"/>
          </reference>
          <reference field="82" count="1" selected="0">
            <x v="432"/>
          </reference>
          <reference field="85" count="1">
            <x v="4"/>
          </reference>
        </references>
      </pivotArea>
    </format>
    <format dxfId="9543">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x v="4"/>
          </reference>
        </references>
      </pivotArea>
    </format>
    <format dxfId="9542">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x v="4"/>
          </reference>
        </references>
      </pivotArea>
    </format>
    <format dxfId="9541">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x v="4"/>
          </reference>
        </references>
      </pivotArea>
    </format>
    <format dxfId="9540">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016"/>
          </reference>
          <reference field="82" count="1" selected="0">
            <x v="425"/>
          </reference>
          <reference field="85" count="1">
            <x v="4"/>
          </reference>
        </references>
      </pivotArea>
    </format>
    <format dxfId="9539">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x v="4"/>
          </reference>
        </references>
      </pivotArea>
    </format>
    <format dxfId="9538">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28"/>
          </reference>
          <reference field="82" count="1" selected="0">
            <x v="575"/>
          </reference>
          <reference field="85" count="1">
            <x v="3"/>
          </reference>
        </references>
      </pivotArea>
    </format>
    <format dxfId="9537">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023"/>
          </reference>
          <reference field="82" count="1" selected="0">
            <x v="434"/>
          </reference>
          <reference field="85" count="1">
            <x v="4"/>
          </reference>
        </references>
      </pivotArea>
    </format>
    <format dxfId="9536">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4"/>
          </reference>
          <reference field="85" count="1">
            <x v="7"/>
          </reference>
        </references>
      </pivotArea>
    </format>
    <format dxfId="9535">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35"/>
          </reference>
          <reference field="82" count="1" selected="0">
            <x v="585"/>
          </reference>
          <reference field="85" count="1">
            <x v="3"/>
          </reference>
        </references>
      </pivotArea>
    </format>
    <format dxfId="9534">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8"/>
          </reference>
          <reference field="85" count="1">
            <x v="7"/>
          </reference>
        </references>
      </pivotArea>
    </format>
    <format dxfId="9533">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125"/>
          </reference>
          <reference field="82" count="1" selected="0">
            <x v="572"/>
          </reference>
          <reference field="85" count="1">
            <x v="7"/>
          </reference>
        </references>
      </pivotArea>
    </format>
    <format dxfId="9532">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126"/>
          </reference>
          <reference field="82" count="1" selected="0">
            <x v="573"/>
          </reference>
          <reference field="85" count="1">
            <x v="7"/>
          </reference>
        </references>
      </pivotArea>
    </format>
    <format dxfId="9531">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29"/>
          </reference>
          <reference field="82" count="1" selected="0">
            <x v="576"/>
          </reference>
          <reference field="85" count="1">
            <x v="2"/>
          </reference>
        </references>
      </pivotArea>
    </format>
    <format dxfId="9530">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 field="85" count="1">
            <x v="7"/>
          </reference>
        </references>
      </pivotArea>
    </format>
    <format dxfId="9529">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021"/>
          </reference>
          <reference field="82" count="1" selected="0">
            <x v="431"/>
          </reference>
          <reference field="85" count="1">
            <x v="4"/>
          </reference>
        </references>
      </pivotArea>
    </format>
    <format dxfId="9528">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x v="2"/>
          </reference>
        </references>
      </pivotArea>
    </format>
    <format dxfId="9527">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033"/>
          </reference>
          <reference field="82" count="1" selected="0">
            <x v="445"/>
          </reference>
          <reference field="85" count="1">
            <x v="4"/>
          </reference>
        </references>
      </pivotArea>
    </format>
    <format dxfId="9526">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33"/>
          </reference>
          <reference field="82" count="1" selected="0">
            <x v="583"/>
          </reference>
          <reference field="85" count="1">
            <x v="2"/>
          </reference>
        </references>
      </pivotArea>
    </format>
    <format dxfId="9525">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0"/>
          </reference>
          <reference field="85" count="1">
            <x v="7"/>
          </reference>
        </references>
      </pivotArea>
    </format>
    <format dxfId="9524">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x v="2"/>
          </reference>
        </references>
      </pivotArea>
    </format>
    <format dxfId="9523">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2"/>
          </reference>
          <reference field="85" count="1">
            <x v="7"/>
          </reference>
        </references>
      </pivotArea>
    </format>
    <format dxfId="9522">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015"/>
          </reference>
          <reference field="82" count="1" selected="0">
            <x v="424"/>
          </reference>
          <reference field="85" count="1">
            <x v="4"/>
          </reference>
        </references>
      </pivotArea>
    </format>
    <format dxfId="9521">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79"/>
          </reference>
          <reference field="82" count="1" selected="0">
            <x v="502"/>
          </reference>
          <reference field="85" count="1">
            <x v="7"/>
          </reference>
        </references>
      </pivotArea>
    </format>
    <format dxfId="9520">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50"/>
          </reference>
          <reference field="82" count="1" selected="0">
            <x v="465"/>
          </reference>
          <reference field="85" count="1">
            <x v="4"/>
          </reference>
        </references>
      </pivotArea>
    </format>
    <format dxfId="9519">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003"/>
          </reference>
          <reference field="82" count="1" selected="0">
            <x v="412"/>
          </reference>
          <reference field="85" count="1">
            <x v="4"/>
          </reference>
        </references>
      </pivotArea>
    </format>
    <format dxfId="9518">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2"/>
          </reference>
          <reference field="85" count="1" selected="0">
            <x v="7"/>
          </reference>
          <reference field="87" count="1" selected="0">
            <x v="1433"/>
          </reference>
          <reference field="88" count="1" selected="0">
            <x v="275"/>
          </reference>
        </references>
      </pivotArea>
    </format>
    <format dxfId="9517">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71"/>
          </reference>
          <reference field="82" count="1" selected="0">
            <x v="493"/>
          </reference>
          <reference field="85" count="1" selected="0">
            <x v="7"/>
          </reference>
          <reference field="87" count="1" selected="0">
            <x v="1434"/>
          </reference>
          <reference field="88" count="1" selected="0">
            <x v="276"/>
          </reference>
        </references>
      </pivotArea>
    </format>
    <format dxfId="951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51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51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410"/>
          </reference>
          <reference field="85" count="1" selected="0">
            <x v="4"/>
          </reference>
          <reference field="87" count="1" selected="0">
            <x v="1369"/>
          </reference>
          <reference field="88" count="1" selected="0">
            <x v="192"/>
          </reference>
        </references>
      </pivotArea>
    </format>
    <format dxfId="9513">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011"/>
          </reference>
          <reference field="82" count="1" selected="0">
            <x v="411"/>
          </reference>
          <reference field="85" count="1" selected="0">
            <x v="4"/>
          </reference>
          <reference field="87" count="1" selected="0">
            <x v="1370"/>
          </reference>
          <reference field="88" count="1" selected="0">
            <x v="193"/>
          </reference>
        </references>
      </pivotArea>
    </format>
    <format dxfId="9512">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4"/>
          </reference>
          <reference field="85" count="1" selected="0">
            <x v="7"/>
          </reference>
          <reference field="87" count="1" selected="0">
            <x v="1433"/>
          </reference>
          <reference field="88" count="1" selected="0">
            <x v="277"/>
          </reference>
        </references>
      </pivotArea>
    </format>
    <format dxfId="9511">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72"/>
          </reference>
          <reference field="82" count="1" selected="0">
            <x v="495"/>
          </reference>
          <reference field="85" count="1" selected="0">
            <x v="7"/>
          </reference>
          <reference field="87" count="1" selected="0">
            <x v="1435"/>
          </reference>
          <reference field="88" count="1" selected="0">
            <x v="278"/>
          </reference>
        </references>
      </pivotArea>
    </format>
    <format dxfId="951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107"/>
          </reference>
          <reference field="82" count="1" selected="0">
            <x v="544"/>
          </reference>
          <reference field="85" count="1" selected="0">
            <x v="0"/>
          </reference>
          <reference field="87" count="1" selected="0">
            <x v="1479"/>
          </reference>
          <reference field="88" count="1" selected="0">
            <x v="329"/>
          </reference>
        </references>
      </pivotArea>
    </format>
    <format dxfId="950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108"/>
          </reference>
          <reference field="82" count="1" selected="0">
            <x v="545"/>
          </reference>
          <reference field="85" count="1" selected="0">
            <x v="0"/>
          </reference>
          <reference field="87" count="1" selected="0">
            <x v="1480"/>
          </reference>
          <reference field="88" count="1" selected="0">
            <x v="330"/>
          </reference>
        </references>
      </pivotArea>
    </format>
    <format dxfId="9508">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109"/>
          </reference>
          <reference field="82" count="1" selected="0">
            <x v="546"/>
          </reference>
          <reference field="85" count="1" selected="0">
            <x v="0"/>
          </reference>
          <reference field="87" count="1" selected="0">
            <x v="1481"/>
          </reference>
          <reference field="88" count="1" selected="0">
            <x v="331"/>
          </reference>
        </references>
      </pivotArea>
    </format>
    <format dxfId="9507">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106"/>
          </reference>
          <reference field="82" count="1" selected="0">
            <x v="543"/>
          </reference>
          <reference field="85" count="1" selected="0">
            <x v="0"/>
          </reference>
          <reference field="87" count="1" selected="0">
            <x v="1478"/>
          </reference>
          <reference field="88" count="1" selected="0">
            <x v="328"/>
          </reference>
        </references>
      </pivotArea>
    </format>
    <format dxfId="9506">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4"/>
          </reference>
          <reference field="85" count="1" selected="0">
            <x v="7"/>
          </reference>
          <reference field="87" count="1" selected="0">
            <x v="1433"/>
          </reference>
          <reference field="88" count="1" selected="0">
            <x v="277"/>
          </reference>
        </references>
      </pivotArea>
    </format>
    <format dxfId="950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72"/>
          </reference>
          <reference field="82" count="1" selected="0">
            <x v="495"/>
          </reference>
          <reference field="85" count="1" selected="0">
            <x v="7"/>
          </reference>
          <reference field="87" count="1" selected="0">
            <x v="1435"/>
          </reference>
          <reference field="88" count="1" selected="0">
            <x v="278"/>
          </reference>
        </references>
      </pivotArea>
    </format>
    <format dxfId="950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107"/>
          </reference>
          <reference field="82" count="1" selected="0">
            <x v="544"/>
          </reference>
          <reference field="85" count="1" selected="0">
            <x v="0"/>
          </reference>
          <reference field="87" count="1" selected="0">
            <x v="1479"/>
          </reference>
          <reference field="88" count="1" selected="0">
            <x v="329"/>
          </reference>
        </references>
      </pivotArea>
    </format>
    <format dxfId="950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108"/>
          </reference>
          <reference field="82" count="1" selected="0">
            <x v="545"/>
          </reference>
          <reference field="85" count="1" selected="0">
            <x v="0"/>
          </reference>
          <reference field="87" count="1" selected="0">
            <x v="1480"/>
          </reference>
          <reference field="88" count="1" selected="0">
            <x v="330"/>
          </reference>
        </references>
      </pivotArea>
    </format>
    <format dxfId="950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109"/>
          </reference>
          <reference field="82" count="1" selected="0">
            <x v="546"/>
          </reference>
          <reference field="85" count="1" selected="0">
            <x v="0"/>
          </reference>
          <reference field="87" count="1" selected="0">
            <x v="1481"/>
          </reference>
          <reference field="88" count="1" selected="0">
            <x v="331"/>
          </reference>
        </references>
      </pivotArea>
    </format>
    <format dxfId="9501">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106"/>
          </reference>
          <reference field="82" count="1" selected="0">
            <x v="543"/>
          </reference>
          <reference field="85" count="1" selected="0">
            <x v="0"/>
          </reference>
          <reference field="87" count="1" selected="0">
            <x v="1478"/>
          </reference>
          <reference field="88" count="1" selected="0">
            <x v="328"/>
          </reference>
        </references>
      </pivotArea>
    </format>
    <format dxfId="9500">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4"/>
          </reference>
          <reference field="85" count="1" selected="0">
            <x v="7"/>
          </reference>
          <reference field="87" count="1" selected="0">
            <x v="1433"/>
          </reference>
          <reference field="88" count="1" selected="0">
            <x v="277"/>
          </reference>
        </references>
      </pivotArea>
    </format>
    <format dxfId="9499">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72"/>
          </reference>
          <reference field="82" count="1" selected="0">
            <x v="495"/>
          </reference>
          <reference field="85" count="1" selected="0">
            <x v="7"/>
          </reference>
          <reference field="87" count="1" selected="0">
            <x v="1435"/>
          </reference>
          <reference field="88" count="1" selected="0">
            <x v="278"/>
          </reference>
        </references>
      </pivotArea>
    </format>
    <format dxfId="9498">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092"/>
          </reference>
          <reference field="82" count="1" selected="0">
            <x v="518"/>
          </reference>
          <reference field="85" count="1" selected="0">
            <x v="7"/>
          </reference>
          <reference field="87" count="1" selected="0">
            <x v="1455"/>
          </reference>
          <reference field="88" count="1" selected="0">
            <x v="301"/>
          </reference>
        </references>
      </pivotArea>
    </format>
    <format dxfId="949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082"/>
          </reference>
          <reference field="82" count="1" selected="0">
            <x v="520"/>
          </reference>
          <reference field="85" count="1" selected="0">
            <x v="7"/>
          </reference>
          <reference field="87" count="1" selected="0">
            <x v="1445"/>
          </reference>
          <reference field="88" count="1" selected="0">
            <x v="303"/>
          </reference>
        </references>
      </pivotArea>
    </format>
    <format dxfId="949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103"/>
          </reference>
          <reference field="82" count="1" selected="0">
            <x v="540"/>
          </reference>
          <reference field="85" count="1" selected="0">
            <x v="0"/>
          </reference>
          <reference field="87" count="1" selected="0">
            <x v="1474"/>
          </reference>
          <reference field="88" count="1" selected="0">
            <x v="324"/>
          </reference>
        </references>
      </pivotArea>
    </format>
    <format dxfId="949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001"/>
          </reference>
          <reference field="82" count="1" selected="0">
            <x v="397"/>
          </reference>
          <reference field="85" count="1" selected="0">
            <x v="0"/>
          </reference>
          <reference field="87" count="1" selected="0">
            <x v="1477"/>
          </reference>
          <reference field="88" count="1" selected="0">
            <x v="327"/>
          </reference>
        </references>
      </pivotArea>
    </format>
    <format dxfId="949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104"/>
          </reference>
          <reference field="82" count="1" selected="0">
            <x v="541"/>
          </reference>
          <reference field="85" count="1" selected="0">
            <x v="0"/>
          </reference>
          <reference field="87" count="1" selected="0">
            <x v="1475"/>
          </reference>
          <reference field="88" count="1" selected="0">
            <x v="325"/>
          </reference>
        </references>
      </pivotArea>
    </format>
    <format dxfId="9493">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105"/>
          </reference>
          <reference field="82" count="1" selected="0">
            <x v="542"/>
          </reference>
          <reference field="85" count="1" selected="0">
            <x v="0"/>
          </reference>
          <reference field="87" count="1" selected="0">
            <x v="1476"/>
          </reference>
          <reference field="88" count="1" selected="0">
            <x v="326"/>
          </reference>
        </references>
      </pivotArea>
    </format>
    <format dxfId="949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2"/>
          </reference>
          <reference field="85" count="1" selected="0">
            <x v="7"/>
          </reference>
          <reference field="87" count="1" selected="0">
            <x v="1433"/>
          </reference>
          <reference field="88" count="1" selected="0">
            <x v="275"/>
          </reference>
        </references>
      </pivotArea>
    </format>
    <format dxfId="949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71"/>
          </reference>
          <reference field="82" count="1" selected="0">
            <x v="493"/>
          </reference>
          <reference field="85" count="1" selected="0">
            <x v="7"/>
          </reference>
          <reference field="87" count="1" selected="0">
            <x v="1434"/>
          </reference>
          <reference field="88" count="1" selected="0">
            <x v="276"/>
          </reference>
        </references>
      </pivotArea>
    </format>
    <format dxfId="949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48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48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410"/>
          </reference>
          <reference field="85" count="1" selected="0">
            <x v="4"/>
          </reference>
          <reference field="87" count="1" selected="0">
            <x v="1369"/>
          </reference>
          <reference field="88" count="1" selected="0">
            <x v="192"/>
          </reference>
        </references>
      </pivotArea>
    </format>
    <format dxfId="9487">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011"/>
          </reference>
          <reference field="82" count="1" selected="0">
            <x v="411"/>
          </reference>
          <reference field="85" count="1" selected="0">
            <x v="4"/>
          </reference>
          <reference field="87" count="1" selected="0">
            <x v="1370"/>
          </reference>
          <reference field="88" count="1" selected="0">
            <x v="193"/>
          </reference>
        </references>
      </pivotArea>
    </format>
    <format dxfId="9486">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087"/>
          </reference>
          <reference field="82" count="1" selected="0">
            <x v="578"/>
          </reference>
          <reference field="85" count="1" selected="0">
            <x v="7"/>
          </reference>
          <reference field="87" count="1" selected="0">
            <x v="1450"/>
          </reference>
          <reference field="88" count="1" selected="0">
            <x v="363"/>
          </reference>
        </references>
      </pivotArea>
    </format>
    <format dxfId="9485">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092"/>
          </reference>
          <reference field="82" count="1" selected="0">
            <x v="519"/>
          </reference>
          <reference field="85" count="1" selected="0">
            <x v="7"/>
          </reference>
          <reference field="87" count="1" selected="0">
            <x v="1455"/>
          </reference>
          <reference field="88" count="1" selected="0">
            <x v="302"/>
          </reference>
        </references>
      </pivotArea>
    </format>
    <format dxfId="948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066"/>
          </reference>
          <reference field="82" count="1" selected="0">
            <x v="485"/>
          </reference>
          <reference field="85" count="1" selected="0">
            <x v="4"/>
          </reference>
          <reference field="87" count="1" selected="0">
            <x v="1429"/>
          </reference>
          <reference field="88" count="1" selected="0">
            <x v="268"/>
          </reference>
        </references>
      </pivotArea>
    </format>
    <format dxfId="948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043"/>
          </reference>
          <reference field="82" count="1" selected="0">
            <x v="487"/>
          </reference>
          <reference field="85" count="1" selected="0">
            <x v="4"/>
          </reference>
          <reference field="87" count="1" selected="0">
            <x v="1406"/>
          </reference>
          <reference field="88" count="1" selected="0">
            <x v="270"/>
          </reference>
        </references>
      </pivotArea>
    </format>
    <format dxfId="948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067"/>
          </reference>
          <reference field="82" count="1" selected="0">
            <x v="488"/>
          </reference>
          <reference field="85" count="1" selected="0">
            <x v="4"/>
          </reference>
          <reference field="87" count="1" selected="0">
            <x v="1430"/>
          </reference>
          <reference field="88" count="1" selected="0">
            <x v="271"/>
          </reference>
        </references>
      </pivotArea>
    </format>
    <format dxfId="948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059"/>
          </reference>
          <reference field="82" count="1" selected="0">
            <x v="484"/>
          </reference>
          <reference field="85" count="1" selected="0">
            <x v="4"/>
          </reference>
          <reference field="87" count="1" selected="0">
            <x v="1422"/>
          </reference>
          <reference field="88" count="1" selected="0">
            <x v="267"/>
          </reference>
        </references>
      </pivotArea>
    </format>
    <format dxfId="948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068"/>
          </reference>
          <reference field="82" count="1" selected="0">
            <x v="489"/>
          </reference>
          <reference field="85" count="1" selected="0">
            <x v="4"/>
          </reference>
          <reference field="87" count="1" selected="0">
            <x v="1431"/>
          </reference>
          <reference field="88" count="1" selected="0">
            <x v="272"/>
          </reference>
        </references>
      </pivotArea>
    </format>
    <format dxfId="947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060"/>
          </reference>
          <reference field="82" count="1" selected="0">
            <x v="490"/>
          </reference>
          <reference field="85" count="1" selected="0">
            <x v="4"/>
          </reference>
          <reference field="87" count="1" selected="0">
            <x v="1423"/>
          </reference>
          <reference field="88" count="1" selected="0">
            <x v="273"/>
          </reference>
        </references>
      </pivotArea>
    </format>
    <format dxfId="947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069"/>
          </reference>
          <reference field="82" count="1" selected="0">
            <x v="491"/>
          </reference>
          <reference field="85" count="1" selected="0">
            <x v="4"/>
          </reference>
          <reference field="87" count="1" selected="0">
            <x v="1432"/>
          </reference>
          <reference field="88" count="1" selected="0">
            <x v="274"/>
          </reference>
        </references>
      </pivotArea>
    </format>
    <format dxfId="947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057"/>
          </reference>
          <reference field="82" count="1" selected="0">
            <x v="486"/>
          </reference>
          <reference field="85" count="1" selected="0">
            <x v="4"/>
          </reference>
          <reference field="87" count="1" selected="0">
            <x v="1420"/>
          </reference>
          <reference field="88" count="1" selected="0">
            <x v="269"/>
          </reference>
        </references>
      </pivotArea>
    </format>
    <format dxfId="947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107"/>
          </reference>
          <reference field="82" count="1" selected="0">
            <x v="544"/>
          </reference>
          <reference field="85" count="1" selected="0">
            <x v="0"/>
          </reference>
          <reference field="87" count="1" selected="0">
            <x v="1479"/>
          </reference>
          <reference field="88" count="1" selected="0">
            <x v="329"/>
          </reference>
        </references>
      </pivotArea>
    </format>
    <format dxfId="947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108"/>
          </reference>
          <reference field="82" count="1" selected="0">
            <x v="545"/>
          </reference>
          <reference field="85" count="1" selected="0">
            <x v="0"/>
          </reference>
          <reference field="87" count="1" selected="0">
            <x v="1480"/>
          </reference>
          <reference field="88" count="1" selected="0">
            <x v="330"/>
          </reference>
        </references>
      </pivotArea>
    </format>
    <format dxfId="947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109"/>
          </reference>
          <reference field="82" count="1" selected="0">
            <x v="546"/>
          </reference>
          <reference field="85" count="1" selected="0">
            <x v="0"/>
          </reference>
          <reference field="87" count="1" selected="0">
            <x v="1481"/>
          </reference>
          <reference field="88" count="1" selected="0">
            <x v="331"/>
          </reference>
        </references>
      </pivotArea>
    </format>
    <format dxfId="947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106"/>
          </reference>
          <reference field="82" count="1" selected="0">
            <x v="543"/>
          </reference>
          <reference field="85" count="1" selected="0">
            <x v="0"/>
          </reference>
          <reference field="87" count="1" selected="0">
            <x v="1478"/>
          </reference>
          <reference field="88" count="1" selected="0">
            <x v="328"/>
          </reference>
        </references>
      </pivotArea>
    </format>
    <format dxfId="9472">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087"/>
          </reference>
          <reference field="82" count="1" selected="0">
            <x v="577"/>
          </reference>
          <reference field="85" count="1" selected="0">
            <x v="7"/>
          </reference>
          <reference field="87" count="1" selected="0">
            <x v="1450"/>
          </reference>
          <reference field="88" count="1" selected="0">
            <x v="362"/>
          </reference>
        </references>
      </pivotArea>
    </format>
    <format dxfId="9471">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2"/>
          </reference>
          <reference field="85" count="1" selected="0">
            <x v="7"/>
          </reference>
          <reference field="87" count="1" selected="0">
            <x v="1433"/>
          </reference>
          <reference field="88" count="1" selected="0">
            <x v="275"/>
          </reference>
        </references>
      </pivotArea>
    </format>
    <format dxfId="947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71"/>
          </reference>
          <reference field="82" count="1" selected="0">
            <x v="493"/>
          </reference>
          <reference field="85" count="1" selected="0">
            <x v="7"/>
          </reference>
          <reference field="87" count="1" selected="0">
            <x v="1434"/>
          </reference>
          <reference field="88" count="1" selected="0">
            <x v="276"/>
          </reference>
        </references>
      </pivotArea>
    </format>
    <format dxfId="946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104"/>
          </reference>
          <reference field="82" count="1" selected="0">
            <x v="541"/>
          </reference>
          <reference field="85" count="1" selected="0">
            <x v="0"/>
          </reference>
          <reference field="87" count="1" selected="0">
            <x v="1475"/>
          </reference>
          <reference field="88" count="1" selected="0">
            <x v="325"/>
          </reference>
        </references>
      </pivotArea>
    </format>
    <format dxfId="9468">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105"/>
          </reference>
          <reference field="82" count="1" selected="0">
            <x v="542"/>
          </reference>
          <reference field="85" count="1" selected="0">
            <x v="0"/>
          </reference>
          <reference field="87" count="1" selected="0">
            <x v="1476"/>
          </reference>
          <reference field="88" count="1" selected="0">
            <x v="326"/>
          </reference>
        </references>
      </pivotArea>
    </format>
    <format dxfId="9467">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2"/>
          </reference>
          <reference field="85" count="1" selected="0">
            <x v="7"/>
          </reference>
          <reference field="87" count="1" selected="0">
            <x v="1433"/>
          </reference>
          <reference field="88" count="1" selected="0">
            <x v="275"/>
          </reference>
        </references>
      </pivotArea>
    </format>
    <format dxfId="9466">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71"/>
          </reference>
          <reference field="82" count="1" selected="0">
            <x v="493"/>
          </reference>
          <reference field="85" count="1" selected="0">
            <x v="7"/>
          </reference>
          <reference field="87" count="1" selected="0">
            <x v="1434"/>
          </reference>
          <reference field="88" count="1" selected="0">
            <x v="276"/>
          </reference>
        </references>
      </pivotArea>
    </format>
    <format dxfId="946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46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46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410"/>
          </reference>
          <reference field="85" count="1" selected="0">
            <x v="4"/>
          </reference>
          <reference field="87" count="1" selected="0">
            <x v="1369"/>
          </reference>
          <reference field="88" count="1" selected="0">
            <x v="192"/>
          </reference>
        </references>
      </pivotArea>
    </format>
    <format dxfId="946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011"/>
          </reference>
          <reference field="82" count="1" selected="0">
            <x v="411"/>
          </reference>
          <reference field="85" count="1" selected="0">
            <x v="4"/>
          </reference>
          <reference field="87" count="1" selected="0">
            <x v="1370"/>
          </reference>
          <reference field="88" count="1" selected="0">
            <x v="193"/>
          </reference>
        </references>
      </pivotArea>
    </format>
    <format dxfId="946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70"/>
          </reference>
          <reference field="82" count="1" selected="0">
            <x v="494"/>
          </reference>
          <reference field="85" count="1" selected="0">
            <x v="7"/>
          </reference>
          <reference field="87" count="1" selected="0">
            <x v="1433"/>
          </reference>
          <reference field="88" count="1" selected="0">
            <x v="277"/>
          </reference>
        </references>
      </pivotArea>
    </format>
    <format dxfId="946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72"/>
          </reference>
          <reference field="82" count="1" selected="0">
            <x v="495"/>
          </reference>
          <reference field="85" count="1" selected="0">
            <x v="7"/>
          </reference>
          <reference field="87" count="1" selected="0">
            <x v="1435"/>
          </reference>
          <reference field="88" count="1" selected="0">
            <x v="278"/>
          </reference>
        </references>
      </pivotArea>
    </format>
    <format dxfId="9459">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107"/>
          </reference>
          <reference field="82" count="1" selected="0">
            <x v="544"/>
          </reference>
          <reference field="85" count="1" selected="0">
            <x v="0"/>
          </reference>
          <reference field="87" count="1" selected="0">
            <x v="1479"/>
          </reference>
          <reference field="88" count="1" selected="0">
            <x v="329"/>
          </reference>
        </references>
      </pivotArea>
    </format>
    <format dxfId="945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021"/>
          </reference>
          <reference field="82" count="1" selected="0">
            <x v="550"/>
          </reference>
          <reference field="85" count="1" selected="0">
            <x v="0"/>
          </reference>
          <reference field="87" count="1" selected="0">
            <x v="1485"/>
          </reference>
          <reference field="88" count="1" selected="0">
            <x v="335"/>
          </reference>
        </references>
      </pivotArea>
    </format>
    <format dxfId="945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020"/>
          </reference>
          <reference field="82" count="1" selected="0">
            <x v="551"/>
          </reference>
          <reference field="85" count="1" selected="0">
            <x v="0"/>
          </reference>
          <reference field="87" count="1" selected="0">
            <x v="1486"/>
          </reference>
          <reference field="88" count="1" selected="0">
            <x v="336"/>
          </reference>
        </references>
      </pivotArea>
    </format>
    <format dxfId="945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112"/>
          </reference>
          <reference field="82" count="1" selected="0">
            <x v="552"/>
          </reference>
          <reference field="85" count="1" selected="0">
            <x v="0"/>
          </reference>
          <reference field="87" count="1" selected="0">
            <x v="1487"/>
          </reference>
          <reference field="88" count="1" selected="0">
            <x v="337"/>
          </reference>
        </references>
      </pivotArea>
    </format>
    <format dxfId="9455">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089"/>
          </reference>
          <reference field="82" count="1" selected="0">
            <x v="514"/>
          </reference>
          <reference field="85" count="1" selected="0">
            <x v="7"/>
          </reference>
          <reference field="87" count="1" selected="0">
            <x v="1452"/>
          </reference>
          <reference field="88" count="1" selected="0">
            <x v="297"/>
          </reference>
        </references>
      </pivotArea>
    </format>
    <format dxfId="9454">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089"/>
          </reference>
          <reference field="82" count="1" selected="0">
            <x v="514"/>
          </reference>
          <reference field="85" count="1" selected="0">
            <x v="7"/>
          </reference>
          <reference field="87" count="1" selected="0">
            <x v="1452"/>
          </reference>
          <reference field="88" count="1" selected="0">
            <x v="297"/>
          </reference>
        </references>
      </pivotArea>
    </format>
    <format dxfId="9453">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077"/>
          </reference>
          <reference field="82" count="1" selected="0">
            <x v="515"/>
          </reference>
          <reference field="85" count="1" selected="0">
            <x v="7"/>
          </reference>
          <reference field="87" count="1" selected="0">
            <x v="1440"/>
          </reference>
          <reference field="88" count="1" selected="0">
            <x v="298"/>
          </reference>
        </references>
      </pivotArea>
    </format>
    <format dxfId="945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026"/>
          </reference>
          <reference field="82" count="1" selected="0">
            <x v="547"/>
          </reference>
          <reference field="85" count="1" selected="0">
            <x v="0"/>
          </reference>
          <reference field="87" count="1" selected="0">
            <x v="1482"/>
          </reference>
          <reference field="88" count="1" selected="0">
            <x v="332"/>
          </reference>
        </references>
      </pivotArea>
    </format>
    <format dxfId="945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110"/>
          </reference>
          <reference field="82" count="1" selected="0">
            <x v="548"/>
          </reference>
          <reference field="85" count="1" selected="0">
            <x v="0"/>
          </reference>
          <reference field="87" count="1" selected="0">
            <x v="1483"/>
          </reference>
          <reference field="88" count="1" selected="0">
            <x v="333"/>
          </reference>
        </references>
      </pivotArea>
    </format>
    <format dxfId="945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111"/>
          </reference>
          <reference field="82" count="1" selected="0">
            <x v="549"/>
          </reference>
          <reference field="85" count="1" selected="0">
            <x v="0"/>
          </reference>
          <reference field="87" count="1" selected="0">
            <x v="1484"/>
          </reference>
          <reference field="88" count="1" selected="0">
            <x v="334"/>
          </reference>
        </references>
      </pivotArea>
    </format>
    <format dxfId="9449">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73"/>
          </reference>
          <reference field="82" count="1" selected="0">
            <x v="496"/>
          </reference>
          <reference field="85" count="1" selected="0">
            <x v="7"/>
          </reference>
          <reference field="87" count="1" selected="0">
            <x v="1436"/>
          </reference>
          <reference field="88" count="1" selected="0">
            <x v="279"/>
          </reference>
        </references>
      </pivotArea>
    </format>
    <format dxfId="944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074"/>
          </reference>
          <reference field="82" count="1" selected="0">
            <x v="497"/>
          </reference>
          <reference field="85" count="1" selected="0">
            <x v="7"/>
          </reference>
          <reference field="87" count="1" selected="0">
            <x v="1437"/>
          </reference>
          <reference field="88" count="1" selected="0">
            <x v="280"/>
          </reference>
        </references>
      </pivotArea>
    </format>
    <format dxfId="9447">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130"/>
          </reference>
          <reference field="82" count="1" selected="0">
            <x v="579"/>
          </reference>
          <reference field="85" count="1" selected="0">
            <x v="7"/>
          </reference>
          <reference field="87" count="1" selected="0">
            <x v="1510"/>
          </reference>
          <reference field="88" count="1" selected="0">
            <x v="364"/>
          </reference>
        </references>
      </pivotArea>
    </format>
    <format dxfId="944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026"/>
          </reference>
          <reference field="82" count="1" selected="0">
            <x v="547"/>
          </reference>
          <reference field="85" count="1" selected="0">
            <x v="0"/>
          </reference>
          <reference field="87" count="1" selected="0">
            <x v="1482"/>
          </reference>
          <reference field="88" count="1" selected="0">
            <x v="332"/>
          </reference>
        </references>
      </pivotArea>
    </format>
    <format dxfId="944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110"/>
          </reference>
          <reference field="82" count="1" selected="0">
            <x v="548"/>
          </reference>
          <reference field="85" count="1" selected="0">
            <x v="0"/>
          </reference>
          <reference field="87" count="1" selected="0">
            <x v="1483"/>
          </reference>
          <reference field="88" count="1" selected="0">
            <x v="333"/>
          </reference>
        </references>
      </pivotArea>
    </format>
    <format dxfId="9444">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111"/>
          </reference>
          <reference field="82" count="1" selected="0">
            <x v="549"/>
          </reference>
          <reference field="85" count="1" selected="0">
            <x v="0"/>
          </reference>
          <reference field="87" count="1" selected="0">
            <x v="1484"/>
          </reference>
          <reference field="88" count="1" selected="0">
            <x v="334"/>
          </reference>
        </references>
      </pivotArea>
    </format>
    <format dxfId="9443">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73"/>
          </reference>
          <reference field="82" count="1" selected="0">
            <x v="496"/>
          </reference>
          <reference field="85" count="1" selected="0">
            <x v="7"/>
          </reference>
          <reference field="87" count="1" selected="0">
            <x v="1436"/>
          </reference>
          <reference field="88" count="1" selected="0">
            <x v="279"/>
          </reference>
        </references>
      </pivotArea>
    </format>
    <format dxfId="944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115"/>
          </reference>
          <reference field="82" count="1" selected="0">
            <x v="556"/>
          </reference>
          <reference field="85" count="1" selected="0">
            <x v="0"/>
          </reference>
          <reference field="87" count="1" selected="0">
            <x v="1491"/>
          </reference>
          <reference field="88" count="1" selected="0">
            <x v="341"/>
          </reference>
        </references>
      </pivotArea>
    </format>
    <format dxfId="944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116"/>
          </reference>
          <reference field="82" count="1" selected="0">
            <x v="557"/>
          </reference>
          <reference field="85" count="1" selected="0">
            <x v="0"/>
          </reference>
          <reference field="87" count="1" selected="0">
            <x v="1492"/>
          </reference>
          <reference field="88" count="1" selected="0">
            <x v="342"/>
          </reference>
        </references>
      </pivotArea>
    </format>
    <format dxfId="944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117"/>
          </reference>
          <reference field="82" count="1" selected="0">
            <x v="558"/>
          </reference>
          <reference field="85" count="1" selected="0">
            <x v="0"/>
          </reference>
          <reference field="87" count="1" selected="0">
            <x v="1493"/>
          </reference>
          <reference field="88" count="1" selected="0">
            <x v="343"/>
          </reference>
        </references>
      </pivotArea>
    </format>
    <format dxfId="9439">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086"/>
          </reference>
          <reference field="82" count="1" selected="0">
            <x v="510"/>
          </reference>
          <reference field="85" count="1" selected="0">
            <x v="7"/>
          </reference>
          <reference field="87" count="1" selected="0">
            <x v="1449"/>
          </reference>
          <reference field="88" count="1" selected="0">
            <x v="293"/>
          </reference>
        </references>
      </pivotArea>
    </format>
    <format dxfId="9438">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82"/>
          </reference>
          <reference field="82" count="1" selected="0">
            <x v="505"/>
          </reference>
          <reference field="85" count="1" selected="0">
            <x v="7"/>
          </reference>
          <reference field="87" count="1" selected="0">
            <x v="1445"/>
          </reference>
          <reference field="88" count="1" selected="0">
            <x v="288"/>
          </reference>
        </references>
      </pivotArea>
    </format>
    <format dxfId="943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059"/>
          </reference>
          <reference field="82" count="1" selected="0">
            <x v="477"/>
          </reference>
          <reference field="85" count="1" selected="0">
            <x v="4"/>
          </reference>
          <reference field="87" count="1" selected="0">
            <x v="1422"/>
          </reference>
          <reference field="88" count="1" selected="0">
            <x v="260"/>
          </reference>
        </references>
      </pivotArea>
    </format>
    <format dxfId="943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060"/>
          </reference>
          <reference field="82" count="1" selected="0">
            <x v="478"/>
          </reference>
          <reference field="85" count="1" selected="0">
            <x v="4"/>
          </reference>
          <reference field="87" count="1" selected="0">
            <x v="1423"/>
          </reference>
          <reference field="88" count="1" selected="0">
            <x v="261"/>
          </reference>
        </references>
      </pivotArea>
    </format>
    <format dxfId="943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057"/>
          </reference>
          <reference field="82" count="1" selected="0">
            <x v="475"/>
          </reference>
          <reference field="85" count="1" selected="0">
            <x v="4"/>
          </reference>
          <reference field="87" count="1" selected="0">
            <x v="1420"/>
          </reference>
          <reference field="88" count="1" selected="0">
            <x v="258"/>
          </reference>
        </references>
      </pivotArea>
    </format>
    <format dxfId="943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058"/>
          </reference>
          <reference field="82" count="1" selected="0">
            <x v="476"/>
          </reference>
          <reference field="85" count="1" selected="0">
            <x v="4"/>
          </reference>
          <reference field="87" count="1" selected="0">
            <x v="1421"/>
          </reference>
          <reference field="88" count="1" selected="0">
            <x v="259"/>
          </reference>
        </references>
      </pivotArea>
    </format>
    <format dxfId="943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019"/>
          </reference>
          <reference field="82" count="1" selected="0">
            <x v="553"/>
          </reference>
          <reference field="85" count="1" selected="0">
            <x v="0"/>
          </reference>
          <reference field="87" count="1" selected="0">
            <x v="1488"/>
          </reference>
          <reference field="88" count="1" selected="0">
            <x v="338"/>
          </reference>
        </references>
      </pivotArea>
    </format>
    <format dxfId="943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113"/>
          </reference>
          <reference field="82" count="1" selected="0">
            <x v="554"/>
          </reference>
          <reference field="85" count="1" selected="0">
            <x v="0"/>
          </reference>
          <reference field="87" count="1" selected="0">
            <x v="1489"/>
          </reference>
          <reference field="88" count="1" selected="0">
            <x v="339"/>
          </reference>
        </references>
      </pivotArea>
    </format>
    <format dxfId="943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114"/>
          </reference>
          <reference field="82" count="1" selected="0">
            <x v="555"/>
          </reference>
          <reference field="85" count="1" selected="0">
            <x v="0"/>
          </reference>
          <reference field="87" count="1" selected="0">
            <x v="1490"/>
          </reference>
          <reference field="88" count="1" selected="0">
            <x v="340"/>
          </reference>
        </references>
      </pivotArea>
    </format>
    <format dxfId="9430">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127"/>
          </reference>
          <reference field="82" count="1" selected="0">
            <x v="574"/>
          </reference>
          <reference field="85" count="1" selected="0">
            <x v="7"/>
          </reference>
          <reference field="87" count="1" selected="0">
            <x v="1507"/>
          </reference>
          <reference field="88" count="1" selected="0">
            <x v="359"/>
          </reference>
        </references>
      </pivotArea>
    </format>
    <format dxfId="9429">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91"/>
          </reference>
          <reference field="82" count="1" selected="0">
            <x v="517"/>
          </reference>
          <reference field="85" count="1" selected="0">
            <x v="7"/>
          </reference>
          <reference field="87" count="1" selected="0">
            <x v="1454"/>
          </reference>
          <reference field="88" count="1" selected="0">
            <x v="300"/>
          </reference>
        </references>
      </pivotArea>
    </format>
    <format dxfId="942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101"/>
          </reference>
          <reference field="82" count="1" selected="0">
            <x v="535"/>
          </reference>
          <reference field="85" count="1" selected="0">
            <x v="0"/>
          </reference>
          <reference field="87" count="1" selected="0">
            <x v="1469"/>
          </reference>
          <reference field="88" count="1" selected="0">
            <x v="319"/>
          </reference>
        </references>
      </pivotArea>
    </format>
    <format dxfId="942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015"/>
          </reference>
          <reference field="82" count="1" selected="0">
            <x v="534"/>
          </reference>
          <reference field="85" count="1" selected="0">
            <x v="0"/>
          </reference>
          <reference field="87" count="1" selected="0">
            <x v="1468"/>
          </reference>
          <reference field="88" count="1" selected="0">
            <x v="318"/>
          </reference>
        </references>
      </pivotArea>
    </format>
    <format dxfId="942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102"/>
          </reference>
          <reference field="82" count="1" selected="0">
            <x v="536"/>
          </reference>
          <reference field="85" count="1" selected="0">
            <x v="0"/>
          </reference>
          <reference field="87" count="1" selected="0">
            <x v="1470"/>
          </reference>
          <reference field="88" count="1" selected="0">
            <x v="320"/>
          </reference>
        </references>
      </pivotArea>
    </format>
    <format dxfId="9425">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137"/>
          </reference>
          <reference field="82" count="1" selected="0">
            <x v="589"/>
          </reference>
          <reference field="85" count="1" selected="0">
            <x v="7"/>
          </reference>
          <reference field="87" count="1" selected="0">
            <x v="1518"/>
          </reference>
          <reference field="88" count="1" selected="0">
            <x v="374"/>
          </reference>
        </references>
      </pivotArea>
    </format>
    <format dxfId="9424">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91"/>
          </reference>
          <reference field="82" count="1" selected="0">
            <x v="517"/>
          </reference>
          <reference field="85" count="1" selected="0">
            <x v="7"/>
          </reference>
          <reference field="87" count="1" selected="0">
            <x v="1454"/>
          </reference>
          <reference field="88" count="1" selected="0">
            <x v="300"/>
          </reference>
        </references>
      </pivotArea>
    </format>
    <format dxfId="942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063"/>
          </reference>
          <reference field="82" count="1" selected="0">
            <x v="481"/>
          </reference>
          <reference field="85" count="1" selected="0">
            <x v="4"/>
          </reference>
          <reference field="87" count="1" selected="0">
            <x v="1426"/>
          </reference>
          <reference field="88" count="1" selected="0">
            <x v="264"/>
          </reference>
        </references>
      </pivotArea>
    </format>
    <format dxfId="942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064"/>
          </reference>
          <reference field="82" count="1" selected="0">
            <x v="482"/>
          </reference>
          <reference field="85" count="1" selected="0">
            <x v="4"/>
          </reference>
          <reference field="87" count="1" selected="0">
            <x v="1427"/>
          </reference>
          <reference field="88" count="1" selected="0">
            <x v="265"/>
          </reference>
        </references>
      </pivotArea>
    </format>
    <format dxfId="942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061"/>
          </reference>
          <reference field="82" count="1" selected="0">
            <x v="479"/>
          </reference>
          <reference field="85" count="1" selected="0">
            <x v="4"/>
          </reference>
          <reference field="87" count="1" selected="0">
            <x v="1424"/>
          </reference>
          <reference field="88" count="1" selected="0">
            <x v="262"/>
          </reference>
        </references>
      </pivotArea>
    </format>
    <format dxfId="942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062"/>
          </reference>
          <reference field="82" count="1" selected="0">
            <x v="480"/>
          </reference>
          <reference field="85" count="1" selected="0">
            <x v="4"/>
          </reference>
          <reference field="87" count="1" selected="0">
            <x v="1425"/>
          </reference>
          <reference field="88" count="1" selected="0">
            <x v="263"/>
          </reference>
        </references>
      </pivotArea>
    </format>
    <format dxfId="9419">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013"/>
          </reference>
          <reference field="82" count="1" selected="0">
            <x v="421"/>
          </reference>
          <reference field="85" count="1" selected="0">
            <x v="0"/>
          </reference>
          <reference field="87" count="1" selected="0">
            <x v="1465"/>
          </reference>
          <reference field="88" count="1" selected="0">
            <x v="315"/>
          </reference>
        </references>
      </pivotArea>
    </format>
    <format dxfId="941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009"/>
          </reference>
          <reference field="82" count="1" selected="0">
            <x v="532"/>
          </reference>
          <reference field="85" count="1" selected="0">
            <x v="0"/>
          </reference>
          <reference field="87" count="1" selected="0">
            <x v="1466"/>
          </reference>
          <reference field="88" count="1" selected="0">
            <x v="316"/>
          </reference>
        </references>
      </pivotArea>
    </format>
    <format dxfId="941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99"/>
          </reference>
          <reference field="82" count="1" selected="0">
            <x v="533"/>
          </reference>
          <reference field="85" count="1" selected="0">
            <x v="0"/>
          </reference>
          <reference field="87" count="1" selected="0">
            <x v="1467"/>
          </reference>
          <reference field="88" count="1" selected="0">
            <x v="317"/>
          </reference>
        </references>
      </pivotArea>
    </format>
    <format dxfId="9416">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082"/>
          </reference>
          <reference field="82" count="1" selected="0">
            <x v="505"/>
          </reference>
          <reference field="85" count="1" selected="0">
            <x v="7"/>
          </reference>
          <reference field="87" count="1" selected="0">
            <x v="1445"/>
          </reference>
          <reference field="88" count="1" selected="0">
            <x v="288"/>
          </reference>
        </references>
      </pivotArea>
    </format>
    <format dxfId="941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013"/>
          </reference>
          <reference field="82" count="1" selected="0">
            <x v="421"/>
          </reference>
          <reference field="85" count="1" selected="0">
            <x v="0"/>
          </reference>
          <reference field="87" count="1" selected="0">
            <x v="1465"/>
          </reference>
          <reference field="88" count="1" selected="0">
            <x v="315"/>
          </reference>
        </references>
      </pivotArea>
    </format>
    <format dxfId="9414">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009"/>
          </reference>
          <reference field="82" count="1" selected="0">
            <x v="532"/>
          </reference>
          <reference field="85" count="1" selected="0">
            <x v="0"/>
          </reference>
          <reference field="87" count="1" selected="0">
            <x v="1466"/>
          </reference>
          <reference field="88" count="1" selected="0">
            <x v="316"/>
          </reference>
        </references>
      </pivotArea>
    </format>
    <format dxfId="9413">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99"/>
          </reference>
          <reference field="82" count="1" selected="0">
            <x v="533"/>
          </reference>
          <reference field="85" count="1" selected="0">
            <x v="0"/>
          </reference>
          <reference field="87" count="1" selected="0">
            <x v="1467"/>
          </reference>
          <reference field="88" count="1" selected="0">
            <x v="317"/>
          </reference>
        </references>
      </pivotArea>
    </format>
    <format dxfId="941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090"/>
          </reference>
          <reference field="82" count="1" selected="0">
            <x v="516"/>
          </reference>
          <reference field="85" count="1" selected="0">
            <x v="7"/>
          </reference>
          <reference field="87" count="1" selected="0">
            <x v="1453"/>
          </reference>
          <reference field="88" count="1" selected="0">
            <x v="299"/>
          </reference>
        </references>
      </pivotArea>
    </format>
    <format dxfId="9411">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82"/>
          </reference>
          <reference field="82" count="1" selected="0">
            <x v="505"/>
          </reference>
          <reference field="85" count="1" selected="0">
            <x v="7"/>
          </reference>
          <reference field="87" count="1" selected="0">
            <x v="1445"/>
          </reference>
          <reference field="88" count="1" selected="0">
            <x v="288"/>
          </reference>
        </references>
      </pivotArea>
    </format>
    <format dxfId="941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016"/>
          </reference>
          <reference field="82" count="1" selected="0">
            <x v="537"/>
          </reference>
          <reference field="85" count="1" selected="0">
            <x v="0"/>
          </reference>
          <reference field="87" count="1" selected="0">
            <x v="1471"/>
          </reference>
          <reference field="88" count="1" selected="0">
            <x v="321"/>
          </reference>
        </references>
      </pivotArea>
    </format>
    <format dxfId="9409">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003"/>
          </reference>
          <reference field="82" count="1" selected="0">
            <x v="538"/>
          </reference>
          <reference field="85" count="1" selected="0">
            <x v="0"/>
          </reference>
          <reference field="87" count="1" selected="0">
            <x v="1472"/>
          </reference>
          <reference field="88" count="1" selected="0">
            <x v="322"/>
          </reference>
        </references>
      </pivotArea>
    </format>
    <format dxfId="9408">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539"/>
          </reference>
          <reference field="85" count="1" selected="0">
            <x v="0"/>
          </reference>
          <reference field="87" count="1" selected="0">
            <x v="1473"/>
          </reference>
          <reference field="88" count="1" selected="0">
            <x v="323"/>
          </reference>
        </references>
      </pivotArea>
    </format>
    <format dxfId="940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030"/>
          </reference>
          <reference field="82" count="1" selected="0">
            <x v="441"/>
          </reference>
          <reference field="85" count="1" selected="0">
            <x v="2"/>
          </reference>
          <reference field="87" count="1" selected="0">
            <x v="1389"/>
          </reference>
          <reference field="88" count="1" selected="0">
            <x v="223"/>
          </reference>
        </references>
      </pivotArea>
    </format>
    <format dxfId="940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029"/>
          </reference>
          <reference field="82" count="1" selected="0">
            <x v="440"/>
          </reference>
          <reference field="85" count="1" selected="0">
            <x v="2"/>
          </reference>
          <reference field="87" count="1" selected="0">
            <x v="1388"/>
          </reference>
          <reference field="88" count="1" selected="0">
            <x v="222"/>
          </reference>
        </references>
      </pivotArea>
    </format>
    <format dxfId="940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031"/>
          </reference>
          <reference field="82" count="1" selected="0">
            <x v="442"/>
          </reference>
          <reference field="85" count="1" selected="0">
            <x v="2"/>
          </reference>
          <reference field="87" count="1" selected="0">
            <x v="1390"/>
          </reference>
          <reference field="88" count="1" selected="0">
            <x v="224"/>
          </reference>
        </references>
      </pivotArea>
    </format>
    <format dxfId="9404">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016"/>
          </reference>
          <reference field="82" count="1" selected="0">
            <x v="537"/>
          </reference>
          <reference field="85" count="1" selected="0">
            <x v="0"/>
          </reference>
          <reference field="87" count="1" selected="0">
            <x v="1471"/>
          </reference>
          <reference field="88" count="1" selected="0">
            <x v="321"/>
          </reference>
        </references>
      </pivotArea>
    </format>
    <format dxfId="940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539"/>
          </reference>
          <reference field="85" count="1" selected="0">
            <x v="0"/>
          </reference>
          <reference field="87" count="1" selected="0">
            <x v="1473"/>
          </reference>
          <reference field="88" count="1" selected="0">
            <x v="323"/>
          </reference>
        </references>
      </pivotArea>
    </format>
    <format dxfId="9402">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077"/>
          </reference>
          <reference field="82" count="1" selected="0">
            <x v="500"/>
          </reference>
          <reference field="85" count="1" selected="0">
            <x v="7"/>
          </reference>
          <reference field="87" count="1" selected="0">
            <x v="1440"/>
          </reference>
          <reference field="88" count="1" selected="0">
            <x v="283"/>
          </reference>
        </references>
      </pivotArea>
    </format>
    <format dxfId="940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002"/>
          </reference>
          <reference field="82" count="1" selected="0">
            <x v="433"/>
          </reference>
          <reference field="85" count="1" selected="0">
            <x v="4"/>
          </reference>
          <reference field="87" count="1" selected="0">
            <x v="1361"/>
          </reference>
          <reference field="88" count="1" selected="0">
            <x v="215"/>
          </reference>
        </references>
      </pivotArea>
    </format>
    <format dxfId="940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003"/>
          </reference>
          <reference field="82" count="1" selected="0">
            <x v="412"/>
          </reference>
          <reference field="85" count="1" selected="0">
            <x v="4"/>
          </reference>
          <reference field="87" count="1" selected="0">
            <x v="1362"/>
          </reference>
          <reference field="88" count="1" selected="0">
            <x v="194"/>
          </reference>
        </references>
      </pivotArea>
    </format>
    <format dxfId="939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010"/>
          </reference>
          <reference field="82" count="1" selected="0">
            <x v="413"/>
          </reference>
          <reference field="85" count="1" selected="0">
            <x v="4"/>
          </reference>
          <reference field="87" count="1" selected="0">
            <x v="1369"/>
          </reference>
          <reference field="88" count="1" selected="0">
            <x v="195"/>
          </reference>
        </references>
      </pivotArea>
    </format>
    <format dxfId="939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011"/>
          </reference>
          <reference field="82" count="1" selected="0">
            <x v="416"/>
          </reference>
          <reference field="85" count="1" selected="0">
            <x v="4"/>
          </reference>
          <reference field="87" count="1" selected="0">
            <x v="1370"/>
          </reference>
          <reference field="88" count="1" selected="0">
            <x v="198"/>
          </reference>
        </references>
      </pivotArea>
    </format>
    <format dxfId="939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93"/>
          </reference>
          <reference field="82" count="1" selected="0">
            <x v="389"/>
          </reference>
          <reference field="85" count="1" selected="0">
            <x v="4"/>
          </reference>
          <reference field="87" count="1" selected="0">
            <x v="1352"/>
          </reference>
          <reference field="88" count="1" selected="0">
            <x v="171"/>
          </reference>
        </references>
      </pivotArea>
    </format>
    <format dxfId="939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94"/>
          </reference>
          <reference field="82" count="1" selected="0">
            <x v="390"/>
          </reference>
          <reference field="85" count="1" selected="0">
            <x v="4"/>
          </reference>
          <reference field="87" count="1" selected="0">
            <x v="1353"/>
          </reference>
          <reference field="88" count="1" selected="0">
            <x v="172"/>
          </reference>
        </references>
      </pivotArea>
    </format>
    <format dxfId="939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4"/>
          </reference>
          <reference field="87" count="1" selected="0">
            <x v="1354"/>
          </reference>
          <reference field="88" count="1" selected="0">
            <x v="173"/>
          </reference>
        </references>
      </pivotArea>
    </format>
    <format dxfId="939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96"/>
          </reference>
          <reference field="82" count="1" selected="0">
            <x v="392"/>
          </reference>
          <reference field="85" count="1" selected="0">
            <x v="4"/>
          </reference>
          <reference field="87" count="1" selected="0">
            <x v="1355"/>
          </reference>
          <reference field="88" count="1" selected="0">
            <x v="174"/>
          </reference>
        </references>
      </pivotArea>
    </format>
    <format dxfId="9393">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007"/>
          </reference>
          <reference field="82" count="1" selected="0">
            <x v="526"/>
          </reference>
          <reference field="85" count="1" selected="0">
            <x v="3"/>
          </reference>
          <reference field="87" count="1" selected="0">
            <x v="1460"/>
          </reference>
          <reference field="88" count="1" selected="0">
            <x v="309"/>
          </reference>
        </references>
      </pivotArea>
    </format>
    <format dxfId="9392">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096"/>
          </reference>
          <reference field="82" count="1" selected="0">
            <x v="525"/>
          </reference>
          <reference field="85" count="1" selected="0">
            <x v="3"/>
          </reference>
          <reference field="87" count="1" selected="0">
            <x v="1459"/>
          </reference>
          <reference field="88" count="1" selected="0">
            <x v="308"/>
          </reference>
        </references>
      </pivotArea>
    </format>
    <format dxfId="939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93"/>
          </reference>
          <reference field="82" count="1" selected="0">
            <x v="389"/>
          </reference>
          <reference field="85" count="1" selected="0">
            <x v="4"/>
          </reference>
          <reference field="87" count="1" selected="0">
            <x v="1352"/>
          </reference>
          <reference field="88" count="1" selected="0">
            <x v="171"/>
          </reference>
        </references>
      </pivotArea>
    </format>
    <format dxfId="939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94"/>
          </reference>
          <reference field="82" count="1" selected="0">
            <x v="390"/>
          </reference>
          <reference field="85" count="1" selected="0">
            <x v="4"/>
          </reference>
          <reference field="87" count="1" selected="0">
            <x v="1353"/>
          </reference>
          <reference field="88" count="1" selected="0">
            <x v="172"/>
          </reference>
        </references>
      </pivotArea>
    </format>
    <format dxfId="938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4"/>
          </reference>
          <reference field="87" count="1" selected="0">
            <x v="1354"/>
          </reference>
          <reference field="88" count="1" selected="0">
            <x v="173"/>
          </reference>
        </references>
      </pivotArea>
    </format>
    <format dxfId="938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96"/>
          </reference>
          <reference field="82" count="1" selected="0">
            <x v="392"/>
          </reference>
          <reference field="85" count="1" selected="0">
            <x v="4"/>
          </reference>
          <reference field="87" count="1" selected="0">
            <x v="1355"/>
          </reference>
          <reference field="88" count="1" selected="0">
            <x v="174"/>
          </reference>
        </references>
      </pivotArea>
    </format>
    <format dxfId="938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93"/>
          </reference>
          <reference field="82" count="1" selected="0">
            <x v="389"/>
          </reference>
          <reference field="85" count="1" selected="0">
            <x v="4"/>
          </reference>
          <reference field="87" count="1" selected="0">
            <x v="1352"/>
          </reference>
          <reference field="88" count="1" selected="0">
            <x v="171"/>
          </reference>
        </references>
      </pivotArea>
    </format>
    <format dxfId="938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94"/>
          </reference>
          <reference field="82" count="1" selected="0">
            <x v="390"/>
          </reference>
          <reference field="85" count="1" selected="0">
            <x v="4"/>
          </reference>
          <reference field="87" count="1" selected="0">
            <x v="1353"/>
          </reference>
          <reference field="88" count="1" selected="0">
            <x v="172"/>
          </reference>
        </references>
      </pivotArea>
    </format>
    <format dxfId="938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4"/>
          </reference>
          <reference field="87" count="1" selected="0">
            <x v="1354"/>
          </reference>
          <reference field="88" count="1" selected="0">
            <x v="173"/>
          </reference>
        </references>
      </pivotArea>
    </format>
    <format dxfId="938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96"/>
          </reference>
          <reference field="82" count="1" selected="0">
            <x v="392"/>
          </reference>
          <reference field="85" count="1" selected="0">
            <x v="4"/>
          </reference>
          <reference field="87" count="1" selected="0">
            <x v="1355"/>
          </reference>
          <reference field="88" count="1" selected="0">
            <x v="174"/>
          </reference>
        </references>
      </pivotArea>
    </format>
    <format dxfId="938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010"/>
          </reference>
          <reference field="82" count="1" selected="0">
            <x v="539"/>
          </reference>
          <reference field="85" count="1" selected="0">
            <x v="0"/>
          </reference>
          <reference field="87" count="1" selected="0">
            <x v="1473"/>
          </reference>
          <reference field="88" count="1" selected="0">
            <x v="323"/>
          </reference>
        </references>
      </pivotArea>
    </format>
    <format dxfId="938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012"/>
          </reference>
          <reference field="82" count="1" selected="0">
            <x v="560"/>
          </reference>
          <reference field="85" count="1" selected="0">
            <x v="0"/>
          </reference>
          <reference field="87" count="1" selected="0">
            <x v="1495"/>
          </reference>
          <reference field="88" count="1" selected="0">
            <x v="345"/>
          </reference>
        </references>
      </pivotArea>
    </format>
    <format dxfId="938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017"/>
          </reference>
          <reference field="82" count="1" selected="0">
            <x v="559"/>
          </reference>
          <reference field="85" count="1" selected="0">
            <x v="0"/>
          </reference>
          <reference field="87" count="1" selected="0">
            <x v="1494"/>
          </reference>
          <reference field="88" count="1" selected="0">
            <x v="344"/>
          </reference>
        </references>
      </pivotArea>
    </format>
    <format dxfId="938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87"/>
          </reference>
          <reference field="82" count="1" selected="0">
            <x v="511"/>
          </reference>
          <reference field="85" count="1" selected="0">
            <x v="7"/>
          </reference>
          <reference field="87" count="1" selected="0">
            <x v="1450"/>
          </reference>
          <reference field="88" count="1" selected="0">
            <x v="294"/>
          </reference>
        </references>
      </pivotArea>
    </format>
    <format dxfId="9379">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88"/>
          </reference>
          <reference field="82" count="1" selected="0">
            <x v="512"/>
          </reference>
          <reference field="85" count="1" selected="0">
            <x v="7"/>
          </reference>
          <reference field="87" count="1" selected="0">
            <x v="1451"/>
          </reference>
          <reference field="88" count="1" selected="0">
            <x v="295"/>
          </reference>
        </references>
      </pivotArea>
    </format>
    <format dxfId="9378">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82"/>
          </reference>
          <reference field="82" count="1" selected="0">
            <x v="513"/>
          </reference>
          <reference field="85" count="1" selected="0">
            <x v="7"/>
          </reference>
          <reference field="87" count="1" selected="0">
            <x v="1445"/>
          </reference>
          <reference field="88" count="1" selected="0">
            <x v="296"/>
          </reference>
        </references>
      </pivotArea>
    </format>
    <format dxfId="937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054"/>
          </reference>
          <reference field="82" count="1" selected="0">
            <x v="471"/>
          </reference>
          <reference field="85" count="1" selected="0">
            <x v="4"/>
          </reference>
          <reference field="87" count="1" selected="0">
            <x v="1417"/>
          </reference>
          <reference field="88" count="1" selected="0">
            <x v="254"/>
          </reference>
        </references>
      </pivotArea>
    </format>
    <format dxfId="937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044"/>
          </reference>
          <reference field="82" count="1" selected="0">
            <x v="472"/>
          </reference>
          <reference field="85" count="1" selected="0">
            <x v="4"/>
          </reference>
          <reference field="87" count="1" selected="0">
            <x v="1407"/>
          </reference>
          <reference field="88" count="1" selected="0">
            <x v="255"/>
          </reference>
        </references>
      </pivotArea>
    </format>
    <format dxfId="937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055"/>
          </reference>
          <reference field="82" count="1" selected="0">
            <x v="473"/>
          </reference>
          <reference field="85" count="1" selected="0">
            <x v="4"/>
          </reference>
          <reference field="87" count="1" selected="0">
            <x v="1418"/>
          </reference>
          <reference field="88" count="1" selected="0">
            <x v="256"/>
          </reference>
        </references>
      </pivotArea>
    </format>
    <format dxfId="9374">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056"/>
          </reference>
          <reference field="82" count="1" selected="0">
            <x v="474"/>
          </reference>
          <reference field="85" count="1" selected="0">
            <x v="4"/>
          </reference>
          <reference field="87" count="1" selected="0">
            <x v="1419"/>
          </reference>
          <reference field="88" count="1" selected="0">
            <x v="257"/>
          </reference>
        </references>
      </pivotArea>
    </format>
    <format dxfId="937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110"/>
          </reference>
          <reference field="82" count="1" selected="0">
            <x v="566"/>
          </reference>
          <reference field="85" count="1" selected="0">
            <x v="0"/>
          </reference>
          <reference field="87" count="1" selected="0">
            <x v="1483"/>
          </reference>
          <reference field="88" count="1" selected="0">
            <x v="351"/>
          </reference>
        </references>
      </pivotArea>
    </format>
    <format dxfId="937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124"/>
          </reference>
          <reference field="82" count="1" selected="0">
            <x v="570"/>
          </reference>
          <reference field="85" count="1" selected="0">
            <x v="0"/>
          </reference>
          <reference field="87" count="1" selected="0">
            <x v="1503"/>
          </reference>
          <reference field="88" count="1" selected="0">
            <x v="355"/>
          </reference>
        </references>
      </pivotArea>
    </format>
    <format dxfId="937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029"/>
          </reference>
          <reference field="82" count="1" selected="0">
            <x v="571"/>
          </reference>
          <reference field="85" count="1" selected="0">
            <x v="0"/>
          </reference>
          <reference field="87" count="1" selected="0">
            <x v="1504"/>
          </reference>
          <reference field="88" count="1" selected="0">
            <x v="356"/>
          </reference>
        </references>
      </pivotArea>
    </format>
    <format dxfId="937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085"/>
          </reference>
          <reference field="82" count="1" selected="0">
            <x v="508"/>
          </reference>
          <reference field="85" count="1" selected="0">
            <x v="7"/>
          </reference>
          <reference field="87" count="1" selected="0">
            <x v="1448"/>
          </reference>
          <reference field="88" count="1" selected="0">
            <x v="291"/>
          </reference>
        </references>
      </pivotArea>
    </format>
    <format dxfId="9369">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077"/>
          </reference>
          <reference field="82" count="1" selected="0">
            <x v="509"/>
          </reference>
          <reference field="85" count="1" selected="0">
            <x v="7"/>
          </reference>
          <reference field="87" count="1" selected="0">
            <x v="1440"/>
          </reference>
          <reference field="88" count="1" selected="0">
            <x v="292"/>
          </reference>
        </references>
      </pivotArea>
    </format>
    <format dxfId="9368">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024"/>
          </reference>
          <reference field="82" count="1" selected="0">
            <x v="587"/>
          </reference>
          <reference field="85" count="1" selected="0">
            <x v="3"/>
          </reference>
          <reference field="87" count="1" selected="0">
            <x v="1517"/>
          </reference>
          <reference field="88" count="1" selected="0">
            <x v="372"/>
          </reference>
        </references>
      </pivotArea>
    </format>
    <format dxfId="936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87"/>
          </reference>
          <reference field="82" count="1" selected="0">
            <x v="511"/>
          </reference>
          <reference field="85" count="1" selected="0">
            <x v="7"/>
          </reference>
          <reference field="87" count="1" selected="0">
            <x v="1450"/>
          </reference>
          <reference field="88" count="1" selected="0">
            <x v="294"/>
          </reference>
        </references>
      </pivotArea>
    </format>
    <format dxfId="936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88"/>
          </reference>
          <reference field="82" count="1" selected="0">
            <x v="512"/>
          </reference>
          <reference field="85" count="1" selected="0">
            <x v="7"/>
          </reference>
          <reference field="87" count="1" selected="0">
            <x v="1451"/>
          </reference>
          <reference field="88" count="1" selected="0">
            <x v="295"/>
          </reference>
        </references>
      </pivotArea>
    </format>
    <format dxfId="936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87"/>
          </reference>
          <reference field="82" count="1" selected="0">
            <x v="511"/>
          </reference>
          <reference field="85" count="1" selected="0">
            <x v="7"/>
          </reference>
          <reference field="87" count="1" selected="0">
            <x v="1450"/>
          </reference>
          <reference field="88" count="1" selected="0">
            <x v="294"/>
          </reference>
        </references>
      </pivotArea>
    </format>
    <format dxfId="936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88"/>
          </reference>
          <reference field="82" count="1" selected="0">
            <x v="512"/>
          </reference>
          <reference field="85" count="1" selected="0">
            <x v="7"/>
          </reference>
          <reference field="87" count="1" selected="0">
            <x v="1451"/>
          </reference>
          <reference field="88" count="1" selected="0">
            <x v="295"/>
          </reference>
        </references>
      </pivotArea>
    </format>
    <format dxfId="936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82"/>
          </reference>
          <reference field="82" count="1" selected="0">
            <x v="513"/>
          </reference>
          <reference field="85" count="1" selected="0">
            <x v="7"/>
          </reference>
          <reference field="87" count="1" selected="0">
            <x v="1445"/>
          </reference>
          <reference field="88" count="1" selected="0">
            <x v="296"/>
          </reference>
        </references>
      </pivotArea>
    </format>
    <format dxfId="936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052"/>
          </reference>
          <reference field="82" count="1" selected="0">
            <x v="467"/>
          </reference>
          <reference field="85" count="1" selected="0">
            <x v="4"/>
          </reference>
          <reference field="87" count="1" selected="0">
            <x v="1415"/>
          </reference>
          <reference field="88" count="1" selected="0">
            <x v="250"/>
          </reference>
        </references>
      </pivotArea>
    </format>
    <format dxfId="936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050"/>
          </reference>
          <reference field="82" count="1" selected="0">
            <x v="468"/>
          </reference>
          <reference field="85" count="1" selected="0">
            <x v="4"/>
          </reference>
          <reference field="87" count="1" selected="0">
            <x v="1413"/>
          </reference>
          <reference field="88" count="1" selected="0">
            <x v="251"/>
          </reference>
        </references>
      </pivotArea>
    </format>
    <format dxfId="936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053"/>
          </reference>
          <reference field="82" count="1" selected="0">
            <x v="469"/>
          </reference>
          <reference field="85" count="1" selected="0">
            <x v="4"/>
          </reference>
          <reference field="87" count="1" selected="0">
            <x v="1416"/>
          </reference>
          <reference field="88" count="1" selected="0">
            <x v="252"/>
          </reference>
        </references>
      </pivotArea>
    </format>
    <format dxfId="935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045"/>
          </reference>
          <reference field="82" count="1" selected="0">
            <x v="470"/>
          </reference>
          <reference field="85" count="1" selected="0">
            <x v="4"/>
          </reference>
          <reference field="87" count="1" selected="0">
            <x v="1408"/>
          </reference>
          <reference field="88" count="1" selected="0">
            <x v="253"/>
          </reference>
        </references>
      </pivotArea>
    </format>
    <format dxfId="935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122"/>
          </reference>
          <reference field="82" count="1" selected="0">
            <x v="567"/>
          </reference>
          <reference field="85" count="1" selected="0">
            <x v="0"/>
          </reference>
          <reference field="87" count="1" selected="0">
            <x v="1501"/>
          </reference>
          <reference field="88" count="1" selected="0">
            <x v="352"/>
          </reference>
        </references>
      </pivotArea>
    </format>
    <format dxfId="935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109"/>
          </reference>
          <reference field="82" count="1" selected="0">
            <x v="568"/>
          </reference>
          <reference field="85" count="1" selected="0">
            <x v="0"/>
          </reference>
          <reference field="87" count="1" selected="0">
            <x v="1481"/>
          </reference>
          <reference field="88" count="1" selected="0">
            <x v="353"/>
          </reference>
        </references>
      </pivotArea>
    </format>
    <format dxfId="935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123"/>
          </reference>
          <reference field="82" count="1" selected="0">
            <x v="569"/>
          </reference>
          <reference field="85" count="1" selected="0">
            <x v="0"/>
          </reference>
          <reference field="87" count="1" selected="0">
            <x v="1502"/>
          </reference>
          <reference field="88" count="1" selected="0">
            <x v="354"/>
          </reference>
        </references>
      </pivotArea>
    </format>
    <format dxfId="9355">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085"/>
          </reference>
          <reference field="82" count="1" selected="0">
            <x v="508"/>
          </reference>
          <reference field="85" count="1" selected="0">
            <x v="7"/>
          </reference>
          <reference field="87" count="1" selected="0">
            <x v="1448"/>
          </reference>
          <reference field="88" count="1" selected="0">
            <x v="291"/>
          </reference>
        </references>
      </pivotArea>
    </format>
    <format dxfId="9354">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024"/>
          </reference>
          <reference field="82" count="1" selected="0">
            <x v="587"/>
          </reference>
          <reference field="85" count="1" selected="0">
            <x v="3"/>
          </reference>
          <reference field="87" count="1" selected="0">
            <x v="1517"/>
          </reference>
          <reference field="88" count="1" selected="0">
            <x v="372"/>
          </reference>
        </references>
      </pivotArea>
    </format>
    <format dxfId="935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87"/>
          </reference>
          <reference field="82" count="1" selected="0">
            <x v="511"/>
          </reference>
          <reference field="85" count="1" selected="0">
            <x v="7"/>
          </reference>
          <reference field="87" count="1" selected="0">
            <x v="1450"/>
          </reference>
          <reference field="88" count="1" selected="0">
            <x v="294"/>
          </reference>
        </references>
      </pivotArea>
    </format>
    <format dxfId="9352">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88"/>
          </reference>
          <reference field="82" count="1" selected="0">
            <x v="512"/>
          </reference>
          <reference field="85" count="1" selected="0">
            <x v="7"/>
          </reference>
          <reference field="87" count="1" selected="0">
            <x v="1451"/>
          </reference>
          <reference field="88" count="1" selected="0">
            <x v="295"/>
          </reference>
        </references>
      </pivotArea>
    </format>
    <format dxfId="935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096"/>
          </reference>
          <reference field="82" count="1" selected="0">
            <x v="530"/>
          </reference>
          <reference field="85" count="1" selected="0">
            <x v="3"/>
          </reference>
          <reference field="87" count="1" selected="0">
            <x v="1459"/>
          </reference>
          <reference field="88" count="1" selected="0">
            <x v="313"/>
          </reference>
        </references>
      </pivotArea>
    </format>
    <format dxfId="935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099"/>
          </reference>
          <reference field="82" count="1" selected="0">
            <x v="529"/>
          </reference>
          <reference field="85" count="1" selected="0">
            <x v="3"/>
          </reference>
          <reference field="87" count="1" selected="0">
            <x v="1463"/>
          </reference>
          <reference field="88" count="1" selected="0">
            <x v="312"/>
          </reference>
        </references>
      </pivotArea>
    </format>
    <format dxfId="934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097"/>
          </reference>
          <reference field="82" count="1" selected="0">
            <x v="527"/>
          </reference>
          <reference field="85" count="1" selected="0">
            <x v="3"/>
          </reference>
          <reference field="87" count="1" selected="0">
            <x v="1461"/>
          </reference>
          <reference field="88" count="1" selected="0">
            <x v="310"/>
          </reference>
        </references>
      </pivotArea>
    </format>
    <format dxfId="9348">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098"/>
          </reference>
          <reference field="82" count="1" selected="0">
            <x v="528"/>
          </reference>
          <reference field="85" count="1" selected="0">
            <x v="3"/>
          </reference>
          <reference field="87" count="1" selected="0">
            <x v="1462"/>
          </reference>
          <reference field="88" count="1" selected="0">
            <x v="311"/>
          </reference>
        </references>
      </pivotArea>
    </format>
    <format dxfId="9347">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65"/>
          </reference>
          <reference field="82" count="1" selected="0">
            <x v="483"/>
          </reference>
          <reference field="85" count="1" selected="0">
            <x v="4"/>
          </reference>
          <reference field="87" count="1" selected="0">
            <x v="1428"/>
          </reference>
          <reference field="88" count="1" selected="0">
            <x v="266"/>
          </reference>
        </references>
      </pivotArea>
    </format>
    <format dxfId="934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118"/>
          </reference>
          <reference field="82" count="1" selected="0">
            <x v="561"/>
          </reference>
          <reference field="85" count="1" selected="0">
            <x v="0"/>
          </reference>
          <reference field="87" count="1" selected="0">
            <x v="1496"/>
          </reference>
          <reference field="88" count="1" selected="0">
            <x v="346"/>
          </reference>
        </references>
      </pivotArea>
    </format>
    <format dxfId="934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119"/>
          </reference>
          <reference field="82" count="1" selected="0">
            <x v="562"/>
          </reference>
          <reference field="85" count="1" selected="0">
            <x v="0"/>
          </reference>
          <reference field="87" count="1" selected="0">
            <x v="1497"/>
          </reference>
          <reference field="88" count="1" selected="0">
            <x v="347"/>
          </reference>
        </references>
      </pivotArea>
    </format>
    <format dxfId="934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030"/>
          </reference>
          <reference field="82" count="1" selected="0">
            <x v="563"/>
          </reference>
          <reference field="85" count="1" selected="0">
            <x v="0"/>
          </reference>
          <reference field="87" count="1" selected="0">
            <x v="1498"/>
          </reference>
          <reference field="88" count="1" selected="0">
            <x v="348"/>
          </reference>
        </references>
      </pivotArea>
    </format>
    <format dxfId="934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025"/>
          </reference>
          <reference field="82" count="1" selected="0">
            <x v="436"/>
          </reference>
          <reference field="85" count="1" selected="0">
            <x v="2"/>
          </reference>
          <reference field="87" count="1" selected="0">
            <x v="1384"/>
          </reference>
          <reference field="88" count="1" selected="0">
            <x v="218"/>
          </reference>
        </references>
      </pivotArea>
    </format>
    <format dxfId="934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026"/>
          </reference>
          <reference field="82" count="1" selected="0">
            <x v="437"/>
          </reference>
          <reference field="85" count="1" selected="0">
            <x v="2"/>
          </reference>
          <reference field="87" count="1" selected="0">
            <x v="1385"/>
          </reference>
          <reference field="88" count="1" selected="0">
            <x v="219"/>
          </reference>
        </references>
      </pivotArea>
    </format>
    <format dxfId="934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024"/>
          </reference>
          <reference field="82" count="1" selected="0">
            <x v="435"/>
          </reference>
          <reference field="85" count="1" selected="0">
            <x v="2"/>
          </reference>
          <reference field="87" count="1" selected="0">
            <x v="1383"/>
          </reference>
          <reference field="88" count="1" selected="0">
            <x v="217"/>
          </reference>
        </references>
      </pivotArea>
    </format>
    <format dxfId="9340">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65"/>
          </reference>
          <reference field="82" count="1" selected="0">
            <x v="483"/>
          </reference>
          <reference field="85" count="1" selected="0">
            <x v="4"/>
          </reference>
          <reference field="87" count="1" selected="0">
            <x v="1428"/>
          </reference>
          <reference field="88" count="1" selected="0">
            <x v="266"/>
          </reference>
        </references>
      </pivotArea>
    </format>
    <format dxfId="933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120"/>
          </reference>
          <reference field="82" count="1" selected="0">
            <x v="564"/>
          </reference>
          <reference field="85" count="1" selected="0">
            <x v="0"/>
          </reference>
          <reference field="87" count="1" selected="0">
            <x v="1499"/>
          </reference>
          <reference field="88" count="1" selected="0">
            <x v="349"/>
          </reference>
        </references>
      </pivotArea>
    </format>
    <format dxfId="933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121"/>
          </reference>
          <reference field="82" count="1" selected="0">
            <x v="565"/>
          </reference>
          <reference field="85" count="1" selected="0">
            <x v="0"/>
          </reference>
          <reference field="87" count="1" selected="0">
            <x v="1500"/>
          </reference>
          <reference field="88" count="1" selected="0">
            <x v="350"/>
          </reference>
        </references>
      </pivotArea>
    </format>
    <format dxfId="933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110"/>
          </reference>
          <reference field="82" count="1" selected="0">
            <x v="566"/>
          </reference>
          <reference field="85" count="1" selected="0">
            <x v="0"/>
          </reference>
          <reference field="87" count="1" selected="0">
            <x v="1483"/>
          </reference>
          <reference field="88" count="1" selected="0">
            <x v="351"/>
          </reference>
        </references>
      </pivotArea>
    </format>
    <format dxfId="933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025"/>
          </reference>
          <reference field="82" count="1" selected="0">
            <x v="436"/>
          </reference>
          <reference field="85" count="1" selected="0">
            <x v="2"/>
          </reference>
          <reference field="87" count="1" selected="0">
            <x v="1384"/>
          </reference>
          <reference field="88" count="1" selected="0">
            <x v="218"/>
          </reference>
        </references>
      </pivotArea>
    </format>
    <format dxfId="933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026"/>
          </reference>
          <reference field="82" count="1" selected="0">
            <x v="437"/>
          </reference>
          <reference field="85" count="1" selected="0">
            <x v="2"/>
          </reference>
          <reference field="87" count="1" selected="0">
            <x v="1385"/>
          </reference>
          <reference field="88" count="1" selected="0">
            <x v="219"/>
          </reference>
        </references>
      </pivotArea>
    </format>
    <format dxfId="933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027"/>
          </reference>
          <reference field="82" count="1" selected="0">
            <x v="438"/>
          </reference>
          <reference field="85" count="1" selected="0">
            <x v="2"/>
          </reference>
          <reference field="87" count="1" selected="0">
            <x v="1386"/>
          </reference>
          <reference field="88" count="1" selected="0">
            <x v="220"/>
          </reference>
        </references>
      </pivotArea>
    </format>
    <format dxfId="933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024"/>
          </reference>
          <reference field="82" count="1" selected="0">
            <x v="435"/>
          </reference>
          <reference field="85" count="1" selected="0">
            <x v="2"/>
          </reference>
          <reference field="87" count="1" selected="0">
            <x v="1383"/>
          </reference>
          <reference field="88" count="1" selected="0">
            <x v="217"/>
          </reference>
        </references>
      </pivotArea>
    </format>
    <format dxfId="933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028"/>
          </reference>
          <reference field="82" count="1" selected="0">
            <x v="439"/>
          </reference>
          <reference field="85" count="1" selected="0">
            <x v="2"/>
          </reference>
          <reference field="87" count="1" selected="0">
            <x v="1387"/>
          </reference>
          <reference field="88" count="1" selected="0">
            <x v="221"/>
          </reference>
        </references>
      </pivotArea>
    </format>
    <format dxfId="9331">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083"/>
          </reference>
          <reference field="82" count="1" selected="0">
            <x v="506"/>
          </reference>
          <reference field="85" count="1" selected="0">
            <x v="7"/>
          </reference>
          <reference field="87" count="1" selected="0">
            <x v="1446"/>
          </reference>
          <reference field="88" count="1" selected="0">
            <x v="289"/>
          </reference>
        </references>
      </pivotArea>
    </format>
    <format dxfId="9330">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084"/>
          </reference>
          <reference field="82" count="1" selected="0">
            <x v="507"/>
          </reference>
          <reference field="85" count="1" selected="0">
            <x v="7"/>
          </reference>
          <reference field="87" count="1" selected="0">
            <x v="1447"/>
          </reference>
          <reference field="88" count="1" selected="0">
            <x v="290"/>
          </reference>
        </references>
      </pivotArea>
    </format>
    <format dxfId="9329">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013"/>
          </reference>
          <reference field="82" count="1" selected="0">
            <x v="415"/>
          </reference>
          <reference field="85" count="1" selected="0">
            <x v="4"/>
          </reference>
          <reference field="87" count="1" selected="0">
            <x v="1372"/>
          </reference>
          <reference field="88" count="1" selected="0">
            <x v="197"/>
          </reference>
        </references>
      </pivotArea>
    </format>
    <format dxfId="9328">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014"/>
          </reference>
          <reference field="82" count="1" selected="0">
            <x v="417"/>
          </reference>
          <reference field="85" count="1" selected="0">
            <x v="4"/>
          </reference>
          <reference field="87" count="1" selected="0">
            <x v="1373"/>
          </reference>
          <reference field="88" count="1" selected="0">
            <x v="199"/>
          </reference>
        </references>
      </pivotArea>
    </format>
    <format dxfId="932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4"/>
          </reference>
          <reference field="87" count="1" selected="0">
            <x v="1354"/>
          </reference>
          <reference field="88" count="1" selected="0">
            <x v="173"/>
          </reference>
        </references>
      </pivotArea>
    </format>
    <format dxfId="932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011"/>
          </reference>
          <reference field="82" count="1" selected="0">
            <x v="416"/>
          </reference>
          <reference field="85" count="1" selected="0">
            <x v="4"/>
          </reference>
          <reference field="87" count="1" selected="0">
            <x v="1370"/>
          </reference>
          <reference field="88" count="1" selected="0">
            <x v="198"/>
          </reference>
        </references>
      </pivotArea>
    </format>
    <format dxfId="932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013"/>
          </reference>
          <reference field="82" count="1" selected="0">
            <x v="421"/>
          </reference>
          <reference field="85" count="1" selected="0">
            <x v="4"/>
          </reference>
          <reference field="87" count="1" selected="0">
            <x v="1372"/>
          </reference>
          <reference field="88" count="1" selected="0">
            <x v="203"/>
          </reference>
        </references>
      </pivotArea>
    </format>
    <format dxfId="932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014"/>
          </reference>
          <reference field="82" count="1" selected="0">
            <x v="422"/>
          </reference>
          <reference field="85" count="1" selected="0">
            <x v="4"/>
          </reference>
          <reference field="87" count="1" selected="0">
            <x v="1373"/>
          </reference>
          <reference field="88" count="1" selected="0">
            <x v="204"/>
          </reference>
        </references>
      </pivotArea>
    </format>
    <format dxfId="932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1995"/>
          </reference>
          <reference field="82" count="1" selected="0">
            <x v="423"/>
          </reference>
          <reference field="85" count="1" selected="0">
            <x v="4"/>
          </reference>
          <reference field="87" count="1" selected="0">
            <x v="1354"/>
          </reference>
          <reference field="88" count="1" selected="0">
            <x v="205"/>
          </reference>
        </references>
      </pivotArea>
    </format>
    <format dxfId="932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011"/>
          </reference>
          <reference field="82" count="1" selected="0">
            <x v="420"/>
          </reference>
          <reference field="85" count="1" selected="0">
            <x v="4"/>
          </reference>
          <reference field="87" count="1" selected="0">
            <x v="1370"/>
          </reference>
          <reference field="88" count="1" selected="0">
            <x v="202"/>
          </reference>
        </references>
      </pivotArea>
    </format>
    <format dxfId="932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013"/>
          </reference>
          <reference field="82" count="1" selected="0">
            <x v="418"/>
          </reference>
          <reference field="85" count="1" selected="0">
            <x v="4"/>
          </reference>
          <reference field="87" count="1" selected="0">
            <x v="1372"/>
          </reference>
          <reference field="88" count="1" selected="0">
            <x v="200"/>
          </reference>
        </references>
      </pivotArea>
    </format>
    <format dxfId="9320">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1994"/>
          </reference>
          <reference field="82" count="1" selected="0">
            <x v="419"/>
          </reference>
          <reference field="85" count="1" selected="0">
            <x v="4"/>
          </reference>
          <reference field="87" count="1" selected="0">
            <x v="1353"/>
          </reference>
          <reference field="88" count="1" selected="0">
            <x v="201"/>
          </reference>
        </references>
      </pivotArea>
    </format>
    <format dxfId="931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011"/>
          </reference>
          <reference field="82" count="1" selected="0">
            <x v="411"/>
          </reference>
          <reference field="85" count="1" selected="0">
            <x v="4"/>
          </reference>
          <reference field="87" count="1" selected="0">
            <x v="1370"/>
          </reference>
          <reference field="88" count="1" selected="0">
            <x v="193"/>
          </reference>
        </references>
      </pivotArea>
    </format>
    <format dxfId="931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004"/>
          </reference>
          <reference field="82" count="1" selected="0">
            <x v="400"/>
          </reference>
          <reference field="85" count="1" selected="0">
            <x v="4"/>
          </reference>
          <reference field="87" count="1" selected="0">
            <x v="1363"/>
          </reference>
          <reference field="88" count="1" selected="0">
            <x v="182"/>
          </reference>
        </references>
      </pivotArea>
    </format>
    <format dxfId="9317">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087"/>
          </reference>
          <reference field="82" count="1" selected="0">
            <x v="521"/>
          </reference>
          <reference field="85" count="1" selected="0">
            <x v="7"/>
          </reference>
          <reference field="87" count="1" selected="0">
            <x v="1450"/>
          </reference>
          <reference field="88" count="1" selected="0">
            <x v="304"/>
          </reference>
        </references>
      </pivotArea>
    </format>
    <format dxfId="9316">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093"/>
          </reference>
          <reference field="82" count="1" selected="0">
            <x v="522"/>
          </reference>
          <reference field="85" count="1" selected="0">
            <x v="7"/>
          </reference>
          <reference field="87" count="1" selected="0">
            <x v="1456"/>
          </reference>
          <reference field="88" count="1" selected="0">
            <x v="305"/>
          </reference>
        </references>
      </pivotArea>
    </format>
    <format dxfId="9315">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039"/>
          </reference>
          <reference field="82" count="1" selected="0">
            <x v="454"/>
          </reference>
          <reference field="85" count="1" selected="0">
            <x v="2"/>
          </reference>
          <reference field="87" count="1" selected="0">
            <x v="1402"/>
          </reference>
          <reference field="88" count="1" selected="0">
            <x v="237"/>
          </reference>
        </references>
      </pivotArea>
    </format>
    <format dxfId="9314">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019"/>
          </reference>
          <reference field="82" count="1" selected="0">
            <x v="429"/>
          </reference>
          <reference field="85" count="1" selected="0">
            <x v="4"/>
          </reference>
          <reference field="87" count="1" selected="0">
            <x v="1378"/>
          </reference>
          <reference field="88" count="1" selected="0">
            <x v="211"/>
          </reference>
        </references>
      </pivotArea>
    </format>
    <format dxfId="9313">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020"/>
          </reference>
          <reference field="82" count="1" selected="0">
            <x v="430"/>
          </reference>
          <reference field="85" count="1" selected="0">
            <x v="4"/>
          </reference>
          <reference field="87" count="1" selected="0">
            <x v="1379"/>
          </reference>
          <reference field="88" count="1" selected="0">
            <x v="212"/>
          </reference>
        </references>
      </pivotArea>
    </format>
    <format dxfId="9312">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022"/>
          </reference>
          <reference field="82" count="1" selected="0">
            <x v="432"/>
          </reference>
          <reference field="85" count="1" selected="0">
            <x v="4"/>
          </reference>
          <reference field="87" count="1" selected="0">
            <x v="1381"/>
          </reference>
          <reference field="88" count="1" selected="0">
            <x v="214"/>
          </reference>
        </references>
      </pivotArea>
    </format>
    <format dxfId="931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40"/>
          </reference>
          <reference field="82" count="1" selected="0">
            <x v="455"/>
          </reference>
          <reference field="85" count="1" selected="0">
            <x v="4"/>
          </reference>
          <reference field="87" count="1" selected="0">
            <x v="1403"/>
          </reference>
          <reference field="88" count="1" selected="0">
            <x v="238"/>
          </reference>
        </references>
      </pivotArea>
    </format>
    <format dxfId="931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43"/>
          </reference>
          <reference field="82" count="1" selected="0">
            <x v="458"/>
          </reference>
          <reference field="85" count="1" selected="0">
            <x v="4"/>
          </reference>
          <reference field="87" count="1" selected="0">
            <x v="1406"/>
          </reference>
          <reference field="88" count="1" selected="0">
            <x v="241"/>
          </reference>
        </references>
      </pivotArea>
    </format>
    <format dxfId="930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41"/>
          </reference>
          <reference field="82" count="1" selected="0">
            <x v="456"/>
          </reference>
          <reference field="85" count="1" selected="0">
            <x v="4"/>
          </reference>
          <reference field="87" count="1" selected="0">
            <x v="1404"/>
          </reference>
          <reference field="88" count="1" selected="0">
            <x v="239"/>
          </reference>
        </references>
      </pivotArea>
    </format>
    <format dxfId="930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42"/>
          </reference>
          <reference field="82" count="1" selected="0">
            <x v="457"/>
          </reference>
          <reference field="85" count="1" selected="0">
            <x v="4"/>
          </reference>
          <reference field="87" count="1" selected="0">
            <x v="1405"/>
          </reference>
          <reference field="88" count="1" selected="0">
            <x v="240"/>
          </reference>
        </references>
      </pivotArea>
    </format>
    <format dxfId="930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005"/>
          </reference>
          <reference field="82" count="1" selected="0">
            <x v="401"/>
          </reference>
          <reference field="85" count="1" selected="0">
            <x v="4"/>
          </reference>
          <reference field="87" count="1" selected="0">
            <x v="1364"/>
          </reference>
          <reference field="88" count="1" selected="0">
            <x v="183"/>
          </reference>
        </references>
      </pivotArea>
    </format>
    <format dxfId="930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001"/>
          </reference>
          <reference field="82" count="1" selected="0">
            <x v="397"/>
          </reference>
          <reference field="85" count="1" selected="0">
            <x v="4"/>
          </reference>
          <reference field="87" count="1" selected="0">
            <x v="1360"/>
          </reference>
          <reference field="88" count="1" selected="0">
            <x v="179"/>
          </reference>
        </references>
      </pivotArea>
    </format>
    <format dxfId="930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30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30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004"/>
          </reference>
          <reference field="82" count="1" selected="0">
            <x v="400"/>
          </reference>
          <reference field="85" count="1" selected="0">
            <x v="4"/>
          </reference>
          <reference field="87" count="1" selected="0">
            <x v="1363"/>
          </reference>
          <reference field="88" count="1" selected="0">
            <x v="182"/>
          </reference>
        </references>
      </pivotArea>
    </format>
    <format dxfId="930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40"/>
          </reference>
          <reference field="82" count="1" selected="0">
            <x v="455"/>
          </reference>
          <reference field="85" count="1" selected="0">
            <x v="4"/>
          </reference>
          <reference field="87" count="1" selected="0">
            <x v="1403"/>
          </reference>
          <reference field="88" count="1" selected="0">
            <x v="238"/>
          </reference>
        </references>
      </pivotArea>
    </format>
    <format dxfId="930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43"/>
          </reference>
          <reference field="82" count="1" selected="0">
            <x v="458"/>
          </reference>
          <reference field="85" count="1" selected="0">
            <x v="4"/>
          </reference>
          <reference field="87" count="1" selected="0">
            <x v="1406"/>
          </reference>
          <reference field="88" count="1" selected="0">
            <x v="241"/>
          </reference>
        </references>
      </pivotArea>
    </format>
    <format dxfId="930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41"/>
          </reference>
          <reference field="82" count="1" selected="0">
            <x v="456"/>
          </reference>
          <reference field="85" count="1" selected="0">
            <x v="4"/>
          </reference>
          <reference field="87" count="1" selected="0">
            <x v="1404"/>
          </reference>
          <reference field="88" count="1" selected="0">
            <x v="239"/>
          </reference>
        </references>
      </pivotArea>
    </format>
    <format dxfId="929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42"/>
          </reference>
          <reference field="82" count="1" selected="0">
            <x v="457"/>
          </reference>
          <reference field="85" count="1" selected="0">
            <x v="4"/>
          </reference>
          <reference field="87" count="1" selected="0">
            <x v="1405"/>
          </reference>
          <reference field="88" count="1" selected="0">
            <x v="240"/>
          </reference>
        </references>
      </pivotArea>
    </format>
    <format dxfId="929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005"/>
          </reference>
          <reference field="82" count="1" selected="0">
            <x v="401"/>
          </reference>
          <reference field="85" count="1" selected="0">
            <x v="4"/>
          </reference>
          <reference field="87" count="1" selected="0">
            <x v="1364"/>
          </reference>
          <reference field="88" count="1" selected="0">
            <x v="183"/>
          </reference>
        </references>
      </pivotArea>
    </format>
    <format dxfId="929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001"/>
          </reference>
          <reference field="82" count="1" selected="0">
            <x v="397"/>
          </reference>
          <reference field="85" count="1" selected="0">
            <x v="4"/>
          </reference>
          <reference field="87" count="1" selected="0">
            <x v="1360"/>
          </reference>
          <reference field="88" count="1" selected="0">
            <x v="179"/>
          </reference>
        </references>
      </pivotArea>
    </format>
    <format dxfId="929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29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29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004"/>
          </reference>
          <reference field="82" count="1" selected="0">
            <x v="400"/>
          </reference>
          <reference field="85" count="1" selected="0">
            <x v="4"/>
          </reference>
          <reference field="87" count="1" selected="0">
            <x v="1363"/>
          </reference>
          <reference field="88" count="1" selected="0">
            <x v="182"/>
          </reference>
        </references>
      </pivotArea>
    </format>
    <format dxfId="929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40"/>
          </reference>
          <reference field="82" count="1" selected="0">
            <x v="455"/>
          </reference>
          <reference field="85" count="1" selected="0">
            <x v="4"/>
          </reference>
          <reference field="87" count="1" selected="0">
            <x v="1403"/>
          </reference>
          <reference field="88" count="1" selected="0">
            <x v="238"/>
          </reference>
        </references>
      </pivotArea>
    </format>
    <format dxfId="929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43"/>
          </reference>
          <reference field="82" count="1" selected="0">
            <x v="458"/>
          </reference>
          <reference field="85" count="1" selected="0">
            <x v="4"/>
          </reference>
          <reference field="87" count="1" selected="0">
            <x v="1406"/>
          </reference>
          <reference field="88" count="1" selected="0">
            <x v="241"/>
          </reference>
        </references>
      </pivotArea>
    </format>
    <format dxfId="929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41"/>
          </reference>
          <reference field="82" count="1" selected="0">
            <x v="456"/>
          </reference>
          <reference field="85" count="1" selected="0">
            <x v="4"/>
          </reference>
          <reference field="87" count="1" selected="0">
            <x v="1404"/>
          </reference>
          <reference field="88" count="1" selected="0">
            <x v="239"/>
          </reference>
        </references>
      </pivotArea>
    </format>
    <format dxfId="929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42"/>
          </reference>
          <reference field="82" count="1" selected="0">
            <x v="457"/>
          </reference>
          <reference field="85" count="1" selected="0">
            <x v="4"/>
          </reference>
          <reference field="87" count="1" selected="0">
            <x v="1405"/>
          </reference>
          <reference field="88" count="1" selected="0">
            <x v="240"/>
          </reference>
        </references>
      </pivotArea>
    </format>
    <format dxfId="928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005"/>
          </reference>
          <reference field="82" count="1" selected="0">
            <x v="401"/>
          </reference>
          <reference field="85" count="1" selected="0">
            <x v="4"/>
          </reference>
          <reference field="87" count="1" selected="0">
            <x v="1364"/>
          </reference>
          <reference field="88" count="1" selected="0">
            <x v="183"/>
          </reference>
        </references>
      </pivotArea>
    </format>
    <format dxfId="928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001"/>
          </reference>
          <reference field="82" count="1" selected="0">
            <x v="397"/>
          </reference>
          <reference field="85" count="1" selected="0">
            <x v="4"/>
          </reference>
          <reference field="87" count="1" selected="0">
            <x v="1360"/>
          </reference>
          <reference field="88" count="1" selected="0">
            <x v="179"/>
          </reference>
        </references>
      </pivotArea>
    </format>
    <format dxfId="928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002"/>
          </reference>
          <reference field="82" count="1" selected="0">
            <x v="398"/>
          </reference>
          <reference field="85" count="1" selected="0">
            <x v="4"/>
          </reference>
          <reference field="87" count="1" selected="0">
            <x v="1361"/>
          </reference>
          <reference field="88" count="1" selected="0">
            <x v="180"/>
          </reference>
        </references>
      </pivotArea>
    </format>
    <format dxfId="928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003"/>
          </reference>
          <reference field="82" count="1" selected="0">
            <x v="399"/>
          </reference>
          <reference field="85" count="1" selected="0">
            <x v="4"/>
          </reference>
          <reference field="87" count="1" selected="0">
            <x v="1362"/>
          </reference>
          <reference field="88" count="1" selected="0">
            <x v="181"/>
          </reference>
        </references>
      </pivotArea>
    </format>
    <format dxfId="928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004"/>
          </reference>
          <reference field="82" count="1" selected="0">
            <x v="400"/>
          </reference>
          <reference field="85" count="1" selected="0">
            <x v="4"/>
          </reference>
          <reference field="87" count="1" selected="0">
            <x v="1363"/>
          </reference>
          <reference field="88" count="1" selected="0">
            <x v="182"/>
          </reference>
        </references>
      </pivotArea>
    </format>
    <format dxfId="928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016"/>
          </reference>
          <reference field="82" count="1" selected="0">
            <x v="425"/>
          </reference>
          <reference field="85" count="1" selected="0">
            <x v="4"/>
          </reference>
          <reference field="87" count="1" selected="0">
            <x v="1375"/>
          </reference>
          <reference field="88" count="1" selected="0">
            <x v="207"/>
          </reference>
        </references>
      </pivotArea>
    </format>
    <format dxfId="9283">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018"/>
          </reference>
          <reference field="82" count="1" selected="0">
            <x v="428"/>
          </reference>
          <reference field="85" count="1" selected="0">
            <x v="4"/>
          </reference>
          <reference field="87" count="1" selected="0">
            <x v="1377"/>
          </reference>
          <reference field="88" count="1" selected="0">
            <x v="210"/>
          </reference>
        </references>
      </pivotArea>
    </format>
    <format dxfId="928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017"/>
          </reference>
          <reference field="82" count="1" selected="0">
            <x v="426"/>
          </reference>
          <reference field="85" count="1" selected="0">
            <x v="4"/>
          </reference>
          <reference field="87" count="1" selected="0">
            <x v="1376"/>
          </reference>
          <reference field="88" count="1" selected="0">
            <x v="208"/>
          </reference>
        </references>
      </pivotArea>
    </format>
    <format dxfId="928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004"/>
          </reference>
          <reference field="82" count="1" selected="0">
            <x v="427"/>
          </reference>
          <reference field="85" count="1" selected="0">
            <x v="4"/>
          </reference>
          <reference field="87" count="1" selected="0">
            <x v="1363"/>
          </reference>
          <reference field="88" count="1" selected="0">
            <x v="209"/>
          </reference>
        </references>
      </pivotArea>
    </format>
    <format dxfId="928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006"/>
          </reference>
          <reference field="82" count="1" selected="0">
            <x v="406"/>
          </reference>
          <reference field="85" count="1" selected="0">
            <x v="4"/>
          </reference>
          <reference field="87" count="1" selected="0">
            <x v="1365"/>
          </reference>
          <reference field="88" count="1" selected="0">
            <x v="188"/>
          </reference>
        </references>
      </pivotArea>
    </format>
    <format dxfId="9279">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007"/>
          </reference>
          <reference field="82" count="1" selected="0">
            <x v="407"/>
          </reference>
          <reference field="85" count="1" selected="0">
            <x v="4"/>
          </reference>
          <reference field="87" count="1" selected="0">
            <x v="1366"/>
          </reference>
          <reference field="88" count="1" selected="0">
            <x v="189"/>
          </reference>
        </references>
      </pivotArea>
    </format>
    <format dxfId="927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008"/>
          </reference>
          <reference field="82" count="1" selected="0">
            <x v="408"/>
          </reference>
          <reference field="85" count="1" selected="0">
            <x v="4"/>
          </reference>
          <reference field="87" count="1" selected="0">
            <x v="1367"/>
          </reference>
          <reference field="88" count="1" selected="0">
            <x v="190"/>
          </reference>
        </references>
      </pivotArea>
    </format>
    <format dxfId="9277">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009"/>
          </reference>
          <reference field="82" count="1" selected="0">
            <x v="409"/>
          </reference>
          <reference field="85" count="1" selected="0">
            <x v="4"/>
          </reference>
          <reference field="87" count="1" selected="0">
            <x v="1368"/>
          </reference>
          <reference field="88" count="1" selected="0">
            <x v="191"/>
          </reference>
        </references>
      </pivotArea>
    </format>
    <format dxfId="927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006"/>
          </reference>
          <reference field="82" count="1" selected="0">
            <x v="406"/>
          </reference>
          <reference field="85" count="1" selected="0">
            <x v="4"/>
          </reference>
          <reference field="87" count="1" selected="0">
            <x v="1365"/>
          </reference>
          <reference field="88" count="1" selected="0">
            <x v="188"/>
          </reference>
        </references>
      </pivotArea>
    </format>
    <format dxfId="9275">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007"/>
          </reference>
          <reference field="82" count="1" selected="0">
            <x v="407"/>
          </reference>
          <reference field="85" count="1" selected="0">
            <x v="4"/>
          </reference>
          <reference field="87" count="1" selected="0">
            <x v="1366"/>
          </reference>
          <reference field="88" count="1" selected="0">
            <x v="189"/>
          </reference>
        </references>
      </pivotArea>
    </format>
    <format dxfId="927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008"/>
          </reference>
          <reference field="82" count="1" selected="0">
            <x v="408"/>
          </reference>
          <reference field="85" count="1" selected="0">
            <x v="4"/>
          </reference>
          <reference field="87" count="1" selected="0">
            <x v="1367"/>
          </reference>
          <reference field="88" count="1" selected="0">
            <x v="190"/>
          </reference>
        </references>
      </pivotArea>
    </format>
    <format dxfId="9273">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009"/>
          </reference>
          <reference field="82" count="1" selected="0">
            <x v="409"/>
          </reference>
          <reference field="85" count="1" selected="0">
            <x v="4"/>
          </reference>
          <reference field="87" count="1" selected="0">
            <x v="1368"/>
          </reference>
          <reference field="88" count="1" selected="0">
            <x v="191"/>
          </reference>
        </references>
      </pivotArea>
    </format>
    <format dxfId="927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1997"/>
          </reference>
          <reference field="82" count="1" selected="0">
            <x v="393"/>
          </reference>
          <reference field="85" count="1" selected="0">
            <x v="4"/>
          </reference>
          <reference field="87" count="1" selected="0">
            <x v="1356"/>
          </reference>
          <reference field="88" count="1" selected="0">
            <x v="175"/>
          </reference>
        </references>
      </pivotArea>
    </format>
    <format dxfId="927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1999"/>
          </reference>
          <reference field="82" count="1" selected="0">
            <x v="395"/>
          </reference>
          <reference field="85" count="1" selected="0">
            <x v="4"/>
          </reference>
          <reference field="87" count="1" selected="0">
            <x v="1358"/>
          </reference>
          <reference field="88" count="1" selected="0">
            <x v="177"/>
          </reference>
        </references>
      </pivotArea>
    </format>
    <format dxfId="927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000"/>
          </reference>
          <reference field="82" count="1" selected="0">
            <x v="396"/>
          </reference>
          <reference field="85" count="1" selected="0">
            <x v="4"/>
          </reference>
          <reference field="87" count="1" selected="0">
            <x v="1359"/>
          </reference>
          <reference field="88" count="1" selected="0">
            <x v="178"/>
          </reference>
        </references>
      </pivotArea>
    </format>
    <format dxfId="9269">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1998"/>
          </reference>
          <reference field="82" count="1" selected="0">
            <x v="394"/>
          </reference>
          <reference field="85" count="1" selected="0">
            <x v="4"/>
          </reference>
          <reference field="87" count="1" selected="0">
            <x v="1357"/>
          </reference>
          <reference field="88" count="1" selected="0">
            <x v="176"/>
          </reference>
        </references>
      </pivotArea>
    </format>
    <format dxfId="926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038"/>
          </reference>
          <reference field="82" count="1" selected="0">
            <x v="452"/>
          </reference>
          <reference field="85" count="1" selected="0">
            <x v="2"/>
          </reference>
          <reference field="87" count="1" selected="0">
            <x v="1400"/>
          </reference>
          <reference field="88" count="1" selected="0">
            <x v="235"/>
          </reference>
        </references>
      </pivotArea>
    </format>
    <format dxfId="926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1997"/>
          </reference>
          <reference field="82" count="1" selected="0">
            <x v="453"/>
          </reference>
          <reference field="85" count="1" selected="0">
            <x v="2"/>
          </reference>
          <reference field="87" count="1" selected="0">
            <x v="1401"/>
          </reference>
          <reference field="88" count="1" selected="0">
            <x v="236"/>
          </reference>
        </references>
      </pivotArea>
    </format>
    <format dxfId="926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037"/>
          </reference>
          <reference field="82" count="1" selected="0">
            <x v="451"/>
          </reference>
          <reference field="85" count="1" selected="0">
            <x v="2"/>
          </reference>
          <reference field="87" count="1" selected="0">
            <x v="1399"/>
          </reference>
          <reference field="88" count="1" selected="0">
            <x v="234"/>
          </reference>
        </references>
      </pivotArea>
    </format>
    <format dxfId="926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40"/>
          </reference>
          <reference field="82" count="1" selected="0">
            <x v="455"/>
          </reference>
          <reference field="85" count="1" selected="0">
            <x v="4"/>
          </reference>
          <reference field="87" count="1" selected="0">
            <x v="1403"/>
          </reference>
          <reference field="88" count="1" selected="0">
            <x v="238"/>
          </reference>
        </references>
      </pivotArea>
    </format>
    <format dxfId="926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43"/>
          </reference>
          <reference field="82" count="1" selected="0">
            <x v="458"/>
          </reference>
          <reference field="85" count="1" selected="0">
            <x v="4"/>
          </reference>
          <reference field="87" count="1" selected="0">
            <x v="1406"/>
          </reference>
          <reference field="88" count="1" selected="0">
            <x v="241"/>
          </reference>
        </references>
      </pivotArea>
    </format>
    <format dxfId="926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41"/>
          </reference>
          <reference field="82" count="1" selected="0">
            <x v="456"/>
          </reference>
          <reference field="85" count="1" selected="0">
            <x v="4"/>
          </reference>
          <reference field="87" count="1" selected="0">
            <x v="1404"/>
          </reference>
          <reference field="88" count="1" selected="0">
            <x v="239"/>
          </reference>
        </references>
      </pivotArea>
    </format>
    <format dxfId="926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42"/>
          </reference>
          <reference field="82" count="1" selected="0">
            <x v="457"/>
          </reference>
          <reference field="85" count="1" selected="0">
            <x v="4"/>
          </reference>
          <reference field="87" count="1" selected="0">
            <x v="1405"/>
          </reference>
          <reference field="88" count="1" selected="0">
            <x v="240"/>
          </reference>
        </references>
      </pivotArea>
    </format>
    <format dxfId="926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001"/>
          </reference>
          <reference field="82" count="1" selected="0">
            <x v="402"/>
          </reference>
          <reference field="85" count="1" selected="0">
            <x v="4"/>
          </reference>
          <reference field="87" count="1" selected="0">
            <x v="1360"/>
          </reference>
          <reference field="88" count="1" selected="0">
            <x v="184"/>
          </reference>
        </references>
      </pivotArea>
    </format>
    <format dxfId="926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002"/>
          </reference>
          <reference field="82" count="1" selected="0">
            <x v="403"/>
          </reference>
          <reference field="85" count="1" selected="0">
            <x v="4"/>
          </reference>
          <reference field="87" count="1" selected="0">
            <x v="1361"/>
          </reference>
          <reference field="88" count="1" selected="0">
            <x v="185"/>
          </reference>
        </references>
      </pivotArea>
    </format>
    <format dxfId="925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003"/>
          </reference>
          <reference field="82" count="1" selected="0">
            <x v="404"/>
          </reference>
          <reference field="85" count="1" selected="0">
            <x v="4"/>
          </reference>
          <reference field="87" count="1" selected="0">
            <x v="1362"/>
          </reference>
          <reference field="88" count="1" selected="0">
            <x v="186"/>
          </reference>
        </references>
      </pivotArea>
    </format>
    <format dxfId="9258">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004"/>
          </reference>
          <reference field="82" count="1" selected="0">
            <x v="405"/>
          </reference>
          <reference field="85" count="1" selected="0">
            <x v="4"/>
          </reference>
          <reference field="87" count="1" selected="0">
            <x v="1363"/>
          </reference>
          <reference field="88" count="1" selected="0">
            <x v="187"/>
          </reference>
        </references>
      </pivotArea>
    </format>
    <format dxfId="92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001"/>
          </reference>
          <reference field="82" count="1" selected="0">
            <x v="402"/>
          </reference>
          <reference field="85" count="1" selected="0">
            <x v="4"/>
          </reference>
          <reference field="87" count="1" selected="0">
            <x v="1360"/>
          </reference>
          <reference field="88" count="1" selected="0">
            <x v="184"/>
          </reference>
        </references>
      </pivotArea>
    </format>
    <format dxfId="92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002"/>
          </reference>
          <reference field="82" count="1" selected="0">
            <x v="403"/>
          </reference>
          <reference field="85" count="1" selected="0">
            <x v="4"/>
          </reference>
          <reference field="87" count="1" selected="0">
            <x v="1361"/>
          </reference>
          <reference field="88" count="1" selected="0">
            <x v="185"/>
          </reference>
        </references>
      </pivotArea>
    </format>
    <format dxfId="925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003"/>
          </reference>
          <reference field="82" count="1" selected="0">
            <x v="404"/>
          </reference>
          <reference field="85" count="1" selected="0">
            <x v="4"/>
          </reference>
          <reference field="87" count="1" selected="0">
            <x v="1362"/>
          </reference>
          <reference field="88" count="1" selected="0">
            <x v="186"/>
          </reference>
        </references>
      </pivotArea>
    </format>
    <format dxfId="9254">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004"/>
          </reference>
          <reference field="82" count="1" selected="0">
            <x v="405"/>
          </reference>
          <reference field="85" count="1" selected="0">
            <x v="4"/>
          </reference>
          <reference field="87" count="1" selected="0">
            <x v="1363"/>
          </reference>
          <reference field="88" count="1" selected="0">
            <x v="187"/>
          </reference>
        </references>
      </pivotArea>
    </format>
    <format dxfId="9253">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128"/>
          </reference>
          <reference field="82" count="1" selected="0">
            <x v="575"/>
          </reference>
          <reference field="85" count="1" selected="0">
            <x v="3"/>
          </reference>
          <reference field="87" count="1" selected="0">
            <x v="1508"/>
          </reference>
          <reference field="88" count="1" selected="0">
            <x v="360"/>
          </reference>
        </references>
      </pivotArea>
    </format>
    <format dxfId="9252">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023"/>
          </reference>
          <reference field="82" count="1" selected="0">
            <x v="434"/>
          </reference>
          <reference field="85" count="1" selected="0">
            <x v="4"/>
          </reference>
          <reference field="87" count="1" selected="0">
            <x v="1382"/>
          </reference>
          <reference field="88" count="1" selected="0">
            <x v="216"/>
          </reference>
        </references>
      </pivotArea>
    </format>
    <format dxfId="9251">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134"/>
          </reference>
          <reference field="82" count="1" selected="0">
            <x v="584"/>
          </reference>
          <reference field="85" count="1" selected="0">
            <x v="7"/>
          </reference>
          <reference field="87" count="1" selected="0">
            <x v="1514"/>
          </reference>
          <reference field="88" count="1" selected="0">
            <x v="369"/>
          </reference>
        </references>
      </pivotArea>
    </format>
    <format dxfId="9250">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135"/>
          </reference>
          <reference field="82" count="1" selected="0">
            <x v="585"/>
          </reference>
          <reference field="85" count="1" selected="0">
            <x v="3"/>
          </reference>
          <reference field="87" count="1" selected="0">
            <x v="1515"/>
          </reference>
          <reference field="88" count="1" selected="0">
            <x v="370"/>
          </reference>
        </references>
      </pivotArea>
    </format>
    <format dxfId="9249">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134"/>
          </reference>
          <reference field="82" count="1" selected="0">
            <x v="588"/>
          </reference>
          <reference field="85" count="1" selected="0">
            <x v="7"/>
          </reference>
          <reference field="87" count="1" selected="0">
            <x v="1514"/>
          </reference>
          <reference field="88" count="1" selected="0">
            <x v="373"/>
          </reference>
        </references>
      </pivotArea>
    </format>
    <format dxfId="9248">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125"/>
          </reference>
          <reference field="82" count="1" selected="0">
            <x v="572"/>
          </reference>
          <reference field="85" count="1" selected="0">
            <x v="7"/>
          </reference>
          <reference field="87" count="1" selected="0">
            <x v="1505"/>
          </reference>
          <reference field="88" count="1" selected="0">
            <x v="357"/>
          </reference>
        </references>
      </pivotArea>
    </format>
    <format dxfId="9247">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132"/>
          </reference>
          <reference field="82" count="1" selected="0">
            <x v="581"/>
          </reference>
          <reference field="85" count="1" selected="0">
            <x v="7"/>
          </reference>
          <reference field="87" count="1" selected="0">
            <x v="1512"/>
          </reference>
          <reference field="88" count="1" selected="0">
            <x v="366"/>
          </reference>
        </references>
      </pivotArea>
    </format>
    <format dxfId="9246">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126"/>
          </reference>
          <reference field="82" count="1" selected="0">
            <x v="573"/>
          </reference>
          <reference field="85" count="1" selected="0">
            <x v="7"/>
          </reference>
          <reference field="87" count="1" selected="0">
            <x v="1506"/>
          </reference>
          <reference field="88" count="1" selected="0">
            <x v="358"/>
          </reference>
        </references>
      </pivotArea>
    </format>
    <format dxfId="9245">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129"/>
          </reference>
          <reference field="82" count="1" selected="0">
            <x v="576"/>
          </reference>
          <reference field="85" count="1" selected="0">
            <x v="2"/>
          </reference>
          <reference field="87" count="1" selected="0">
            <x v="1509"/>
          </reference>
          <reference field="88" count="1" selected="0">
            <x v="361"/>
          </reference>
        </references>
      </pivotArea>
    </format>
    <format dxfId="9244">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132"/>
          </reference>
          <reference field="82" count="1" selected="0">
            <x v="581"/>
          </reference>
          <reference field="85" count="1" selected="0">
            <x v="7"/>
          </reference>
          <reference field="87" count="1" selected="0">
            <x v="1512"/>
          </reference>
          <reference field="88" count="1" selected="0">
            <x v="366"/>
          </reference>
        </references>
      </pivotArea>
    </format>
    <format dxfId="9243">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100"/>
          </reference>
          <reference field="82" count="1" selected="0">
            <x v="531"/>
          </reference>
          <reference field="85" count="1" selected="0">
            <x v="3"/>
          </reference>
          <reference field="87" count="1" selected="0">
            <x v="1464"/>
          </reference>
          <reference field="88" count="1" selected="0">
            <x v="314"/>
          </reference>
        </references>
      </pivotArea>
    </format>
    <format dxfId="9242">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021"/>
          </reference>
          <reference field="82" count="1" selected="0">
            <x v="431"/>
          </reference>
          <reference field="85" count="1" selected="0">
            <x v="4"/>
          </reference>
          <reference field="87" count="1" selected="0">
            <x v="1380"/>
          </reference>
          <reference field="88" count="1" selected="0">
            <x v="213"/>
          </reference>
        </references>
      </pivotArea>
    </format>
    <format dxfId="924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2"/>
          </reference>
          <reference field="87" count="1" selected="0">
            <x v="1392"/>
          </reference>
          <reference field="88" count="1" selected="0">
            <x v="226"/>
          </reference>
        </references>
      </pivotArea>
    </format>
    <format dxfId="924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1999"/>
          </reference>
          <reference field="82" count="1" selected="0">
            <x v="444"/>
          </reference>
          <reference field="85" count="1" selected="0">
            <x v="2"/>
          </reference>
          <reference field="87" count="1" selected="0">
            <x v="1393"/>
          </reference>
          <reference field="88" count="1" selected="0">
            <x v="227"/>
          </reference>
        </references>
      </pivotArea>
    </format>
    <format dxfId="923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037"/>
          </reference>
          <reference field="82" count="1" selected="0">
            <x v="450"/>
          </reference>
          <reference field="85" count="1" selected="0">
            <x v="2"/>
          </reference>
          <reference field="87" count="1" selected="0">
            <x v="1399"/>
          </reference>
          <reference field="88" count="1" selected="0">
            <x v="233"/>
          </reference>
        </references>
      </pivotArea>
    </format>
    <format dxfId="923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036"/>
          </reference>
          <reference field="82" count="1" selected="0">
            <x v="448"/>
          </reference>
          <reference field="85" count="1" selected="0">
            <x v="2"/>
          </reference>
          <reference field="87" count="1" selected="0">
            <x v="1397"/>
          </reference>
          <reference field="88" count="1" selected="0">
            <x v="231"/>
          </reference>
        </references>
      </pivotArea>
    </format>
    <format dxfId="923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035"/>
          </reference>
          <reference field="82" count="1" selected="0">
            <x v="447"/>
          </reference>
          <reference field="85" count="1" selected="0">
            <x v="2"/>
          </reference>
          <reference field="87" count="1" selected="0">
            <x v="1396"/>
          </reference>
          <reference field="88" count="1" selected="0">
            <x v="230"/>
          </reference>
        </references>
      </pivotArea>
    </format>
    <format dxfId="923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034"/>
          </reference>
          <reference field="82" count="1" selected="0">
            <x v="446"/>
          </reference>
          <reference field="85" count="1" selected="0">
            <x v="2"/>
          </reference>
          <reference field="87" count="1" selected="0">
            <x v="1395"/>
          </reference>
          <reference field="88" count="1" selected="0">
            <x v="229"/>
          </reference>
        </references>
      </pivotArea>
    </format>
    <format dxfId="923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032"/>
          </reference>
          <reference field="82" count="1" selected="0">
            <x v="443"/>
          </reference>
          <reference field="85" count="1" selected="0">
            <x v="2"/>
          </reference>
          <reference field="87" count="1" selected="0">
            <x v="1391"/>
          </reference>
          <reference field="88" count="1" selected="0">
            <x v="225"/>
          </reference>
        </references>
      </pivotArea>
    </format>
    <format dxfId="92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1998"/>
          </reference>
          <reference field="82" count="1" selected="0">
            <x v="449"/>
          </reference>
          <reference field="85" count="1" selected="0">
            <x v="2"/>
          </reference>
          <reference field="87" count="1" selected="0">
            <x v="1398"/>
          </reference>
          <reference field="88" count="1" selected="0">
            <x v="232"/>
          </reference>
        </references>
      </pivotArea>
    </format>
    <format dxfId="9233">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033"/>
          </reference>
          <reference field="82" count="1" selected="0">
            <x v="445"/>
          </reference>
          <reference field="85" count="1" selected="0">
            <x v="4"/>
          </reference>
          <reference field="87" count="1" selected="0">
            <x v="1394"/>
          </reference>
          <reference field="88" count="1" selected="0">
            <x v="228"/>
          </reference>
        </references>
      </pivotArea>
    </format>
    <format dxfId="9232">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133"/>
          </reference>
          <reference field="82" count="1" selected="0">
            <x v="583"/>
          </reference>
          <reference field="85" count="1" selected="0">
            <x v="2"/>
          </reference>
          <reference field="87" count="1" selected="0">
            <x v="1513"/>
          </reference>
          <reference field="88" count="1" selected="0">
            <x v="368"/>
          </reference>
        </references>
      </pivotArea>
    </format>
    <format dxfId="9231">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31"/>
          </reference>
          <reference field="82" count="1" selected="0">
            <x v="580"/>
          </reference>
          <reference field="85" count="1" selected="0">
            <x v="7"/>
          </reference>
          <reference field="87" count="1" selected="0">
            <x v="1511"/>
          </reference>
          <reference field="88" count="1" selected="0">
            <x v="365"/>
          </reference>
        </references>
      </pivotArea>
    </format>
    <format dxfId="923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1995"/>
          </reference>
          <reference field="82" count="1" selected="0">
            <x v="391"/>
          </reference>
          <reference field="85" count="1" selected="0">
            <x v="2"/>
          </reference>
          <reference field="87" count="1" selected="0">
            <x v="1392"/>
          </reference>
          <reference field="88" count="1" selected="0">
            <x v="226"/>
          </reference>
        </references>
      </pivotArea>
    </format>
    <format dxfId="922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032"/>
          </reference>
          <reference field="82" count="1" selected="0">
            <x v="443"/>
          </reference>
          <reference field="85" count="1" selected="0">
            <x v="2"/>
          </reference>
          <reference field="87" count="1" selected="0">
            <x v="1391"/>
          </reference>
          <reference field="88" count="1" selected="0">
            <x v="225"/>
          </reference>
        </references>
      </pivotArea>
    </format>
    <format dxfId="9228">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31"/>
          </reference>
          <reference field="82" count="1" selected="0">
            <x v="582"/>
          </reference>
          <reference field="85" count="1" selected="0">
            <x v="7"/>
          </reference>
          <reference field="87" count="1" selected="0">
            <x v="1511"/>
          </reference>
          <reference field="88" count="1" selected="0">
            <x v="367"/>
          </reference>
        </references>
      </pivotArea>
    </format>
    <format dxfId="9227">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015"/>
          </reference>
          <reference field="82" count="1" selected="0">
            <x v="424"/>
          </reference>
          <reference field="85" count="1" selected="0">
            <x v="4"/>
          </reference>
          <reference field="87" count="1" selected="0">
            <x v="1374"/>
          </reference>
          <reference field="88" count="1" selected="0">
            <x v="206"/>
          </reference>
        </references>
      </pivotArea>
    </format>
    <format dxfId="9226">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015"/>
          </reference>
          <reference field="82" count="1" selected="0">
            <x v="424"/>
          </reference>
          <reference field="85" count="1" selected="0">
            <x v="4"/>
          </reference>
          <reference field="87" count="1" selected="0">
            <x v="1374"/>
          </reference>
          <reference field="88" count="1" selected="0">
            <x v="206"/>
          </reference>
        </references>
      </pivotArea>
    </format>
    <format dxfId="9225">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079"/>
          </reference>
          <reference field="82" count="1" selected="0">
            <x v="502"/>
          </reference>
          <reference field="85" count="1" selected="0">
            <x v="7"/>
          </reference>
          <reference field="87" count="1" selected="0">
            <x v="1442"/>
          </reference>
          <reference field="88" count="1" selected="0">
            <x v="285"/>
          </reference>
        </references>
      </pivotArea>
    </format>
    <format dxfId="9224">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081"/>
          </reference>
          <reference field="82" count="1" selected="0">
            <x v="504"/>
          </reference>
          <reference field="85" count="1" selected="0">
            <x v="7"/>
          </reference>
          <reference field="87" count="1" selected="0">
            <x v="1444"/>
          </reference>
          <reference field="88" count="1" selected="0">
            <x v="287"/>
          </reference>
        </references>
      </pivotArea>
    </format>
    <format dxfId="9223">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095"/>
          </reference>
          <reference field="82" count="1" selected="0">
            <x v="524"/>
          </reference>
          <reference field="85" count="1" selected="0">
            <x v="7"/>
          </reference>
          <reference field="87" count="1" selected="0">
            <x v="1458"/>
          </reference>
          <reference field="88" count="1" selected="0">
            <x v="307"/>
          </reference>
        </references>
      </pivotArea>
    </format>
    <format dxfId="922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094"/>
          </reference>
          <reference field="82" count="1" selected="0">
            <x v="523"/>
          </reference>
          <reference field="85" count="1" selected="0">
            <x v="7"/>
          </reference>
          <reference field="87" count="1" selected="0">
            <x v="1457"/>
          </reference>
          <reference field="88" count="1" selected="0">
            <x v="306"/>
          </reference>
        </references>
      </pivotArea>
    </format>
    <format dxfId="9221">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050"/>
          </reference>
          <reference field="82" count="1" selected="0">
            <x v="465"/>
          </reference>
          <reference field="85" count="1" selected="0">
            <x v="4"/>
          </reference>
          <reference field="87" count="1" selected="0">
            <x v="1413"/>
          </reference>
          <reference field="88" count="1" selected="0">
            <x v="248"/>
          </reference>
        </references>
      </pivotArea>
    </format>
    <format dxfId="9220">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051"/>
          </reference>
          <reference field="82" count="1" selected="0">
            <x v="466"/>
          </reference>
          <reference field="85" count="1" selected="0">
            <x v="4"/>
          </reference>
          <reference field="87" count="1" selected="0">
            <x v="1414"/>
          </reference>
          <reference field="88" count="1" selected="0">
            <x v="249"/>
          </reference>
        </references>
      </pivotArea>
    </format>
    <format dxfId="9219">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048"/>
          </reference>
          <reference field="82" count="1" selected="0">
            <x v="463"/>
          </reference>
          <reference field="85" count="1" selected="0">
            <x v="4"/>
          </reference>
          <reference field="87" count="1" selected="0">
            <x v="1411"/>
          </reference>
          <reference field="88" count="1" selected="0">
            <x v="246"/>
          </reference>
        </references>
      </pivotArea>
    </format>
    <format dxfId="9218">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049"/>
          </reference>
          <reference field="82" count="1" selected="0">
            <x v="464"/>
          </reference>
          <reference field="85" count="1" selected="0">
            <x v="4"/>
          </reference>
          <reference field="87" count="1" selected="0">
            <x v="1412"/>
          </reference>
          <reference field="88" count="1" selected="0">
            <x v="247"/>
          </reference>
        </references>
      </pivotArea>
    </format>
    <format dxfId="9217">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044"/>
          </reference>
          <reference field="82" count="1" selected="0">
            <x v="459"/>
          </reference>
          <reference field="85" count="1" selected="0">
            <x v="4"/>
          </reference>
          <reference field="87" count="1" selected="0">
            <x v="1407"/>
          </reference>
          <reference field="88" count="1" selected="0">
            <x v="242"/>
          </reference>
        </references>
      </pivotArea>
    </format>
    <format dxfId="921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045"/>
          </reference>
          <reference field="82" count="1" selected="0">
            <x v="460"/>
          </reference>
          <reference field="85" count="1" selected="0">
            <x v="4"/>
          </reference>
          <reference field="87" count="1" selected="0">
            <x v="1408"/>
          </reference>
          <reference field="88" count="1" selected="0">
            <x v="243"/>
          </reference>
        </references>
      </pivotArea>
    </format>
    <format dxfId="9215">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046"/>
          </reference>
          <reference field="82" count="1" selected="0">
            <x v="461"/>
          </reference>
          <reference field="85" count="1" selected="0">
            <x v="4"/>
          </reference>
          <reference field="87" count="1" selected="0">
            <x v="1409"/>
          </reference>
          <reference field="88" count="1" selected="0">
            <x v="244"/>
          </reference>
        </references>
      </pivotArea>
    </format>
    <format dxfId="9214">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003"/>
          </reference>
          <reference field="82" count="1" selected="0">
            <x v="412"/>
          </reference>
          <reference field="85" count="1" selected="0">
            <x v="4"/>
          </reference>
          <reference field="87" count="1" selected="0">
            <x v="1362"/>
          </reference>
          <reference field="88" count="1" selected="0">
            <x v="194"/>
          </reference>
        </references>
      </pivotArea>
    </format>
    <format dxfId="9213">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010"/>
          </reference>
          <reference field="82" count="1" selected="0">
            <x v="413"/>
          </reference>
          <reference field="85" count="1" selected="0">
            <x v="4"/>
          </reference>
          <reference field="87" count="1" selected="0">
            <x v="1369"/>
          </reference>
          <reference field="88" count="1" selected="0">
            <x v="195"/>
          </reference>
        </references>
      </pivotArea>
    </format>
    <format dxfId="9212">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012"/>
          </reference>
          <reference field="82" count="1" selected="0">
            <x v="414"/>
          </reference>
          <reference field="85" count="1" selected="0">
            <x v="4"/>
          </reference>
          <reference field="87" count="1" selected="0">
            <x v="1371"/>
          </reference>
          <reference field="88" count="1" selected="0">
            <x v="196"/>
          </reference>
        </references>
      </pivotArea>
    </format>
    <format dxfId="9211">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73"/>
          </reference>
          <reference field="82" count="1" selected="0">
            <x v="496"/>
          </reference>
          <reference field="85" count="1" selected="0">
            <x v="7"/>
          </reference>
          <reference field="87" count="1" selected="0">
            <x v="1436"/>
          </reference>
          <reference field="88" count="1" selected="0">
            <x v="279"/>
          </reference>
        </references>
      </pivotArea>
    </format>
    <format dxfId="9210">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73"/>
          </reference>
          <reference field="82" count="1" selected="0">
            <x v="496"/>
          </reference>
          <reference field="85" count="1" selected="0">
            <x v="7"/>
          </reference>
          <reference field="87" count="1" selected="0">
            <x v="1436"/>
          </reference>
          <reference field="88" count="1" selected="0">
            <x v="279"/>
          </reference>
        </references>
      </pivotArea>
    </format>
    <format dxfId="9209">
      <pivotArea field="72" type="button" dataOnly="0" labelOnly="1" outline="0" axis="axisRow" fieldPosition="5"/>
    </format>
    <format dxfId="9208">
      <pivotArea field="81" type="button" dataOnly="0" labelOnly="1" outline="0" axis="axisRow" fieldPosition="8"/>
    </format>
    <format dxfId="920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20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71"/>
          </reference>
        </references>
      </pivotArea>
    </format>
    <format dxfId="920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002"/>
          </reference>
        </references>
      </pivotArea>
    </format>
    <format dxfId="920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003"/>
          </reference>
        </references>
      </pivotArea>
    </format>
    <format dxfId="920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010"/>
          </reference>
        </references>
      </pivotArea>
    </format>
    <format dxfId="920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011"/>
          </reference>
        </references>
      </pivotArea>
    </format>
    <format dxfId="920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20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72"/>
          </reference>
        </references>
      </pivotArea>
    </format>
    <format dxfId="919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07"/>
          </reference>
        </references>
      </pivotArea>
    </format>
    <format dxfId="919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08"/>
          </reference>
        </references>
      </pivotArea>
    </format>
    <format dxfId="919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09"/>
          </reference>
        </references>
      </pivotArea>
    </format>
    <format dxfId="919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106"/>
          </reference>
        </references>
      </pivotArea>
    </format>
    <format dxfId="919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9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72"/>
          </reference>
        </references>
      </pivotArea>
    </format>
    <format dxfId="919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07"/>
          </reference>
        </references>
      </pivotArea>
    </format>
    <format dxfId="919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08"/>
          </reference>
        </references>
      </pivotArea>
    </format>
    <format dxfId="919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09"/>
          </reference>
        </references>
      </pivotArea>
    </format>
    <format dxfId="919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106"/>
          </reference>
        </references>
      </pivotArea>
    </format>
    <format dxfId="918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8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72"/>
          </reference>
        </references>
      </pivotArea>
    </format>
    <format dxfId="918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092"/>
          </reference>
        </references>
      </pivotArea>
    </format>
    <format dxfId="918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18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103"/>
          </reference>
        </references>
      </pivotArea>
    </format>
    <format dxfId="918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001"/>
          </reference>
        </references>
      </pivotArea>
    </format>
    <format dxfId="918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04"/>
          </reference>
        </references>
      </pivotArea>
    </format>
    <format dxfId="918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05"/>
          </reference>
        </references>
      </pivotArea>
    </format>
    <format dxfId="918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8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71"/>
          </reference>
        </references>
      </pivotArea>
    </format>
    <format dxfId="917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002"/>
          </reference>
        </references>
      </pivotArea>
    </format>
    <format dxfId="917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003"/>
          </reference>
        </references>
      </pivotArea>
    </format>
    <format dxfId="917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010"/>
          </reference>
        </references>
      </pivotArea>
    </format>
    <format dxfId="917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011"/>
          </reference>
        </references>
      </pivotArea>
    </format>
    <format dxfId="917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87"/>
          </reference>
        </references>
      </pivotArea>
    </format>
    <format dxfId="9174">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092"/>
          </reference>
        </references>
      </pivotArea>
    </format>
    <format dxfId="917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066"/>
          </reference>
        </references>
      </pivotArea>
    </format>
    <format dxfId="917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043"/>
          </reference>
        </references>
      </pivotArea>
    </format>
    <format dxfId="917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067"/>
          </reference>
        </references>
      </pivotArea>
    </format>
    <format dxfId="917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059"/>
          </reference>
        </references>
      </pivotArea>
    </format>
    <format dxfId="916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068"/>
          </reference>
        </references>
      </pivotArea>
    </format>
    <format dxfId="916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060"/>
          </reference>
        </references>
      </pivotArea>
    </format>
    <format dxfId="916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069"/>
          </reference>
        </references>
      </pivotArea>
    </format>
    <format dxfId="91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057"/>
          </reference>
        </references>
      </pivotArea>
    </format>
    <format dxfId="916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07"/>
          </reference>
        </references>
      </pivotArea>
    </format>
    <format dxfId="916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08"/>
          </reference>
        </references>
      </pivotArea>
    </format>
    <format dxfId="916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09"/>
          </reference>
        </references>
      </pivotArea>
    </format>
    <format dxfId="916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106"/>
          </reference>
        </references>
      </pivotArea>
    </format>
    <format dxfId="916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87"/>
          </reference>
        </references>
      </pivotArea>
    </format>
    <format dxfId="916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5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71"/>
          </reference>
        </references>
      </pivotArea>
    </format>
    <format dxfId="915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04"/>
          </reference>
        </references>
      </pivotArea>
    </format>
    <format dxfId="915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05"/>
          </reference>
        </references>
      </pivotArea>
    </format>
    <format dxfId="915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5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71"/>
          </reference>
        </references>
      </pivotArea>
    </format>
    <format dxfId="915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002"/>
          </reference>
        </references>
      </pivotArea>
    </format>
    <format dxfId="915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003"/>
          </reference>
        </references>
      </pivotArea>
    </format>
    <format dxfId="915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010"/>
          </reference>
        </references>
      </pivotArea>
    </format>
    <format dxfId="915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011"/>
          </reference>
        </references>
      </pivotArea>
    </format>
    <format dxfId="915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70"/>
          </reference>
        </references>
      </pivotArea>
    </format>
    <format dxfId="914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72"/>
          </reference>
        </references>
      </pivotArea>
    </format>
    <format dxfId="914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07"/>
          </reference>
        </references>
      </pivotArea>
    </format>
    <format dxfId="914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021"/>
          </reference>
        </references>
      </pivotArea>
    </format>
    <format dxfId="914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020"/>
          </reference>
        </references>
      </pivotArea>
    </format>
    <format dxfId="914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112"/>
          </reference>
        </references>
      </pivotArea>
    </format>
    <format dxfId="914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089"/>
          </reference>
        </references>
      </pivotArea>
    </format>
    <format dxfId="914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077"/>
          </reference>
        </references>
      </pivotArea>
    </format>
    <format dxfId="914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026"/>
          </reference>
        </references>
      </pivotArea>
    </format>
    <format dxfId="914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10"/>
          </reference>
        </references>
      </pivotArea>
    </format>
    <format dxfId="914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11"/>
          </reference>
        </references>
      </pivotArea>
    </format>
    <format dxfId="913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73"/>
          </reference>
        </references>
      </pivotArea>
    </format>
    <format dxfId="913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074"/>
          </reference>
        </references>
      </pivotArea>
    </format>
    <format dxfId="913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130"/>
          </reference>
        </references>
      </pivotArea>
    </format>
    <format dxfId="913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026"/>
          </reference>
        </references>
      </pivotArea>
    </format>
    <format dxfId="913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10"/>
          </reference>
        </references>
      </pivotArea>
    </format>
    <format dxfId="913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11"/>
          </reference>
        </references>
      </pivotArea>
    </format>
    <format dxfId="9133">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73"/>
          </reference>
        </references>
      </pivotArea>
    </format>
    <format dxfId="913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115"/>
          </reference>
        </references>
      </pivotArea>
    </format>
    <format dxfId="913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116"/>
          </reference>
        </references>
      </pivotArea>
    </format>
    <format dxfId="913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117"/>
          </reference>
        </references>
      </pivotArea>
    </format>
    <format dxfId="912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086"/>
          </reference>
        </references>
      </pivotArea>
    </format>
    <format dxfId="912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12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059"/>
          </reference>
        </references>
      </pivotArea>
    </format>
    <format dxfId="912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060"/>
          </reference>
        </references>
      </pivotArea>
    </format>
    <format dxfId="912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057"/>
          </reference>
        </references>
      </pivotArea>
    </format>
    <format dxfId="912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058"/>
          </reference>
        </references>
      </pivotArea>
    </format>
    <format dxfId="912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019"/>
          </reference>
        </references>
      </pivotArea>
    </format>
    <format dxfId="912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113"/>
          </reference>
        </references>
      </pivotArea>
    </format>
    <format dxfId="912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114"/>
          </reference>
        </references>
      </pivotArea>
    </format>
    <format dxfId="9120">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127"/>
          </reference>
        </references>
      </pivotArea>
    </format>
    <format dxfId="9119">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91"/>
          </reference>
        </references>
      </pivotArea>
    </format>
    <format dxfId="911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101"/>
          </reference>
        </references>
      </pivotArea>
    </format>
    <format dxfId="911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015"/>
          </reference>
        </references>
      </pivotArea>
    </format>
    <format dxfId="911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102"/>
          </reference>
        </references>
      </pivotArea>
    </format>
    <format dxfId="911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137"/>
          </reference>
        </references>
      </pivotArea>
    </format>
    <format dxfId="911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91"/>
          </reference>
        </references>
      </pivotArea>
    </format>
    <format dxfId="911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063"/>
          </reference>
        </references>
      </pivotArea>
    </format>
    <format dxfId="911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064"/>
          </reference>
        </references>
      </pivotArea>
    </format>
    <format dxfId="911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061"/>
          </reference>
        </references>
      </pivotArea>
    </format>
    <format dxfId="911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062"/>
          </reference>
        </references>
      </pivotArea>
    </format>
    <format dxfId="910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013"/>
          </reference>
        </references>
      </pivotArea>
    </format>
    <format dxfId="910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009"/>
          </reference>
        </references>
      </pivotArea>
    </format>
    <format dxfId="910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99"/>
          </reference>
        </references>
      </pivotArea>
    </format>
    <format dxfId="9106">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10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013"/>
          </reference>
        </references>
      </pivotArea>
    </format>
    <format dxfId="910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009"/>
          </reference>
        </references>
      </pivotArea>
    </format>
    <format dxfId="910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99"/>
          </reference>
        </references>
      </pivotArea>
    </format>
    <format dxfId="910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090"/>
          </reference>
        </references>
      </pivotArea>
    </format>
    <format dxfId="910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10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016"/>
          </reference>
        </references>
      </pivotArea>
    </format>
    <format dxfId="909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003"/>
          </reference>
        </references>
      </pivotArea>
    </format>
    <format dxfId="909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010"/>
          </reference>
        </references>
      </pivotArea>
    </format>
    <format dxfId="909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030"/>
          </reference>
        </references>
      </pivotArea>
    </format>
    <format dxfId="909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029"/>
          </reference>
        </references>
      </pivotArea>
    </format>
    <format dxfId="909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031"/>
          </reference>
        </references>
      </pivotArea>
    </format>
    <format dxfId="909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016"/>
          </reference>
        </references>
      </pivotArea>
    </format>
    <format dxfId="909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010"/>
          </reference>
        </references>
      </pivotArea>
    </format>
    <format dxfId="9092">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77"/>
          </reference>
        </references>
      </pivotArea>
    </format>
    <format dxfId="909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002"/>
          </reference>
        </references>
      </pivotArea>
    </format>
    <format dxfId="909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003"/>
          </reference>
        </references>
      </pivotArea>
    </format>
    <format dxfId="908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010"/>
          </reference>
        </references>
      </pivotArea>
    </format>
    <format dxfId="908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011"/>
          </reference>
        </references>
      </pivotArea>
    </format>
    <format dxfId="908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93"/>
          </reference>
        </references>
      </pivotArea>
    </format>
    <format dxfId="908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94"/>
          </reference>
        </references>
      </pivotArea>
    </format>
    <format dxfId="908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95"/>
          </reference>
        </references>
      </pivotArea>
    </format>
    <format dxfId="908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96"/>
          </reference>
        </references>
      </pivotArea>
    </format>
    <format dxfId="908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007"/>
          </reference>
        </references>
      </pivotArea>
    </format>
    <format dxfId="908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96"/>
          </reference>
        </references>
      </pivotArea>
    </format>
    <format dxfId="908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93"/>
          </reference>
        </references>
      </pivotArea>
    </format>
    <format dxfId="908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94"/>
          </reference>
        </references>
      </pivotArea>
    </format>
    <format dxfId="907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95"/>
          </reference>
        </references>
      </pivotArea>
    </format>
    <format dxfId="907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96"/>
          </reference>
        </references>
      </pivotArea>
    </format>
    <format dxfId="907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93"/>
          </reference>
        </references>
      </pivotArea>
    </format>
    <format dxfId="907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94"/>
          </reference>
        </references>
      </pivotArea>
    </format>
    <format dxfId="907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95"/>
          </reference>
        </references>
      </pivotArea>
    </format>
    <format dxfId="907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96"/>
          </reference>
        </references>
      </pivotArea>
    </format>
    <format dxfId="907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010"/>
          </reference>
        </references>
      </pivotArea>
    </format>
    <format dxfId="907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012"/>
          </reference>
        </references>
      </pivotArea>
    </format>
    <format dxfId="907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017"/>
          </reference>
        </references>
      </pivotArea>
    </format>
    <format dxfId="907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87"/>
          </reference>
        </references>
      </pivotArea>
    </format>
    <format dxfId="906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88"/>
          </reference>
        </references>
      </pivotArea>
    </format>
    <format dxfId="906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06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054"/>
          </reference>
        </references>
      </pivotArea>
    </format>
    <format dxfId="906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044"/>
          </reference>
        </references>
      </pivotArea>
    </format>
    <format dxfId="906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055"/>
          </reference>
        </references>
      </pivotArea>
    </format>
    <format dxfId="906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056"/>
          </reference>
        </references>
      </pivotArea>
    </format>
    <format dxfId="906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110"/>
          </reference>
        </references>
      </pivotArea>
    </format>
    <format dxfId="906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124"/>
          </reference>
        </references>
      </pivotArea>
    </format>
    <format dxfId="906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029"/>
          </reference>
        </references>
      </pivotArea>
    </format>
    <format dxfId="906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85"/>
          </reference>
        </references>
      </pivotArea>
    </format>
    <format dxfId="905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77"/>
          </reference>
        </references>
      </pivotArea>
    </format>
    <format dxfId="905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024"/>
          </reference>
        </references>
      </pivotArea>
    </format>
    <format dxfId="905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87"/>
          </reference>
        </references>
      </pivotArea>
    </format>
    <format dxfId="905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88"/>
          </reference>
        </references>
      </pivotArea>
    </format>
    <format dxfId="905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87"/>
          </reference>
        </references>
      </pivotArea>
    </format>
    <format dxfId="905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88"/>
          </reference>
        </references>
      </pivotArea>
    </format>
    <format dxfId="905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82"/>
          </reference>
        </references>
      </pivotArea>
    </format>
    <format dxfId="905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052"/>
          </reference>
        </references>
      </pivotArea>
    </format>
    <format dxfId="905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050"/>
          </reference>
        </references>
      </pivotArea>
    </format>
    <format dxfId="905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053"/>
          </reference>
        </references>
      </pivotArea>
    </format>
    <format dxfId="904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045"/>
          </reference>
        </references>
      </pivotArea>
    </format>
    <format dxfId="904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122"/>
          </reference>
        </references>
      </pivotArea>
    </format>
    <format dxfId="904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109"/>
          </reference>
        </references>
      </pivotArea>
    </format>
    <format dxfId="904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123"/>
          </reference>
        </references>
      </pivotArea>
    </format>
    <format dxfId="9045">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85"/>
          </reference>
        </references>
      </pivotArea>
    </format>
    <format dxfId="9044">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024"/>
          </reference>
        </references>
      </pivotArea>
    </format>
    <format dxfId="904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87"/>
          </reference>
        </references>
      </pivotArea>
    </format>
    <format dxfId="9042">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88"/>
          </reference>
        </references>
      </pivotArea>
    </format>
    <format dxfId="904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96"/>
          </reference>
        </references>
      </pivotArea>
    </format>
    <format dxfId="904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99"/>
          </reference>
        </references>
      </pivotArea>
    </format>
    <format dxfId="903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97"/>
          </reference>
        </references>
      </pivotArea>
    </format>
    <format dxfId="903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98"/>
          </reference>
        </references>
      </pivotArea>
    </format>
    <format dxfId="9037">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65"/>
          </reference>
        </references>
      </pivotArea>
    </format>
    <format dxfId="903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118"/>
          </reference>
        </references>
      </pivotArea>
    </format>
    <format dxfId="903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119"/>
          </reference>
        </references>
      </pivotArea>
    </format>
    <format dxfId="903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030"/>
          </reference>
        </references>
      </pivotArea>
    </format>
    <format dxfId="903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025"/>
          </reference>
        </references>
      </pivotArea>
    </format>
    <format dxfId="903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026"/>
          </reference>
        </references>
      </pivotArea>
    </format>
    <format dxfId="903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024"/>
          </reference>
        </references>
      </pivotArea>
    </format>
    <format dxfId="9030">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65"/>
          </reference>
        </references>
      </pivotArea>
    </format>
    <format dxfId="902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120"/>
          </reference>
        </references>
      </pivotArea>
    </format>
    <format dxfId="902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121"/>
          </reference>
        </references>
      </pivotArea>
    </format>
    <format dxfId="902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110"/>
          </reference>
        </references>
      </pivotArea>
    </format>
    <format dxfId="902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025"/>
          </reference>
        </references>
      </pivotArea>
    </format>
    <format dxfId="902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026"/>
          </reference>
        </references>
      </pivotArea>
    </format>
    <format dxfId="902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027"/>
          </reference>
        </references>
      </pivotArea>
    </format>
    <format dxfId="902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024"/>
          </reference>
        </references>
      </pivotArea>
    </format>
    <format dxfId="902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028"/>
          </reference>
        </references>
      </pivotArea>
    </format>
    <format dxfId="902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083"/>
          </reference>
        </references>
      </pivotArea>
    </format>
    <format dxfId="902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084"/>
          </reference>
        </references>
      </pivotArea>
    </format>
    <format dxfId="901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013"/>
          </reference>
        </references>
      </pivotArea>
    </format>
    <format dxfId="901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014"/>
          </reference>
        </references>
      </pivotArea>
    </format>
    <format dxfId="901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95"/>
          </reference>
        </references>
      </pivotArea>
    </format>
    <format dxfId="90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011"/>
          </reference>
        </references>
      </pivotArea>
    </format>
    <format dxfId="901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013"/>
          </reference>
        </references>
      </pivotArea>
    </format>
    <format dxfId="901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014"/>
          </reference>
        </references>
      </pivotArea>
    </format>
    <format dxfId="901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95"/>
          </reference>
        </references>
      </pivotArea>
    </format>
    <format dxfId="901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011"/>
          </reference>
        </references>
      </pivotArea>
    </format>
    <format dxfId="901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013"/>
          </reference>
        </references>
      </pivotArea>
    </format>
    <format dxfId="901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994"/>
          </reference>
        </references>
      </pivotArea>
    </format>
    <format dxfId="900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011"/>
          </reference>
        </references>
      </pivotArea>
    </format>
    <format dxfId="900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004"/>
          </reference>
        </references>
      </pivotArea>
    </format>
    <format dxfId="900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087"/>
          </reference>
        </references>
      </pivotArea>
    </format>
    <format dxfId="900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093"/>
          </reference>
        </references>
      </pivotArea>
    </format>
    <format dxfId="9005">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039"/>
          </reference>
        </references>
      </pivotArea>
    </format>
    <format dxfId="9004">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019"/>
          </reference>
        </references>
      </pivotArea>
    </format>
    <format dxfId="9003">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020"/>
          </reference>
        </references>
      </pivotArea>
    </format>
    <format dxfId="9002">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022"/>
          </reference>
        </references>
      </pivotArea>
    </format>
    <format dxfId="900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40"/>
          </reference>
        </references>
      </pivotArea>
    </format>
    <format dxfId="900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43"/>
          </reference>
        </references>
      </pivotArea>
    </format>
    <format dxfId="899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41"/>
          </reference>
        </references>
      </pivotArea>
    </format>
    <format dxfId="899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42"/>
          </reference>
        </references>
      </pivotArea>
    </format>
    <format dxfId="899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005"/>
          </reference>
        </references>
      </pivotArea>
    </format>
    <format dxfId="899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001"/>
          </reference>
        </references>
      </pivotArea>
    </format>
    <format dxfId="899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002"/>
          </reference>
        </references>
      </pivotArea>
    </format>
    <format dxfId="899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003"/>
          </reference>
        </references>
      </pivotArea>
    </format>
    <format dxfId="899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004"/>
          </reference>
        </references>
      </pivotArea>
    </format>
    <format dxfId="899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40"/>
          </reference>
        </references>
      </pivotArea>
    </format>
    <format dxfId="899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43"/>
          </reference>
        </references>
      </pivotArea>
    </format>
    <format dxfId="899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41"/>
          </reference>
        </references>
      </pivotArea>
    </format>
    <format dxfId="898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42"/>
          </reference>
        </references>
      </pivotArea>
    </format>
    <format dxfId="898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005"/>
          </reference>
        </references>
      </pivotArea>
    </format>
    <format dxfId="898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001"/>
          </reference>
        </references>
      </pivotArea>
    </format>
    <format dxfId="898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002"/>
          </reference>
        </references>
      </pivotArea>
    </format>
    <format dxfId="898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003"/>
          </reference>
        </references>
      </pivotArea>
    </format>
    <format dxfId="898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004"/>
          </reference>
        </references>
      </pivotArea>
    </format>
    <format dxfId="898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40"/>
          </reference>
        </references>
      </pivotArea>
    </format>
    <format dxfId="898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43"/>
          </reference>
        </references>
      </pivotArea>
    </format>
    <format dxfId="898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41"/>
          </reference>
        </references>
      </pivotArea>
    </format>
    <format dxfId="898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42"/>
          </reference>
        </references>
      </pivotArea>
    </format>
    <format dxfId="897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005"/>
          </reference>
        </references>
      </pivotArea>
    </format>
    <format dxfId="897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001"/>
          </reference>
        </references>
      </pivotArea>
    </format>
    <format dxfId="897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002"/>
          </reference>
        </references>
      </pivotArea>
    </format>
    <format dxfId="897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003"/>
          </reference>
        </references>
      </pivotArea>
    </format>
    <format dxfId="897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004"/>
          </reference>
        </references>
      </pivotArea>
    </format>
    <format dxfId="897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016"/>
          </reference>
        </references>
      </pivotArea>
    </format>
    <format dxfId="897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018"/>
          </reference>
        </references>
      </pivotArea>
    </format>
    <format dxfId="897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017"/>
          </reference>
        </references>
      </pivotArea>
    </format>
    <format dxfId="897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004"/>
          </reference>
        </references>
      </pivotArea>
    </format>
    <format dxfId="897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006"/>
          </reference>
        </references>
      </pivotArea>
    </format>
    <format dxfId="896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007"/>
          </reference>
        </references>
      </pivotArea>
    </format>
    <format dxfId="896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008"/>
          </reference>
        </references>
      </pivotArea>
    </format>
    <format dxfId="896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009"/>
          </reference>
        </references>
      </pivotArea>
    </format>
    <format dxfId="896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006"/>
          </reference>
        </references>
      </pivotArea>
    </format>
    <format dxfId="896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007"/>
          </reference>
        </references>
      </pivotArea>
    </format>
    <format dxfId="896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008"/>
          </reference>
        </references>
      </pivotArea>
    </format>
    <format dxfId="896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009"/>
          </reference>
        </references>
      </pivotArea>
    </format>
    <format dxfId="896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997"/>
          </reference>
        </references>
      </pivotArea>
    </format>
    <format dxfId="896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999"/>
          </reference>
        </references>
      </pivotArea>
    </format>
    <format dxfId="896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000"/>
          </reference>
        </references>
      </pivotArea>
    </format>
    <format dxfId="895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998"/>
          </reference>
        </references>
      </pivotArea>
    </format>
    <format dxfId="895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038"/>
          </reference>
        </references>
      </pivotArea>
    </format>
    <format dxfId="895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997"/>
          </reference>
        </references>
      </pivotArea>
    </format>
    <format dxfId="895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037"/>
          </reference>
        </references>
      </pivotArea>
    </format>
    <format dxfId="895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40"/>
          </reference>
        </references>
      </pivotArea>
    </format>
    <format dxfId="895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43"/>
          </reference>
        </references>
      </pivotArea>
    </format>
    <format dxfId="895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41"/>
          </reference>
        </references>
      </pivotArea>
    </format>
    <format dxfId="895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42"/>
          </reference>
        </references>
      </pivotArea>
    </format>
    <format dxfId="895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001"/>
          </reference>
        </references>
      </pivotArea>
    </format>
    <format dxfId="895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002"/>
          </reference>
        </references>
      </pivotArea>
    </format>
    <format dxfId="894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003"/>
          </reference>
        </references>
      </pivotArea>
    </format>
    <format dxfId="894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004"/>
          </reference>
        </references>
      </pivotArea>
    </format>
    <format dxfId="894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001"/>
          </reference>
        </references>
      </pivotArea>
    </format>
    <format dxfId="894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002"/>
          </reference>
        </references>
      </pivotArea>
    </format>
    <format dxfId="894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003"/>
          </reference>
        </references>
      </pivotArea>
    </format>
    <format dxfId="894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004"/>
          </reference>
        </references>
      </pivotArea>
    </format>
    <format dxfId="8943">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128"/>
          </reference>
        </references>
      </pivotArea>
    </format>
    <format dxfId="8942">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023"/>
          </reference>
        </references>
      </pivotArea>
    </format>
    <format dxfId="894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34"/>
          </reference>
        </references>
      </pivotArea>
    </format>
    <format dxfId="8940">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135"/>
          </reference>
        </references>
      </pivotArea>
    </format>
    <format dxfId="8939">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34"/>
          </reference>
        </references>
      </pivotArea>
    </format>
    <format dxfId="893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125"/>
          </reference>
        </references>
      </pivotArea>
    </format>
    <format dxfId="893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132"/>
          </reference>
        </references>
      </pivotArea>
    </format>
    <format dxfId="893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126"/>
          </reference>
        </references>
      </pivotArea>
    </format>
    <format dxfId="8935">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129"/>
          </reference>
        </references>
      </pivotArea>
    </format>
    <format dxfId="8934">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132"/>
          </reference>
        </references>
      </pivotArea>
    </format>
    <format dxfId="893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100"/>
          </reference>
        </references>
      </pivotArea>
    </format>
    <format dxfId="893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021"/>
          </reference>
        </references>
      </pivotArea>
    </format>
    <format dxfId="893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95"/>
          </reference>
        </references>
      </pivotArea>
    </format>
    <format dxfId="893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999"/>
          </reference>
        </references>
      </pivotArea>
    </format>
    <format dxfId="892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037"/>
          </reference>
        </references>
      </pivotArea>
    </format>
    <format dxfId="892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036"/>
          </reference>
        </references>
      </pivotArea>
    </format>
    <format dxfId="892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035"/>
          </reference>
        </references>
      </pivotArea>
    </format>
    <format dxfId="892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034"/>
          </reference>
        </references>
      </pivotArea>
    </format>
    <format dxfId="892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032"/>
          </reference>
        </references>
      </pivotArea>
    </format>
    <format dxfId="892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998"/>
          </reference>
        </references>
      </pivotArea>
    </format>
    <format dxfId="892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033"/>
          </reference>
        </references>
      </pivotArea>
    </format>
    <format dxfId="892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133"/>
          </reference>
        </references>
      </pivotArea>
    </format>
    <format dxfId="892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31"/>
          </reference>
        </references>
      </pivotArea>
    </format>
    <format dxfId="892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95"/>
          </reference>
        </references>
      </pivotArea>
    </format>
    <format dxfId="891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2032"/>
          </reference>
        </references>
      </pivotArea>
    </format>
    <format dxfId="891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31"/>
          </reference>
        </references>
      </pivotArea>
    </format>
    <format dxfId="891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015"/>
          </reference>
        </references>
      </pivotArea>
    </format>
    <format dxfId="891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079"/>
          </reference>
        </references>
      </pivotArea>
    </format>
    <format dxfId="891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081"/>
          </reference>
        </references>
      </pivotArea>
    </format>
    <format dxfId="891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095"/>
          </reference>
        </references>
      </pivotArea>
    </format>
    <format dxfId="891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94"/>
          </reference>
        </references>
      </pivotArea>
    </format>
    <format dxfId="891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050"/>
          </reference>
        </references>
      </pivotArea>
    </format>
    <format dxfId="891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051"/>
          </reference>
        </references>
      </pivotArea>
    </format>
    <format dxfId="891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048"/>
          </reference>
        </references>
      </pivotArea>
    </format>
    <format dxfId="890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049"/>
          </reference>
        </references>
      </pivotArea>
    </format>
    <format dxfId="890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044"/>
          </reference>
        </references>
      </pivotArea>
    </format>
    <format dxfId="890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045"/>
          </reference>
        </references>
      </pivotArea>
    </format>
    <format dxfId="890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046"/>
          </reference>
        </references>
      </pivotArea>
    </format>
    <format dxfId="890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003"/>
          </reference>
        </references>
      </pivotArea>
    </format>
    <format dxfId="890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010"/>
          </reference>
        </references>
      </pivotArea>
    </format>
    <format dxfId="890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012"/>
          </reference>
        </references>
      </pivotArea>
    </format>
    <format dxfId="8902">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73"/>
          </reference>
        </references>
      </pivotArea>
    </format>
    <format dxfId="8901">
      <pivotArea field="82" type="button" dataOnly="0" labelOnly="1" outline="0" axis="axisRow" fieldPosition="9"/>
    </format>
    <format dxfId="890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2"/>
          </reference>
        </references>
      </pivotArea>
    </format>
    <format dxfId="889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x v="493"/>
          </reference>
        </references>
      </pivotArea>
    </format>
    <format dxfId="889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x v="398"/>
          </reference>
        </references>
      </pivotArea>
    </format>
    <format dxfId="889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x v="399"/>
          </reference>
        </references>
      </pivotArea>
    </format>
    <format dxfId="889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x v="410"/>
          </reference>
        </references>
      </pivotArea>
    </format>
    <format dxfId="889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x v="411"/>
          </reference>
        </references>
      </pivotArea>
    </format>
    <format dxfId="889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4"/>
          </reference>
        </references>
      </pivotArea>
    </format>
    <format dxfId="889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x v="495"/>
          </reference>
        </references>
      </pivotArea>
    </format>
    <format dxfId="889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x v="544"/>
          </reference>
        </references>
      </pivotArea>
    </format>
    <format dxfId="889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x v="545"/>
          </reference>
        </references>
      </pivotArea>
    </format>
    <format dxfId="889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x v="546"/>
          </reference>
        </references>
      </pivotArea>
    </format>
    <format dxfId="888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x v="543"/>
          </reference>
        </references>
      </pivotArea>
    </format>
    <format dxfId="888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4"/>
          </reference>
        </references>
      </pivotArea>
    </format>
    <format dxfId="888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x v="495"/>
          </reference>
        </references>
      </pivotArea>
    </format>
    <format dxfId="888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x v="544"/>
          </reference>
        </references>
      </pivotArea>
    </format>
    <format dxfId="888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x v="545"/>
          </reference>
        </references>
      </pivotArea>
    </format>
    <format dxfId="888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x v="546"/>
          </reference>
        </references>
      </pivotArea>
    </format>
    <format dxfId="888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x v="543"/>
          </reference>
        </references>
      </pivotArea>
    </format>
    <format dxfId="888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4"/>
          </reference>
        </references>
      </pivotArea>
    </format>
    <format dxfId="888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x v="495"/>
          </reference>
        </references>
      </pivotArea>
    </format>
    <format dxfId="888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x v="518"/>
          </reference>
        </references>
      </pivotArea>
    </format>
    <format dxfId="887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20"/>
          </reference>
        </references>
      </pivotArea>
    </format>
    <format dxfId="887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103"/>
          </reference>
          <reference field="82" count="1">
            <x v="540"/>
          </reference>
        </references>
      </pivotArea>
    </format>
    <format dxfId="887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x v="397"/>
          </reference>
        </references>
      </pivotArea>
    </format>
    <format dxfId="887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x v="541"/>
          </reference>
        </references>
      </pivotArea>
    </format>
    <format dxfId="887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x v="542"/>
          </reference>
        </references>
      </pivotArea>
    </format>
    <format dxfId="887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2"/>
          </reference>
        </references>
      </pivotArea>
    </format>
    <format dxfId="887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x v="493"/>
          </reference>
        </references>
      </pivotArea>
    </format>
    <format dxfId="887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x v="398"/>
          </reference>
        </references>
      </pivotArea>
    </format>
    <format dxfId="887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x v="399"/>
          </reference>
        </references>
      </pivotArea>
    </format>
    <format dxfId="887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x v="410"/>
          </reference>
        </references>
      </pivotArea>
    </format>
    <format dxfId="886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x v="411"/>
          </reference>
        </references>
      </pivotArea>
    </format>
    <format dxfId="8868">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x v="578"/>
          </reference>
        </references>
      </pivotArea>
    </format>
    <format dxfId="8867">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x v="519"/>
          </reference>
        </references>
      </pivotArea>
    </format>
    <format dxfId="886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066"/>
          </reference>
          <reference field="82" count="1">
            <x v="485"/>
          </reference>
        </references>
      </pivotArea>
    </format>
    <format dxfId="886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043"/>
          </reference>
          <reference field="82" count="1">
            <x v="487"/>
          </reference>
        </references>
      </pivotArea>
    </format>
    <format dxfId="886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067"/>
          </reference>
          <reference field="82" count="1">
            <x v="488"/>
          </reference>
        </references>
      </pivotArea>
    </format>
    <format dxfId="886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059"/>
          </reference>
          <reference field="82" count="1">
            <x v="484"/>
          </reference>
        </references>
      </pivotArea>
    </format>
    <format dxfId="886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068"/>
          </reference>
          <reference field="82" count="1">
            <x v="489"/>
          </reference>
        </references>
      </pivotArea>
    </format>
    <format dxfId="886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060"/>
          </reference>
          <reference field="82" count="1">
            <x v="490"/>
          </reference>
        </references>
      </pivotArea>
    </format>
    <format dxfId="886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069"/>
          </reference>
          <reference field="82" count="1">
            <x v="491"/>
          </reference>
        </references>
      </pivotArea>
    </format>
    <format dxfId="885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057"/>
          </reference>
          <reference field="82" count="1">
            <x v="486"/>
          </reference>
        </references>
      </pivotArea>
    </format>
    <format dxfId="885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x v="544"/>
          </reference>
        </references>
      </pivotArea>
    </format>
    <format dxfId="885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x v="545"/>
          </reference>
        </references>
      </pivotArea>
    </format>
    <format dxfId="885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x v="546"/>
          </reference>
        </references>
      </pivotArea>
    </format>
    <format dxfId="885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x v="543"/>
          </reference>
        </references>
      </pivotArea>
    </format>
    <format dxfId="8854">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x v="577"/>
          </reference>
        </references>
      </pivotArea>
    </format>
    <format dxfId="885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2"/>
          </reference>
        </references>
      </pivotArea>
    </format>
    <format dxfId="885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x v="493"/>
          </reference>
        </references>
      </pivotArea>
    </format>
    <format dxfId="885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x v="541"/>
          </reference>
        </references>
      </pivotArea>
    </format>
    <format dxfId="885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x v="542"/>
          </reference>
        </references>
      </pivotArea>
    </format>
    <format dxfId="884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2"/>
          </reference>
        </references>
      </pivotArea>
    </format>
    <format dxfId="884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x v="493"/>
          </reference>
        </references>
      </pivotArea>
    </format>
    <format dxfId="884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x v="398"/>
          </reference>
        </references>
      </pivotArea>
    </format>
    <format dxfId="884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x v="399"/>
          </reference>
        </references>
      </pivotArea>
    </format>
    <format dxfId="884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x v="410"/>
          </reference>
        </references>
      </pivotArea>
    </format>
    <format dxfId="884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x v="411"/>
          </reference>
        </references>
      </pivotArea>
    </format>
    <format dxfId="884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x v="494"/>
          </reference>
        </references>
      </pivotArea>
    </format>
    <format dxfId="884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x v="495"/>
          </reference>
        </references>
      </pivotArea>
    </format>
    <format dxfId="8841">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x v="544"/>
          </reference>
        </references>
      </pivotArea>
    </format>
    <format dxfId="884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021"/>
          </reference>
          <reference field="82" count="1">
            <x v="550"/>
          </reference>
        </references>
      </pivotArea>
    </format>
    <format dxfId="883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020"/>
          </reference>
          <reference field="82" count="1">
            <x v="551"/>
          </reference>
        </references>
      </pivotArea>
    </format>
    <format dxfId="883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112"/>
          </reference>
          <reference field="82" count="1">
            <x v="552"/>
          </reference>
        </references>
      </pivotArea>
    </format>
    <format dxfId="8837">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089"/>
          </reference>
          <reference field="82" count="1">
            <x v="514"/>
          </reference>
        </references>
      </pivotArea>
    </format>
    <format dxfId="8836">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x v="515"/>
          </reference>
        </references>
      </pivotArea>
    </format>
    <format dxfId="883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x v="547"/>
          </reference>
        </references>
      </pivotArea>
    </format>
    <format dxfId="883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x v="548"/>
          </reference>
        </references>
      </pivotArea>
    </format>
    <format dxfId="883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x v="549"/>
          </reference>
        </references>
      </pivotArea>
    </format>
    <format dxfId="883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x v="496"/>
          </reference>
        </references>
      </pivotArea>
    </format>
    <format dxfId="883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074"/>
          </reference>
          <reference field="82" count="1">
            <x v="497"/>
          </reference>
        </references>
      </pivotArea>
    </format>
    <format dxfId="8830">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130"/>
          </reference>
          <reference field="82" count="1">
            <x v="579"/>
          </reference>
        </references>
      </pivotArea>
    </format>
    <format dxfId="882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x v="547"/>
          </reference>
        </references>
      </pivotArea>
    </format>
    <format dxfId="882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x v="548"/>
          </reference>
        </references>
      </pivotArea>
    </format>
    <format dxfId="882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x v="549"/>
          </reference>
        </references>
      </pivotArea>
    </format>
    <format dxfId="8826">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x v="496"/>
          </reference>
        </references>
      </pivotArea>
    </format>
    <format dxfId="882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115"/>
          </reference>
          <reference field="82" count="1">
            <x v="556"/>
          </reference>
        </references>
      </pivotArea>
    </format>
    <format dxfId="882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116"/>
          </reference>
          <reference field="82" count="1">
            <x v="557"/>
          </reference>
        </references>
      </pivotArea>
    </format>
    <format dxfId="882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117"/>
          </reference>
          <reference field="82" count="1">
            <x v="558"/>
          </reference>
        </references>
      </pivotArea>
    </format>
    <format dxfId="882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086"/>
          </reference>
          <reference field="82" count="1">
            <x v="510"/>
          </reference>
        </references>
      </pivotArea>
    </format>
    <format dxfId="882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05"/>
          </reference>
        </references>
      </pivotArea>
    </format>
    <format dxfId="882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059"/>
          </reference>
          <reference field="82" count="1">
            <x v="477"/>
          </reference>
        </references>
      </pivotArea>
    </format>
    <format dxfId="881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060"/>
          </reference>
          <reference field="82" count="1">
            <x v="478"/>
          </reference>
        </references>
      </pivotArea>
    </format>
    <format dxfId="881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057"/>
          </reference>
          <reference field="82" count="1">
            <x v="475"/>
          </reference>
        </references>
      </pivotArea>
    </format>
    <format dxfId="881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058"/>
          </reference>
          <reference field="82" count="1">
            <x v="476"/>
          </reference>
        </references>
      </pivotArea>
    </format>
    <format dxfId="881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019"/>
          </reference>
          <reference field="82" count="1">
            <x v="553"/>
          </reference>
        </references>
      </pivotArea>
    </format>
    <format dxfId="881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113"/>
          </reference>
          <reference field="82" count="1">
            <x v="554"/>
          </reference>
        </references>
      </pivotArea>
    </format>
    <format dxfId="881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114"/>
          </reference>
          <reference field="82" count="1">
            <x v="555"/>
          </reference>
        </references>
      </pivotArea>
    </format>
    <format dxfId="8813">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127"/>
          </reference>
          <reference field="82" count="1">
            <x v="574"/>
          </reference>
        </references>
      </pivotArea>
    </format>
    <format dxfId="8812">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x v="517"/>
          </reference>
        </references>
      </pivotArea>
    </format>
    <format dxfId="881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101"/>
          </reference>
          <reference field="82" count="1">
            <x v="535"/>
          </reference>
        </references>
      </pivotArea>
    </format>
    <format dxfId="881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015"/>
          </reference>
          <reference field="82" count="1">
            <x v="534"/>
          </reference>
        </references>
      </pivotArea>
    </format>
    <format dxfId="880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102"/>
          </reference>
          <reference field="82" count="1">
            <x v="536"/>
          </reference>
        </references>
      </pivotArea>
    </format>
    <format dxfId="880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137"/>
          </reference>
          <reference field="82" count="1">
            <x v="589"/>
          </reference>
        </references>
      </pivotArea>
    </format>
    <format dxfId="880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x v="517"/>
          </reference>
        </references>
      </pivotArea>
    </format>
    <format dxfId="880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063"/>
          </reference>
          <reference field="82" count="1">
            <x v="481"/>
          </reference>
        </references>
      </pivotArea>
    </format>
    <format dxfId="880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064"/>
          </reference>
          <reference field="82" count="1">
            <x v="482"/>
          </reference>
        </references>
      </pivotArea>
    </format>
    <format dxfId="880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061"/>
          </reference>
          <reference field="82" count="1">
            <x v="479"/>
          </reference>
        </references>
      </pivotArea>
    </format>
    <format dxfId="880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062"/>
          </reference>
          <reference field="82" count="1">
            <x v="480"/>
          </reference>
        </references>
      </pivotArea>
    </format>
    <format dxfId="880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x v="421"/>
          </reference>
        </references>
      </pivotArea>
    </format>
    <format dxfId="880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x v="532"/>
          </reference>
        </references>
      </pivotArea>
    </format>
    <format dxfId="880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x v="533"/>
          </reference>
        </references>
      </pivotArea>
    </format>
    <format dxfId="8799">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05"/>
          </reference>
        </references>
      </pivotArea>
    </format>
    <format dxfId="879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x v="421"/>
          </reference>
        </references>
      </pivotArea>
    </format>
    <format dxfId="879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x v="532"/>
          </reference>
        </references>
      </pivotArea>
    </format>
    <format dxfId="879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x v="533"/>
          </reference>
        </references>
      </pivotArea>
    </format>
    <format dxfId="879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090"/>
          </reference>
          <reference field="82" count="1">
            <x v="516"/>
          </reference>
        </references>
      </pivotArea>
    </format>
    <format dxfId="879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05"/>
          </reference>
        </references>
      </pivotArea>
    </format>
    <format dxfId="879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x v="537"/>
          </reference>
        </references>
      </pivotArea>
    </format>
    <format dxfId="879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x v="538"/>
          </reference>
        </references>
      </pivotArea>
    </format>
    <format dxfId="879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x v="539"/>
          </reference>
        </references>
      </pivotArea>
    </format>
    <format dxfId="879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030"/>
          </reference>
          <reference field="82" count="1">
            <x v="441"/>
          </reference>
        </references>
      </pivotArea>
    </format>
    <format dxfId="878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029"/>
          </reference>
          <reference field="82" count="1">
            <x v="440"/>
          </reference>
        </references>
      </pivotArea>
    </format>
    <format dxfId="878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031"/>
          </reference>
          <reference field="82" count="1">
            <x v="442"/>
          </reference>
        </references>
      </pivotArea>
    </format>
    <format dxfId="878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x v="537"/>
          </reference>
        </references>
      </pivotArea>
    </format>
    <format dxfId="878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x v="539"/>
          </reference>
        </references>
      </pivotArea>
    </format>
    <format dxfId="8785">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x v="500"/>
          </reference>
        </references>
      </pivotArea>
    </format>
    <format dxfId="878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x v="433"/>
          </reference>
        </references>
      </pivotArea>
    </format>
    <format dxfId="878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x v="412"/>
          </reference>
        </references>
      </pivotArea>
    </format>
    <format dxfId="878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x v="413"/>
          </reference>
        </references>
      </pivotArea>
    </format>
    <format dxfId="878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x v="416"/>
          </reference>
        </references>
      </pivotArea>
    </format>
    <format dxfId="878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x v="389"/>
          </reference>
        </references>
      </pivotArea>
    </format>
    <format dxfId="877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x v="390"/>
          </reference>
        </references>
      </pivotArea>
    </format>
    <format dxfId="877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x v="391"/>
          </reference>
        </references>
      </pivotArea>
    </format>
    <format dxfId="877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x v="392"/>
          </reference>
        </references>
      </pivotArea>
    </format>
    <format dxfId="8776">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007"/>
          </reference>
          <reference field="82" count="1">
            <x v="526"/>
          </reference>
        </references>
      </pivotArea>
    </format>
    <format dxfId="8775">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096"/>
          </reference>
          <reference field="82" count="1">
            <x v="525"/>
          </reference>
        </references>
      </pivotArea>
    </format>
    <format dxfId="877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x v="389"/>
          </reference>
        </references>
      </pivotArea>
    </format>
    <format dxfId="877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x v="390"/>
          </reference>
        </references>
      </pivotArea>
    </format>
    <format dxfId="877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x v="391"/>
          </reference>
        </references>
      </pivotArea>
    </format>
    <format dxfId="877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x v="392"/>
          </reference>
        </references>
      </pivotArea>
    </format>
    <format dxfId="877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x v="389"/>
          </reference>
        </references>
      </pivotArea>
    </format>
    <format dxfId="876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x v="390"/>
          </reference>
        </references>
      </pivotArea>
    </format>
    <format dxfId="876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x v="391"/>
          </reference>
        </references>
      </pivotArea>
    </format>
    <format dxfId="876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x v="392"/>
          </reference>
        </references>
      </pivotArea>
    </format>
    <format dxfId="876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010"/>
          </reference>
          <reference field="82" count="1">
            <x v="539"/>
          </reference>
        </references>
      </pivotArea>
    </format>
    <format dxfId="876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012"/>
          </reference>
          <reference field="82" count="1">
            <x v="560"/>
          </reference>
        </references>
      </pivotArea>
    </format>
    <format dxfId="876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017"/>
          </reference>
          <reference field="82" count="1">
            <x v="559"/>
          </reference>
        </references>
      </pivotArea>
    </format>
    <format dxfId="876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x v="511"/>
          </reference>
        </references>
      </pivotArea>
    </format>
    <format dxfId="876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x v="512"/>
          </reference>
        </references>
      </pivotArea>
    </format>
    <format dxfId="876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13"/>
          </reference>
        </references>
      </pivotArea>
    </format>
    <format dxfId="876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054"/>
          </reference>
          <reference field="82" count="1">
            <x v="471"/>
          </reference>
        </references>
      </pivotArea>
    </format>
    <format dxfId="875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044"/>
          </reference>
          <reference field="82" count="1">
            <x v="472"/>
          </reference>
        </references>
      </pivotArea>
    </format>
    <format dxfId="875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055"/>
          </reference>
          <reference field="82" count="1">
            <x v="473"/>
          </reference>
        </references>
      </pivotArea>
    </format>
    <format dxfId="875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056"/>
          </reference>
          <reference field="82" count="1">
            <x v="474"/>
          </reference>
        </references>
      </pivotArea>
    </format>
    <format dxfId="875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110"/>
          </reference>
          <reference field="82" count="1">
            <x v="566"/>
          </reference>
        </references>
      </pivotArea>
    </format>
    <format dxfId="875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124"/>
          </reference>
          <reference field="82" count="1">
            <x v="570"/>
          </reference>
        </references>
      </pivotArea>
    </format>
    <format dxfId="875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029"/>
          </reference>
          <reference field="82" count="1">
            <x v="571"/>
          </reference>
        </references>
      </pivotArea>
    </format>
    <format dxfId="8753">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x v="508"/>
          </reference>
        </references>
      </pivotArea>
    </format>
    <format dxfId="875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x v="509"/>
          </reference>
        </references>
      </pivotArea>
    </format>
    <format dxfId="875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x v="587"/>
          </reference>
        </references>
      </pivotArea>
    </format>
    <format dxfId="8750">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x v="511"/>
          </reference>
        </references>
      </pivotArea>
    </format>
    <format dxfId="874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x v="512"/>
          </reference>
        </references>
      </pivotArea>
    </format>
    <format dxfId="874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x v="511"/>
          </reference>
        </references>
      </pivotArea>
    </format>
    <format dxfId="874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x v="512"/>
          </reference>
        </references>
      </pivotArea>
    </format>
    <format dxfId="874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x v="513"/>
          </reference>
        </references>
      </pivotArea>
    </format>
    <format dxfId="874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052"/>
          </reference>
          <reference field="82" count="1">
            <x v="467"/>
          </reference>
        </references>
      </pivotArea>
    </format>
    <format dxfId="874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050"/>
          </reference>
          <reference field="82" count="1">
            <x v="468"/>
          </reference>
        </references>
      </pivotArea>
    </format>
    <format dxfId="874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053"/>
          </reference>
          <reference field="82" count="1">
            <x v="469"/>
          </reference>
        </references>
      </pivotArea>
    </format>
    <format dxfId="874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045"/>
          </reference>
          <reference field="82" count="1">
            <x v="470"/>
          </reference>
        </references>
      </pivotArea>
    </format>
    <format dxfId="874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122"/>
          </reference>
          <reference field="82" count="1">
            <x v="567"/>
          </reference>
        </references>
      </pivotArea>
    </format>
    <format dxfId="8740">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109"/>
          </reference>
          <reference field="82" count="1">
            <x v="568"/>
          </reference>
        </references>
      </pivotArea>
    </format>
    <format dxfId="873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123"/>
          </reference>
          <reference field="82" count="1">
            <x v="569"/>
          </reference>
        </references>
      </pivotArea>
    </format>
    <format dxfId="8738">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x v="508"/>
          </reference>
        </references>
      </pivotArea>
    </format>
    <format dxfId="8737">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x v="587"/>
          </reference>
        </references>
      </pivotArea>
    </format>
    <format dxfId="873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x v="511"/>
          </reference>
        </references>
      </pivotArea>
    </format>
    <format dxfId="873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x v="512"/>
          </reference>
        </references>
      </pivotArea>
    </format>
    <format dxfId="873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096"/>
          </reference>
          <reference field="82" count="1">
            <x v="530"/>
          </reference>
        </references>
      </pivotArea>
    </format>
    <format dxfId="873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099"/>
          </reference>
          <reference field="82" count="1">
            <x v="529"/>
          </reference>
        </references>
      </pivotArea>
    </format>
    <format dxfId="873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097"/>
          </reference>
          <reference field="82" count="1">
            <x v="527"/>
          </reference>
        </references>
      </pivotArea>
    </format>
    <format dxfId="873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098"/>
          </reference>
          <reference field="82" count="1">
            <x v="528"/>
          </reference>
        </references>
      </pivotArea>
    </format>
    <format dxfId="873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x v="483"/>
          </reference>
        </references>
      </pivotArea>
    </format>
    <format dxfId="872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118"/>
          </reference>
          <reference field="82" count="1">
            <x v="561"/>
          </reference>
        </references>
      </pivotArea>
    </format>
    <format dxfId="872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119"/>
          </reference>
          <reference field="82" count="1">
            <x v="562"/>
          </reference>
        </references>
      </pivotArea>
    </format>
    <format dxfId="872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030"/>
          </reference>
          <reference field="82" count="1">
            <x v="563"/>
          </reference>
        </references>
      </pivotArea>
    </format>
    <format dxfId="872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x v="436"/>
          </reference>
        </references>
      </pivotArea>
    </format>
    <format dxfId="872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x v="437"/>
          </reference>
        </references>
      </pivotArea>
    </format>
    <format dxfId="872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x v="435"/>
          </reference>
        </references>
      </pivotArea>
    </format>
    <format dxfId="8723">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x v="483"/>
          </reference>
        </references>
      </pivotArea>
    </format>
    <format dxfId="872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120"/>
          </reference>
          <reference field="82" count="1">
            <x v="564"/>
          </reference>
        </references>
      </pivotArea>
    </format>
    <format dxfId="872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121"/>
          </reference>
          <reference field="82" count="1">
            <x v="565"/>
          </reference>
        </references>
      </pivotArea>
    </format>
    <format dxfId="872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110"/>
          </reference>
          <reference field="82" count="1">
            <x v="566"/>
          </reference>
        </references>
      </pivotArea>
    </format>
    <format dxfId="871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x v="436"/>
          </reference>
        </references>
      </pivotArea>
    </format>
    <format dxfId="871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x v="437"/>
          </reference>
        </references>
      </pivotArea>
    </format>
    <format dxfId="871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027"/>
          </reference>
          <reference field="82" count="1">
            <x v="438"/>
          </reference>
        </references>
      </pivotArea>
    </format>
    <format dxfId="871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x v="435"/>
          </reference>
        </references>
      </pivotArea>
    </format>
    <format dxfId="871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028"/>
          </reference>
          <reference field="82" count="1">
            <x v="439"/>
          </reference>
        </references>
      </pivotArea>
    </format>
    <format dxfId="871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083"/>
          </reference>
          <reference field="82" count="1">
            <x v="506"/>
          </reference>
        </references>
      </pivotArea>
    </format>
    <format dxfId="8713">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084"/>
          </reference>
          <reference field="82" count="1">
            <x v="507"/>
          </reference>
        </references>
      </pivotArea>
    </format>
    <format dxfId="871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x v="415"/>
          </reference>
        </references>
      </pivotArea>
    </format>
    <format dxfId="871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x v="417"/>
          </reference>
        </references>
      </pivotArea>
    </format>
    <format dxfId="871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x v="391"/>
          </reference>
        </references>
      </pivotArea>
    </format>
    <format dxfId="870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x v="416"/>
          </reference>
        </references>
      </pivotArea>
    </format>
    <format dxfId="870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x v="421"/>
          </reference>
        </references>
      </pivotArea>
    </format>
    <format dxfId="870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x v="422"/>
          </reference>
        </references>
      </pivotArea>
    </format>
    <format dxfId="870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x v="423"/>
          </reference>
        </references>
      </pivotArea>
    </format>
    <format dxfId="870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x v="420"/>
          </reference>
        </references>
      </pivotArea>
    </format>
    <format dxfId="870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013"/>
          </reference>
          <reference field="82" count="1">
            <x v="418"/>
          </reference>
        </references>
      </pivotArea>
    </format>
    <format dxfId="870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994"/>
          </reference>
          <reference field="82" count="1">
            <x v="419"/>
          </reference>
        </references>
      </pivotArea>
    </format>
    <format dxfId="870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011"/>
          </reference>
          <reference field="82" count="1">
            <x v="411"/>
          </reference>
        </references>
      </pivotArea>
    </format>
    <format dxfId="870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004"/>
          </reference>
          <reference field="82" count="1">
            <x v="400"/>
          </reference>
        </references>
      </pivotArea>
    </format>
    <format dxfId="870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087"/>
          </reference>
          <reference field="82" count="1">
            <x v="521"/>
          </reference>
        </references>
      </pivotArea>
    </format>
    <format dxfId="869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093"/>
          </reference>
          <reference field="82" count="1">
            <x v="522"/>
          </reference>
        </references>
      </pivotArea>
    </format>
    <format dxfId="8698">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039"/>
          </reference>
          <reference field="82" count="1">
            <x v="454"/>
          </reference>
        </references>
      </pivotArea>
    </format>
    <format dxfId="8697">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019"/>
          </reference>
          <reference field="82" count="1">
            <x v="429"/>
          </reference>
        </references>
      </pivotArea>
    </format>
    <format dxfId="8696">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020"/>
          </reference>
          <reference field="82" count="1">
            <x v="430"/>
          </reference>
        </references>
      </pivotArea>
    </format>
    <format dxfId="8695">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022"/>
          </reference>
          <reference field="82" count="1">
            <x v="432"/>
          </reference>
        </references>
      </pivotArea>
    </format>
    <format dxfId="869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x v="455"/>
          </reference>
        </references>
      </pivotArea>
    </format>
    <format dxfId="869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x v="458"/>
          </reference>
        </references>
      </pivotArea>
    </format>
    <format dxfId="869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x v="456"/>
          </reference>
        </references>
      </pivotArea>
    </format>
    <format dxfId="869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x v="457"/>
          </reference>
        </references>
      </pivotArea>
    </format>
    <format dxfId="869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x v="401"/>
          </reference>
        </references>
      </pivotArea>
    </format>
    <format dxfId="868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x v="397"/>
          </reference>
        </references>
      </pivotArea>
    </format>
    <format dxfId="868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x v="398"/>
          </reference>
        </references>
      </pivotArea>
    </format>
    <format dxfId="868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x v="399"/>
          </reference>
        </references>
      </pivotArea>
    </format>
    <format dxfId="868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x v="400"/>
          </reference>
        </references>
      </pivotArea>
    </format>
    <format dxfId="868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x v="455"/>
          </reference>
        </references>
      </pivotArea>
    </format>
    <format dxfId="868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x v="458"/>
          </reference>
        </references>
      </pivotArea>
    </format>
    <format dxfId="868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x v="456"/>
          </reference>
        </references>
      </pivotArea>
    </format>
    <format dxfId="868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x v="457"/>
          </reference>
        </references>
      </pivotArea>
    </format>
    <format dxfId="868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x v="401"/>
          </reference>
        </references>
      </pivotArea>
    </format>
    <format dxfId="868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x v="397"/>
          </reference>
        </references>
      </pivotArea>
    </format>
    <format dxfId="867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x v="398"/>
          </reference>
        </references>
      </pivotArea>
    </format>
    <format dxfId="867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x v="399"/>
          </reference>
        </references>
      </pivotArea>
    </format>
    <format dxfId="867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x v="400"/>
          </reference>
        </references>
      </pivotArea>
    </format>
    <format dxfId="867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x v="455"/>
          </reference>
        </references>
      </pivotArea>
    </format>
    <format dxfId="867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x v="458"/>
          </reference>
        </references>
      </pivotArea>
    </format>
    <format dxfId="867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x v="456"/>
          </reference>
        </references>
      </pivotArea>
    </format>
    <format dxfId="867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x v="457"/>
          </reference>
        </references>
      </pivotArea>
    </format>
    <format dxfId="867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x v="401"/>
          </reference>
        </references>
      </pivotArea>
    </format>
    <format dxfId="867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x v="397"/>
          </reference>
        </references>
      </pivotArea>
    </format>
    <format dxfId="867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x v="398"/>
          </reference>
        </references>
      </pivotArea>
    </format>
    <format dxfId="866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x v="399"/>
          </reference>
        </references>
      </pivotArea>
    </format>
    <format dxfId="866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x v="400"/>
          </reference>
        </references>
      </pivotArea>
    </format>
    <format dxfId="866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016"/>
          </reference>
          <reference field="82" count="1">
            <x v="425"/>
          </reference>
        </references>
      </pivotArea>
    </format>
    <format dxfId="866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018"/>
          </reference>
          <reference field="82" count="1">
            <x v="428"/>
          </reference>
        </references>
      </pivotArea>
    </format>
    <format dxfId="866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017"/>
          </reference>
          <reference field="82" count="1">
            <x v="426"/>
          </reference>
        </references>
      </pivotArea>
    </format>
    <format dxfId="866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004"/>
          </reference>
          <reference field="82" count="1">
            <x v="427"/>
          </reference>
        </references>
      </pivotArea>
    </format>
    <format dxfId="866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x v="406"/>
          </reference>
        </references>
      </pivotArea>
    </format>
    <format dxfId="866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x v="407"/>
          </reference>
        </references>
      </pivotArea>
    </format>
    <format dxfId="866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x v="408"/>
          </reference>
        </references>
      </pivotArea>
    </format>
    <format dxfId="866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x v="409"/>
          </reference>
        </references>
      </pivotArea>
    </format>
    <format dxfId="865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x v="406"/>
          </reference>
        </references>
      </pivotArea>
    </format>
    <format dxfId="865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x v="407"/>
          </reference>
        </references>
      </pivotArea>
    </format>
    <format dxfId="865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x v="408"/>
          </reference>
        </references>
      </pivotArea>
    </format>
    <format dxfId="865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x v="409"/>
          </reference>
        </references>
      </pivotArea>
    </format>
    <format dxfId="865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997"/>
          </reference>
          <reference field="82" count="1">
            <x v="393"/>
          </reference>
        </references>
      </pivotArea>
    </format>
    <format dxfId="865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999"/>
          </reference>
          <reference field="82" count="1">
            <x v="395"/>
          </reference>
        </references>
      </pivotArea>
    </format>
    <format dxfId="865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000"/>
          </reference>
          <reference field="82" count="1">
            <x v="396"/>
          </reference>
        </references>
      </pivotArea>
    </format>
    <format dxfId="865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998"/>
          </reference>
          <reference field="82" count="1">
            <x v="394"/>
          </reference>
        </references>
      </pivotArea>
    </format>
    <format dxfId="865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038"/>
          </reference>
          <reference field="82" count="1">
            <x v="452"/>
          </reference>
        </references>
      </pivotArea>
    </format>
    <format dxfId="865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997"/>
          </reference>
          <reference field="82" count="1">
            <x v="453"/>
          </reference>
        </references>
      </pivotArea>
    </format>
    <format dxfId="864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037"/>
          </reference>
          <reference field="82" count="1">
            <x v="451"/>
          </reference>
        </references>
      </pivotArea>
    </format>
    <format dxfId="864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x v="455"/>
          </reference>
        </references>
      </pivotArea>
    </format>
    <format dxfId="864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x v="458"/>
          </reference>
        </references>
      </pivotArea>
    </format>
    <format dxfId="864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x v="456"/>
          </reference>
        </references>
      </pivotArea>
    </format>
    <format dxfId="864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x v="457"/>
          </reference>
        </references>
      </pivotArea>
    </format>
    <format dxfId="864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x v="402"/>
          </reference>
        </references>
      </pivotArea>
    </format>
    <format dxfId="864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x v="403"/>
          </reference>
        </references>
      </pivotArea>
    </format>
    <format dxfId="864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x v="404"/>
          </reference>
        </references>
      </pivotArea>
    </format>
    <format dxfId="864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x v="405"/>
          </reference>
        </references>
      </pivotArea>
    </format>
    <format dxfId="864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x v="402"/>
          </reference>
        </references>
      </pivotArea>
    </format>
    <format dxfId="863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x v="403"/>
          </reference>
        </references>
      </pivotArea>
    </format>
    <format dxfId="863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x v="404"/>
          </reference>
        </references>
      </pivotArea>
    </format>
    <format dxfId="863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x v="405"/>
          </reference>
        </references>
      </pivotArea>
    </format>
    <format dxfId="8636">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128"/>
          </reference>
          <reference field="82" count="1">
            <x v="575"/>
          </reference>
        </references>
      </pivotArea>
    </format>
    <format dxfId="8635">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023"/>
          </reference>
          <reference field="82" count="1">
            <x v="434"/>
          </reference>
        </references>
      </pivotArea>
    </format>
    <format dxfId="863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x v="584"/>
          </reference>
        </references>
      </pivotArea>
    </format>
    <format dxfId="8633">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135"/>
          </reference>
          <reference field="82" count="1">
            <x v="585"/>
          </reference>
        </references>
      </pivotArea>
    </format>
    <format dxfId="8632">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x v="588"/>
          </reference>
        </references>
      </pivotArea>
    </format>
    <format dxfId="863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125"/>
          </reference>
          <reference field="82" count="1">
            <x v="572"/>
          </reference>
        </references>
      </pivotArea>
    </format>
    <format dxfId="863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x v="581"/>
          </reference>
        </references>
      </pivotArea>
    </format>
    <format dxfId="862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126"/>
          </reference>
          <reference field="82" count="1">
            <x v="573"/>
          </reference>
        </references>
      </pivotArea>
    </format>
    <format dxfId="8628">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129"/>
          </reference>
          <reference field="82" count="1">
            <x v="576"/>
          </reference>
        </references>
      </pivotArea>
    </format>
    <format dxfId="862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x v="581"/>
          </reference>
        </references>
      </pivotArea>
    </format>
    <format dxfId="862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100"/>
          </reference>
          <reference field="82" count="1">
            <x v="531"/>
          </reference>
        </references>
      </pivotArea>
    </format>
    <format dxfId="862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021"/>
          </reference>
          <reference field="82" count="1">
            <x v="431"/>
          </reference>
        </references>
      </pivotArea>
    </format>
    <format dxfId="862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x v="391"/>
          </reference>
        </references>
      </pivotArea>
    </format>
    <format dxfId="862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999"/>
          </reference>
          <reference field="82" count="1">
            <x v="444"/>
          </reference>
        </references>
      </pivotArea>
    </format>
    <format dxfId="862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037"/>
          </reference>
          <reference field="82" count="1">
            <x v="450"/>
          </reference>
        </references>
      </pivotArea>
    </format>
    <format dxfId="862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036"/>
          </reference>
          <reference field="82" count="1">
            <x v="448"/>
          </reference>
        </references>
      </pivotArea>
    </format>
    <format dxfId="862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035"/>
          </reference>
          <reference field="82" count="1">
            <x v="447"/>
          </reference>
        </references>
      </pivotArea>
    </format>
    <format dxfId="861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034"/>
          </reference>
          <reference field="82" count="1">
            <x v="446"/>
          </reference>
        </references>
      </pivotArea>
    </format>
    <format dxfId="861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x v="443"/>
          </reference>
        </references>
      </pivotArea>
    </format>
    <format dxfId="861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998"/>
          </reference>
          <reference field="82" count="1">
            <x v="449"/>
          </reference>
        </references>
      </pivotArea>
    </format>
    <format dxfId="861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033"/>
          </reference>
          <reference field="82" count="1">
            <x v="445"/>
          </reference>
        </references>
      </pivotArea>
    </format>
    <format dxfId="861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133"/>
          </reference>
          <reference field="82" count="1">
            <x v="583"/>
          </reference>
        </references>
      </pivotArea>
    </format>
    <format dxfId="861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x v="580"/>
          </reference>
        </references>
      </pivotArea>
    </format>
    <format dxfId="861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x v="391"/>
          </reference>
        </references>
      </pivotArea>
    </format>
    <format dxfId="861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x v="443"/>
          </reference>
        </references>
      </pivotArea>
    </format>
    <format dxfId="861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x v="582"/>
          </reference>
        </references>
      </pivotArea>
    </format>
    <format dxfId="861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015"/>
          </reference>
          <reference field="82" count="1">
            <x v="424"/>
          </reference>
        </references>
      </pivotArea>
    </format>
    <format dxfId="8609">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079"/>
          </reference>
          <reference field="82" count="1">
            <x v="502"/>
          </reference>
        </references>
      </pivotArea>
    </format>
    <format dxfId="8608">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081"/>
          </reference>
          <reference field="82" count="1">
            <x v="504"/>
          </reference>
        </references>
      </pivotArea>
    </format>
    <format dxfId="860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095"/>
          </reference>
          <reference field="82" count="1">
            <x v="524"/>
          </reference>
        </references>
      </pivotArea>
    </format>
    <format dxfId="860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094"/>
          </reference>
          <reference field="82" count="1">
            <x v="523"/>
          </reference>
        </references>
      </pivotArea>
    </format>
    <format dxfId="860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050"/>
          </reference>
          <reference field="82" count="1">
            <x v="465"/>
          </reference>
        </references>
      </pivotArea>
    </format>
    <format dxfId="860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051"/>
          </reference>
          <reference field="82" count="1">
            <x v="466"/>
          </reference>
        </references>
      </pivotArea>
    </format>
    <format dxfId="860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048"/>
          </reference>
          <reference field="82" count="1">
            <x v="463"/>
          </reference>
        </references>
      </pivotArea>
    </format>
    <format dxfId="860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049"/>
          </reference>
          <reference field="82" count="1">
            <x v="464"/>
          </reference>
        </references>
      </pivotArea>
    </format>
    <format dxfId="860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044"/>
          </reference>
          <reference field="82" count="1">
            <x v="459"/>
          </reference>
        </references>
      </pivotArea>
    </format>
    <format dxfId="860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045"/>
          </reference>
          <reference field="82" count="1">
            <x v="460"/>
          </reference>
        </references>
      </pivotArea>
    </format>
    <format dxfId="859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046"/>
          </reference>
          <reference field="82" count="1">
            <x v="461"/>
          </reference>
        </references>
      </pivotArea>
    </format>
    <format dxfId="8598">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003"/>
          </reference>
          <reference field="82" count="1">
            <x v="412"/>
          </reference>
        </references>
      </pivotArea>
    </format>
    <format dxfId="859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010"/>
          </reference>
          <reference field="82" count="1">
            <x v="413"/>
          </reference>
        </references>
      </pivotArea>
    </format>
    <format dxfId="859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012"/>
          </reference>
          <reference field="82" count="1">
            <x v="414"/>
          </reference>
        </references>
      </pivotArea>
    </format>
    <format dxfId="8595">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x v="496"/>
          </reference>
        </references>
      </pivotArea>
    </format>
    <format dxfId="8594">
      <pivotArea field="87" type="button" dataOnly="0" labelOnly="1" outline="0" axis="axisRow" fieldPosition="12"/>
    </format>
    <format dxfId="859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x v="1433"/>
          </reference>
        </references>
      </pivotArea>
    </format>
    <format dxfId="859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x v="1434"/>
          </reference>
        </references>
      </pivotArea>
    </format>
    <format dxfId="859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59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58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x v="1369"/>
          </reference>
        </references>
      </pivotArea>
    </format>
    <format dxfId="858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x v="1370"/>
          </reference>
        </references>
      </pivotArea>
    </format>
    <format dxfId="858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x v="1433"/>
          </reference>
        </references>
      </pivotArea>
    </format>
    <format dxfId="858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x v="1435"/>
          </reference>
        </references>
      </pivotArea>
    </format>
    <format dxfId="858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x v="1479"/>
          </reference>
        </references>
      </pivotArea>
    </format>
    <format dxfId="858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x v="1480"/>
          </reference>
        </references>
      </pivotArea>
    </format>
    <format dxfId="858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x v="1481"/>
          </reference>
        </references>
      </pivotArea>
    </format>
    <format dxfId="858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x v="1478"/>
          </reference>
        </references>
      </pivotArea>
    </format>
    <format dxfId="858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x v="1433"/>
          </reference>
        </references>
      </pivotArea>
    </format>
    <format dxfId="858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x v="1435"/>
          </reference>
        </references>
      </pivotArea>
    </format>
    <format dxfId="857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x v="1479"/>
          </reference>
        </references>
      </pivotArea>
    </format>
    <format dxfId="857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x v="1480"/>
          </reference>
        </references>
      </pivotArea>
    </format>
    <format dxfId="857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x v="1481"/>
          </reference>
        </references>
      </pivotArea>
    </format>
    <format dxfId="857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x v="1478"/>
          </reference>
        </references>
      </pivotArea>
    </format>
    <format dxfId="857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x v="1433"/>
          </reference>
        </references>
      </pivotArea>
    </format>
    <format dxfId="857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x v="1435"/>
          </reference>
        </references>
      </pivotArea>
    </format>
    <format dxfId="857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selected="0">
            <x v="518"/>
          </reference>
          <reference field="85" count="1" selected="0">
            <x v="7"/>
          </reference>
          <reference field="87" count="1">
            <x v="1455"/>
          </reference>
        </references>
      </pivotArea>
    </format>
    <format dxfId="857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20"/>
          </reference>
          <reference field="85" count="1" selected="0">
            <x v="7"/>
          </reference>
          <reference field="87" count="1">
            <x v="1445"/>
          </reference>
        </references>
      </pivotArea>
    </format>
    <format dxfId="857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103"/>
          </reference>
          <reference field="82" count="1" selected="0">
            <x v="540"/>
          </reference>
          <reference field="85" count="1" selected="0">
            <x v="0"/>
          </reference>
          <reference field="87" count="1">
            <x v="1474"/>
          </reference>
        </references>
      </pivotArea>
    </format>
    <format dxfId="857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 field="85" count="1" selected="0">
            <x v="0"/>
          </reference>
          <reference field="87" count="1">
            <x v="1477"/>
          </reference>
        </references>
      </pivotArea>
    </format>
    <format dxfId="856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selected="0">
            <x v="541"/>
          </reference>
          <reference field="85" count="1" selected="0">
            <x v="0"/>
          </reference>
          <reference field="87" count="1">
            <x v="1475"/>
          </reference>
        </references>
      </pivotArea>
    </format>
    <format dxfId="856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selected="0">
            <x v="542"/>
          </reference>
          <reference field="85" count="1" selected="0">
            <x v="0"/>
          </reference>
          <reference field="87" count="1">
            <x v="1476"/>
          </reference>
        </references>
      </pivotArea>
    </format>
    <format dxfId="856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x v="1433"/>
          </reference>
        </references>
      </pivotArea>
    </format>
    <format dxfId="856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x v="1434"/>
          </reference>
        </references>
      </pivotArea>
    </format>
    <format dxfId="856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56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56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x v="1369"/>
          </reference>
        </references>
      </pivotArea>
    </format>
    <format dxfId="856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x v="1370"/>
          </reference>
        </references>
      </pivotArea>
    </format>
    <format dxfId="8561">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8"/>
          </reference>
          <reference field="85" count="1" selected="0">
            <x v="7"/>
          </reference>
          <reference field="87" count="1">
            <x v="1450"/>
          </reference>
        </references>
      </pivotArea>
    </format>
    <format dxfId="8560">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selected="0">
            <x v="519"/>
          </reference>
          <reference field="85" count="1" selected="0">
            <x v="7"/>
          </reference>
          <reference field="87" count="1">
            <x v="1455"/>
          </reference>
        </references>
      </pivotArea>
    </format>
    <format dxfId="855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66"/>
          </reference>
          <reference field="82" count="1" selected="0">
            <x v="485"/>
          </reference>
          <reference field="85" count="1" selected="0">
            <x v="4"/>
          </reference>
          <reference field="87" count="1">
            <x v="1429"/>
          </reference>
        </references>
      </pivotArea>
    </format>
    <format dxfId="855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43"/>
          </reference>
          <reference field="82" count="1" selected="0">
            <x v="487"/>
          </reference>
          <reference field="85" count="1" selected="0">
            <x v="4"/>
          </reference>
          <reference field="87" count="1">
            <x v="1406"/>
          </reference>
        </references>
      </pivotArea>
    </format>
    <format dxfId="855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67"/>
          </reference>
          <reference field="82" count="1" selected="0">
            <x v="488"/>
          </reference>
          <reference field="85" count="1" selected="0">
            <x v="4"/>
          </reference>
          <reference field="87" count="1">
            <x v="1430"/>
          </reference>
        </references>
      </pivotArea>
    </format>
    <format dxfId="855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59"/>
          </reference>
          <reference field="82" count="1" selected="0">
            <x v="484"/>
          </reference>
          <reference field="85" count="1" selected="0">
            <x v="4"/>
          </reference>
          <reference field="87" count="1">
            <x v="1422"/>
          </reference>
        </references>
      </pivotArea>
    </format>
    <format dxfId="855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68"/>
          </reference>
          <reference field="82" count="1" selected="0">
            <x v="489"/>
          </reference>
          <reference field="85" count="1" selected="0">
            <x v="4"/>
          </reference>
          <reference field="87" count="1">
            <x v="1431"/>
          </reference>
        </references>
      </pivotArea>
    </format>
    <format dxfId="855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60"/>
          </reference>
          <reference field="82" count="1" selected="0">
            <x v="490"/>
          </reference>
          <reference field="85" count="1" selected="0">
            <x v="4"/>
          </reference>
          <reference field="87" count="1">
            <x v="1423"/>
          </reference>
        </references>
      </pivotArea>
    </format>
    <format dxfId="855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69"/>
          </reference>
          <reference field="82" count="1" selected="0">
            <x v="491"/>
          </reference>
          <reference field="85" count="1" selected="0">
            <x v="4"/>
          </reference>
          <reference field="87" count="1">
            <x v="1432"/>
          </reference>
        </references>
      </pivotArea>
    </format>
    <format dxfId="855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57"/>
          </reference>
          <reference field="82" count="1" selected="0">
            <x v="486"/>
          </reference>
          <reference field="85" count="1" selected="0">
            <x v="4"/>
          </reference>
          <reference field="87" count="1">
            <x v="1420"/>
          </reference>
        </references>
      </pivotArea>
    </format>
    <format dxfId="855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x v="1479"/>
          </reference>
        </references>
      </pivotArea>
    </format>
    <format dxfId="855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x v="1480"/>
          </reference>
        </references>
      </pivotArea>
    </format>
    <format dxfId="854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x v="1481"/>
          </reference>
        </references>
      </pivotArea>
    </format>
    <format dxfId="854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x v="1478"/>
          </reference>
        </references>
      </pivotArea>
    </format>
    <format dxfId="8547">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7"/>
          </reference>
          <reference field="85" count="1" selected="0">
            <x v="7"/>
          </reference>
          <reference field="87" count="1">
            <x v="1450"/>
          </reference>
        </references>
      </pivotArea>
    </format>
    <format dxfId="8546">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x v="1433"/>
          </reference>
        </references>
      </pivotArea>
    </format>
    <format dxfId="854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x v="1434"/>
          </reference>
        </references>
      </pivotArea>
    </format>
    <format dxfId="854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selected="0">
            <x v="541"/>
          </reference>
          <reference field="85" count="1" selected="0">
            <x v="0"/>
          </reference>
          <reference field="87" count="1">
            <x v="1475"/>
          </reference>
        </references>
      </pivotArea>
    </format>
    <format dxfId="854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selected="0">
            <x v="542"/>
          </reference>
          <reference field="85" count="1" selected="0">
            <x v="0"/>
          </reference>
          <reference field="87" count="1">
            <x v="1476"/>
          </reference>
        </references>
      </pivotArea>
    </format>
    <format dxfId="854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x v="1433"/>
          </reference>
        </references>
      </pivotArea>
    </format>
    <format dxfId="854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x v="1434"/>
          </reference>
        </references>
      </pivotArea>
    </format>
    <format dxfId="854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53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53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x v="1369"/>
          </reference>
        </references>
      </pivotArea>
    </format>
    <format dxfId="853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x v="1370"/>
          </reference>
        </references>
      </pivotArea>
    </format>
    <format dxfId="853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x v="1433"/>
          </reference>
        </references>
      </pivotArea>
    </format>
    <format dxfId="8535">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x v="1435"/>
          </reference>
        </references>
      </pivotArea>
    </format>
    <format dxfId="8534">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x v="1479"/>
          </reference>
        </references>
      </pivotArea>
    </format>
    <format dxfId="853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021"/>
          </reference>
          <reference field="82" count="1" selected="0">
            <x v="550"/>
          </reference>
          <reference field="85" count="1" selected="0">
            <x v="0"/>
          </reference>
          <reference field="87" count="1">
            <x v="1485"/>
          </reference>
        </references>
      </pivotArea>
    </format>
    <format dxfId="853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020"/>
          </reference>
          <reference field="82" count="1" selected="0">
            <x v="551"/>
          </reference>
          <reference field="85" count="1" selected="0">
            <x v="0"/>
          </reference>
          <reference field="87" count="1">
            <x v="1486"/>
          </reference>
        </references>
      </pivotArea>
    </format>
    <format dxfId="853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112"/>
          </reference>
          <reference field="82" count="1" selected="0">
            <x v="552"/>
          </reference>
          <reference field="85" count="1" selected="0">
            <x v="0"/>
          </reference>
          <reference field="87" count="1">
            <x v="1487"/>
          </reference>
        </references>
      </pivotArea>
    </format>
    <format dxfId="8530">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89"/>
          </reference>
          <reference field="82" count="1" selected="0">
            <x v="514"/>
          </reference>
          <reference field="85" count="1" selected="0">
            <x v="7"/>
          </reference>
          <reference field="87" count="1">
            <x v="1452"/>
          </reference>
        </references>
      </pivotArea>
    </format>
    <format dxfId="8529">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15"/>
          </reference>
          <reference field="85" count="1" selected="0">
            <x v="7"/>
          </reference>
          <reference field="87" count="1">
            <x v="1440"/>
          </reference>
        </references>
      </pivotArea>
    </format>
    <format dxfId="852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selected="0">
            <x v="0"/>
          </reference>
          <reference field="87" count="1">
            <x v="1482"/>
          </reference>
        </references>
      </pivotArea>
    </format>
    <format dxfId="852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selected="0">
            <x v="548"/>
          </reference>
          <reference field="85" count="1" selected="0">
            <x v="0"/>
          </reference>
          <reference field="87" count="1">
            <x v="1483"/>
          </reference>
        </references>
      </pivotArea>
    </format>
    <format dxfId="852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selected="0">
            <x v="549"/>
          </reference>
          <reference field="85" count="1" selected="0">
            <x v="0"/>
          </reference>
          <reference field="87" count="1">
            <x v="1484"/>
          </reference>
        </references>
      </pivotArea>
    </format>
    <format dxfId="852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x v="1436"/>
          </reference>
        </references>
      </pivotArea>
    </format>
    <format dxfId="852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74"/>
          </reference>
          <reference field="82" count="1" selected="0">
            <x v="497"/>
          </reference>
          <reference field="85" count="1" selected="0">
            <x v="7"/>
          </reference>
          <reference field="87" count="1">
            <x v="1437"/>
          </reference>
        </references>
      </pivotArea>
    </format>
    <format dxfId="8523">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30"/>
          </reference>
          <reference field="82" count="1" selected="0">
            <x v="579"/>
          </reference>
          <reference field="85" count="1" selected="0">
            <x v="7"/>
          </reference>
          <reference field="87" count="1">
            <x v="1510"/>
          </reference>
        </references>
      </pivotArea>
    </format>
    <format dxfId="852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selected="0">
            <x v="0"/>
          </reference>
          <reference field="87" count="1">
            <x v="1482"/>
          </reference>
        </references>
      </pivotArea>
    </format>
    <format dxfId="852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selected="0">
            <x v="548"/>
          </reference>
          <reference field="85" count="1" selected="0">
            <x v="0"/>
          </reference>
          <reference field="87" count="1">
            <x v="1483"/>
          </reference>
        </references>
      </pivotArea>
    </format>
    <format dxfId="852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selected="0">
            <x v="549"/>
          </reference>
          <reference field="85" count="1" selected="0">
            <x v="0"/>
          </reference>
          <reference field="87" count="1">
            <x v="1484"/>
          </reference>
        </references>
      </pivotArea>
    </format>
    <format dxfId="8519">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x v="1436"/>
          </reference>
        </references>
      </pivotArea>
    </format>
    <format dxfId="851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115"/>
          </reference>
          <reference field="82" count="1" selected="0">
            <x v="556"/>
          </reference>
          <reference field="85" count="1" selected="0">
            <x v="0"/>
          </reference>
          <reference field="87" count="1">
            <x v="1491"/>
          </reference>
        </references>
      </pivotArea>
    </format>
    <format dxfId="851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116"/>
          </reference>
          <reference field="82" count="1" selected="0">
            <x v="557"/>
          </reference>
          <reference field="85" count="1" selected="0">
            <x v="0"/>
          </reference>
          <reference field="87" count="1">
            <x v="1492"/>
          </reference>
        </references>
      </pivotArea>
    </format>
    <format dxfId="851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117"/>
          </reference>
          <reference field="82" count="1" selected="0">
            <x v="558"/>
          </reference>
          <reference field="85" count="1" selected="0">
            <x v="0"/>
          </reference>
          <reference field="87" count="1">
            <x v="1493"/>
          </reference>
        </references>
      </pivotArea>
    </format>
    <format dxfId="851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86"/>
          </reference>
          <reference field="82" count="1" selected="0">
            <x v="510"/>
          </reference>
          <reference field="85" count="1" selected="0">
            <x v="7"/>
          </reference>
          <reference field="87" count="1">
            <x v="1449"/>
          </reference>
        </references>
      </pivotArea>
    </format>
    <format dxfId="851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x v="1445"/>
          </reference>
        </references>
      </pivotArea>
    </format>
    <format dxfId="851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59"/>
          </reference>
          <reference field="82" count="1" selected="0">
            <x v="477"/>
          </reference>
          <reference field="85" count="1" selected="0">
            <x v="4"/>
          </reference>
          <reference field="87" count="1">
            <x v="1422"/>
          </reference>
        </references>
      </pivotArea>
    </format>
    <format dxfId="851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60"/>
          </reference>
          <reference field="82" count="1" selected="0">
            <x v="478"/>
          </reference>
          <reference field="85" count="1" selected="0">
            <x v="4"/>
          </reference>
          <reference field="87" count="1">
            <x v="1423"/>
          </reference>
        </references>
      </pivotArea>
    </format>
    <format dxfId="851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57"/>
          </reference>
          <reference field="82" count="1" selected="0">
            <x v="475"/>
          </reference>
          <reference field="85" count="1" selected="0">
            <x v="4"/>
          </reference>
          <reference field="87" count="1">
            <x v="1420"/>
          </reference>
        </references>
      </pivotArea>
    </format>
    <format dxfId="851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58"/>
          </reference>
          <reference field="82" count="1" selected="0">
            <x v="476"/>
          </reference>
          <reference field="85" count="1" selected="0">
            <x v="4"/>
          </reference>
          <reference field="87" count="1">
            <x v="1421"/>
          </reference>
        </references>
      </pivotArea>
    </format>
    <format dxfId="850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19"/>
          </reference>
          <reference field="82" count="1" selected="0">
            <x v="553"/>
          </reference>
          <reference field="85" count="1" selected="0">
            <x v="0"/>
          </reference>
          <reference field="87" count="1">
            <x v="1488"/>
          </reference>
        </references>
      </pivotArea>
    </format>
    <format dxfId="850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113"/>
          </reference>
          <reference field="82" count="1" selected="0">
            <x v="554"/>
          </reference>
          <reference field="85" count="1" selected="0">
            <x v="0"/>
          </reference>
          <reference field="87" count="1">
            <x v="1489"/>
          </reference>
        </references>
      </pivotArea>
    </format>
    <format dxfId="850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114"/>
          </reference>
          <reference field="82" count="1" selected="0">
            <x v="555"/>
          </reference>
          <reference field="85" count="1" selected="0">
            <x v="0"/>
          </reference>
          <reference field="87" count="1">
            <x v="1490"/>
          </reference>
        </references>
      </pivotArea>
    </format>
    <format dxfId="8506">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27"/>
          </reference>
          <reference field="82" count="1" selected="0">
            <x v="574"/>
          </reference>
          <reference field="85" count="1" selected="0">
            <x v="7"/>
          </reference>
          <reference field="87" count="1">
            <x v="1507"/>
          </reference>
        </references>
      </pivotArea>
    </format>
    <format dxfId="8505">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selected="0">
            <x v="517"/>
          </reference>
          <reference field="85" count="1" selected="0">
            <x v="7"/>
          </reference>
          <reference field="87" count="1">
            <x v="1454"/>
          </reference>
        </references>
      </pivotArea>
    </format>
    <format dxfId="850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01"/>
          </reference>
          <reference field="82" count="1" selected="0">
            <x v="535"/>
          </reference>
          <reference field="85" count="1" selected="0">
            <x v="0"/>
          </reference>
          <reference field="87" count="1">
            <x v="1469"/>
          </reference>
        </references>
      </pivotArea>
    </format>
    <format dxfId="850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015"/>
          </reference>
          <reference field="82" count="1" selected="0">
            <x v="534"/>
          </reference>
          <reference field="85" count="1" selected="0">
            <x v="0"/>
          </reference>
          <reference field="87" count="1">
            <x v="1468"/>
          </reference>
        </references>
      </pivotArea>
    </format>
    <format dxfId="850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102"/>
          </reference>
          <reference field="82" count="1" selected="0">
            <x v="536"/>
          </reference>
          <reference field="85" count="1" selected="0">
            <x v="0"/>
          </reference>
          <reference field="87" count="1">
            <x v="1470"/>
          </reference>
        </references>
      </pivotArea>
    </format>
    <format dxfId="850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7"/>
          </reference>
          <reference field="82" count="1" selected="0">
            <x v="589"/>
          </reference>
          <reference field="85" count="1" selected="0">
            <x v="7"/>
          </reference>
          <reference field="87" count="1">
            <x v="1518"/>
          </reference>
        </references>
      </pivotArea>
    </format>
    <format dxfId="850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selected="0">
            <x v="517"/>
          </reference>
          <reference field="85" count="1" selected="0">
            <x v="7"/>
          </reference>
          <reference field="87" count="1">
            <x v="1454"/>
          </reference>
        </references>
      </pivotArea>
    </format>
    <format dxfId="849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63"/>
          </reference>
          <reference field="82" count="1" selected="0">
            <x v="481"/>
          </reference>
          <reference field="85" count="1" selected="0">
            <x v="4"/>
          </reference>
          <reference field="87" count="1">
            <x v="1426"/>
          </reference>
        </references>
      </pivotArea>
    </format>
    <format dxfId="849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64"/>
          </reference>
          <reference field="82" count="1" selected="0">
            <x v="482"/>
          </reference>
          <reference field="85" count="1" selected="0">
            <x v="4"/>
          </reference>
          <reference field="87" count="1">
            <x v="1427"/>
          </reference>
        </references>
      </pivotArea>
    </format>
    <format dxfId="849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61"/>
          </reference>
          <reference field="82" count="1" selected="0">
            <x v="479"/>
          </reference>
          <reference field="85" count="1" selected="0">
            <x v="4"/>
          </reference>
          <reference field="87" count="1">
            <x v="1424"/>
          </reference>
        </references>
      </pivotArea>
    </format>
    <format dxfId="849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62"/>
          </reference>
          <reference field="82" count="1" selected="0">
            <x v="480"/>
          </reference>
          <reference field="85" count="1" selected="0">
            <x v="4"/>
          </reference>
          <reference field="87" count="1">
            <x v="1425"/>
          </reference>
        </references>
      </pivotArea>
    </format>
    <format dxfId="849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selected="0">
            <x v="0"/>
          </reference>
          <reference field="87" count="1">
            <x v="1465"/>
          </reference>
        </references>
      </pivotArea>
    </format>
    <format dxfId="849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selected="0">
            <x v="532"/>
          </reference>
          <reference field="85" count="1" selected="0">
            <x v="0"/>
          </reference>
          <reference field="87" count="1">
            <x v="1466"/>
          </reference>
        </references>
      </pivotArea>
    </format>
    <format dxfId="849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selected="0">
            <x v="533"/>
          </reference>
          <reference field="85" count="1" selected="0">
            <x v="0"/>
          </reference>
          <reference field="87" count="1">
            <x v="1467"/>
          </reference>
        </references>
      </pivotArea>
    </format>
    <format dxfId="8492">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x v="1445"/>
          </reference>
        </references>
      </pivotArea>
    </format>
    <format dxfId="849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selected="0">
            <x v="0"/>
          </reference>
          <reference field="87" count="1">
            <x v="1465"/>
          </reference>
        </references>
      </pivotArea>
    </format>
    <format dxfId="849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selected="0">
            <x v="532"/>
          </reference>
          <reference field="85" count="1" selected="0">
            <x v="0"/>
          </reference>
          <reference field="87" count="1">
            <x v="1466"/>
          </reference>
        </references>
      </pivotArea>
    </format>
    <format dxfId="848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selected="0">
            <x v="533"/>
          </reference>
          <reference field="85" count="1" selected="0">
            <x v="0"/>
          </reference>
          <reference field="87" count="1">
            <x v="1467"/>
          </reference>
        </references>
      </pivotArea>
    </format>
    <format dxfId="848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90"/>
          </reference>
          <reference field="82" count="1" selected="0">
            <x v="516"/>
          </reference>
          <reference field="85" count="1" selected="0">
            <x v="7"/>
          </reference>
          <reference field="87" count="1">
            <x v="1453"/>
          </reference>
        </references>
      </pivotArea>
    </format>
    <format dxfId="8487">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x v="1445"/>
          </reference>
        </references>
      </pivotArea>
    </format>
    <format dxfId="848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selected="0">
            <x v="0"/>
          </reference>
          <reference field="87" count="1">
            <x v="1471"/>
          </reference>
        </references>
      </pivotArea>
    </format>
    <format dxfId="848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selected="0">
            <x v="538"/>
          </reference>
          <reference field="85" count="1" selected="0">
            <x v="0"/>
          </reference>
          <reference field="87" count="1">
            <x v="1472"/>
          </reference>
        </references>
      </pivotArea>
    </format>
    <format dxfId="848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x v="1473"/>
          </reference>
        </references>
      </pivotArea>
    </format>
    <format dxfId="848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30"/>
          </reference>
          <reference field="82" count="1" selected="0">
            <x v="441"/>
          </reference>
          <reference field="85" count="1" selected="0">
            <x v="2"/>
          </reference>
          <reference field="87" count="1">
            <x v="1389"/>
          </reference>
        </references>
      </pivotArea>
    </format>
    <format dxfId="848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029"/>
          </reference>
          <reference field="82" count="1" selected="0">
            <x v="440"/>
          </reference>
          <reference field="85" count="1" selected="0">
            <x v="2"/>
          </reference>
          <reference field="87" count="1">
            <x v="1388"/>
          </reference>
        </references>
      </pivotArea>
    </format>
    <format dxfId="848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031"/>
          </reference>
          <reference field="82" count="1" selected="0">
            <x v="442"/>
          </reference>
          <reference field="85" count="1" selected="0">
            <x v="2"/>
          </reference>
          <reference field="87" count="1">
            <x v="1390"/>
          </reference>
        </references>
      </pivotArea>
    </format>
    <format dxfId="848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selected="0">
            <x v="0"/>
          </reference>
          <reference field="87" count="1">
            <x v="1471"/>
          </reference>
        </references>
      </pivotArea>
    </format>
    <format dxfId="847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x v="1473"/>
          </reference>
        </references>
      </pivotArea>
    </format>
    <format dxfId="8478">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0"/>
          </reference>
          <reference field="85" count="1" selected="0">
            <x v="7"/>
          </reference>
          <reference field="87" count="1">
            <x v="1440"/>
          </reference>
        </references>
      </pivotArea>
    </format>
    <format dxfId="847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433"/>
          </reference>
          <reference field="85" count="1" selected="0">
            <x v="4"/>
          </reference>
          <reference field="87" count="1">
            <x v="1361"/>
          </reference>
        </references>
      </pivotArea>
    </format>
    <format dxfId="847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412"/>
          </reference>
          <reference field="85" count="1" selected="0">
            <x v="4"/>
          </reference>
          <reference field="87" count="1">
            <x v="1362"/>
          </reference>
        </references>
      </pivotArea>
    </format>
    <format dxfId="847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3"/>
          </reference>
          <reference field="85" count="1" selected="0">
            <x v="4"/>
          </reference>
          <reference field="87" count="1">
            <x v="1369"/>
          </reference>
        </references>
      </pivotArea>
    </format>
    <format dxfId="847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6"/>
          </reference>
          <reference field="85" count="1" selected="0">
            <x v="4"/>
          </reference>
          <reference field="87" count="1">
            <x v="1370"/>
          </reference>
        </references>
      </pivotArea>
    </format>
    <format dxfId="847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x v="1352"/>
          </reference>
        </references>
      </pivotArea>
    </format>
    <format dxfId="847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x v="1353"/>
          </reference>
        </references>
      </pivotArea>
    </format>
    <format dxfId="847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x v="1354"/>
          </reference>
        </references>
      </pivotArea>
    </format>
    <format dxfId="847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x v="1355"/>
          </reference>
        </references>
      </pivotArea>
    </format>
    <format dxfId="8469">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07"/>
          </reference>
          <reference field="82" count="1" selected="0">
            <x v="526"/>
          </reference>
          <reference field="85" count="1" selected="0">
            <x v="3"/>
          </reference>
          <reference field="87" count="1">
            <x v="1460"/>
          </reference>
        </references>
      </pivotArea>
    </format>
    <format dxfId="846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96"/>
          </reference>
          <reference field="82" count="1" selected="0">
            <x v="525"/>
          </reference>
          <reference field="85" count="1" selected="0">
            <x v="3"/>
          </reference>
          <reference field="87" count="1">
            <x v="1459"/>
          </reference>
        </references>
      </pivotArea>
    </format>
    <format dxfId="846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x v="1352"/>
          </reference>
        </references>
      </pivotArea>
    </format>
    <format dxfId="846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x v="1353"/>
          </reference>
        </references>
      </pivotArea>
    </format>
    <format dxfId="846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x v="1354"/>
          </reference>
        </references>
      </pivotArea>
    </format>
    <format dxfId="846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x v="1355"/>
          </reference>
        </references>
      </pivotArea>
    </format>
    <format dxfId="846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x v="1352"/>
          </reference>
        </references>
      </pivotArea>
    </format>
    <format dxfId="846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x v="1353"/>
          </reference>
        </references>
      </pivotArea>
    </format>
    <format dxfId="846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x v="1354"/>
          </reference>
        </references>
      </pivotArea>
    </format>
    <format dxfId="846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x v="1355"/>
          </reference>
        </references>
      </pivotArea>
    </format>
    <format dxfId="845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x v="1473"/>
          </reference>
        </references>
      </pivotArea>
    </format>
    <format dxfId="845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012"/>
          </reference>
          <reference field="82" count="1" selected="0">
            <x v="560"/>
          </reference>
          <reference field="85" count="1" selected="0">
            <x v="0"/>
          </reference>
          <reference field="87" count="1">
            <x v="1495"/>
          </reference>
        </references>
      </pivotArea>
    </format>
    <format dxfId="845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017"/>
          </reference>
          <reference field="82" count="1" selected="0">
            <x v="559"/>
          </reference>
          <reference field="85" count="1" selected="0">
            <x v="0"/>
          </reference>
          <reference field="87" count="1">
            <x v="1494"/>
          </reference>
        </references>
      </pivotArea>
    </format>
    <format dxfId="845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x v="1450"/>
          </reference>
        </references>
      </pivotArea>
    </format>
    <format dxfId="845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x v="1451"/>
          </reference>
        </references>
      </pivotArea>
    </format>
    <format dxfId="845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13"/>
          </reference>
          <reference field="85" count="1" selected="0">
            <x v="7"/>
          </reference>
          <reference field="87" count="1">
            <x v="1445"/>
          </reference>
        </references>
      </pivotArea>
    </format>
    <format dxfId="845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54"/>
          </reference>
          <reference field="82" count="1" selected="0">
            <x v="471"/>
          </reference>
          <reference field="85" count="1" selected="0">
            <x v="4"/>
          </reference>
          <reference field="87" count="1">
            <x v="1417"/>
          </reference>
        </references>
      </pivotArea>
    </format>
    <format dxfId="845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44"/>
          </reference>
          <reference field="82" count="1" selected="0">
            <x v="472"/>
          </reference>
          <reference field="85" count="1" selected="0">
            <x v="4"/>
          </reference>
          <reference field="87" count="1">
            <x v="1407"/>
          </reference>
        </references>
      </pivotArea>
    </format>
    <format dxfId="845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55"/>
          </reference>
          <reference field="82" count="1" selected="0">
            <x v="473"/>
          </reference>
          <reference field="85" count="1" selected="0">
            <x v="4"/>
          </reference>
          <reference field="87" count="1">
            <x v="1418"/>
          </reference>
        </references>
      </pivotArea>
    </format>
    <format dxfId="845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56"/>
          </reference>
          <reference field="82" count="1" selected="0">
            <x v="474"/>
          </reference>
          <reference field="85" count="1" selected="0">
            <x v="4"/>
          </reference>
          <reference field="87" count="1">
            <x v="1419"/>
          </reference>
        </references>
      </pivotArea>
    </format>
    <format dxfId="844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110"/>
          </reference>
          <reference field="82" count="1" selected="0">
            <x v="566"/>
          </reference>
          <reference field="85" count="1" selected="0">
            <x v="0"/>
          </reference>
          <reference field="87" count="1">
            <x v="1483"/>
          </reference>
        </references>
      </pivotArea>
    </format>
    <format dxfId="844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124"/>
          </reference>
          <reference field="82" count="1" selected="0">
            <x v="570"/>
          </reference>
          <reference field="85" count="1" selected="0">
            <x v="0"/>
          </reference>
          <reference field="87" count="1">
            <x v="1503"/>
          </reference>
        </references>
      </pivotArea>
    </format>
    <format dxfId="844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029"/>
          </reference>
          <reference field="82" count="1" selected="0">
            <x v="571"/>
          </reference>
          <reference field="85" count="1" selected="0">
            <x v="0"/>
          </reference>
          <reference field="87" count="1">
            <x v="1504"/>
          </reference>
        </references>
      </pivotArea>
    </format>
    <format dxfId="844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selected="0">
            <x v="7"/>
          </reference>
          <reference field="87" count="1">
            <x v="1448"/>
          </reference>
        </references>
      </pivotArea>
    </format>
    <format dxfId="844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9"/>
          </reference>
          <reference field="85" count="1" selected="0">
            <x v="7"/>
          </reference>
          <reference field="87" count="1">
            <x v="1440"/>
          </reference>
        </references>
      </pivotArea>
    </format>
    <format dxfId="844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selected="0">
            <x v="3"/>
          </reference>
          <reference field="87" count="1">
            <x v="1517"/>
          </reference>
        </references>
      </pivotArea>
    </format>
    <format dxfId="844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x v="1450"/>
          </reference>
        </references>
      </pivotArea>
    </format>
    <format dxfId="8442">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x v="1451"/>
          </reference>
        </references>
      </pivotArea>
    </format>
    <format dxfId="844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x v="1450"/>
          </reference>
        </references>
      </pivotArea>
    </format>
    <format dxfId="844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x v="1451"/>
          </reference>
        </references>
      </pivotArea>
    </format>
    <format dxfId="843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13"/>
          </reference>
          <reference field="85" count="1" selected="0">
            <x v="7"/>
          </reference>
          <reference field="87" count="1">
            <x v="1445"/>
          </reference>
        </references>
      </pivotArea>
    </format>
    <format dxfId="843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52"/>
          </reference>
          <reference field="82" count="1" selected="0">
            <x v="467"/>
          </reference>
          <reference field="85" count="1" selected="0">
            <x v="4"/>
          </reference>
          <reference field="87" count="1">
            <x v="1415"/>
          </reference>
        </references>
      </pivotArea>
    </format>
    <format dxfId="843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50"/>
          </reference>
          <reference field="82" count="1" selected="0">
            <x v="468"/>
          </reference>
          <reference field="85" count="1" selected="0">
            <x v="4"/>
          </reference>
          <reference field="87" count="1">
            <x v="1413"/>
          </reference>
        </references>
      </pivotArea>
    </format>
    <format dxfId="843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53"/>
          </reference>
          <reference field="82" count="1" selected="0">
            <x v="469"/>
          </reference>
          <reference field="85" count="1" selected="0">
            <x v="4"/>
          </reference>
          <reference field="87" count="1">
            <x v="1416"/>
          </reference>
        </references>
      </pivotArea>
    </format>
    <format dxfId="843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45"/>
          </reference>
          <reference field="82" count="1" selected="0">
            <x v="470"/>
          </reference>
          <reference field="85" count="1" selected="0">
            <x v="4"/>
          </reference>
          <reference field="87" count="1">
            <x v="1408"/>
          </reference>
        </references>
      </pivotArea>
    </format>
    <format dxfId="843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122"/>
          </reference>
          <reference field="82" count="1" selected="0">
            <x v="567"/>
          </reference>
          <reference field="85" count="1" selected="0">
            <x v="0"/>
          </reference>
          <reference field="87" count="1">
            <x v="1501"/>
          </reference>
        </references>
      </pivotArea>
    </format>
    <format dxfId="843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109"/>
          </reference>
          <reference field="82" count="1" selected="0">
            <x v="568"/>
          </reference>
          <reference field="85" count="1" selected="0">
            <x v="0"/>
          </reference>
          <reference field="87" count="1">
            <x v="1481"/>
          </reference>
        </references>
      </pivotArea>
    </format>
    <format dxfId="8432">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123"/>
          </reference>
          <reference field="82" count="1" selected="0">
            <x v="569"/>
          </reference>
          <reference field="85" count="1" selected="0">
            <x v="0"/>
          </reference>
          <reference field="87" count="1">
            <x v="1502"/>
          </reference>
        </references>
      </pivotArea>
    </format>
    <format dxfId="8431">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selected="0">
            <x v="7"/>
          </reference>
          <reference field="87" count="1">
            <x v="1448"/>
          </reference>
        </references>
      </pivotArea>
    </format>
    <format dxfId="843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selected="0">
            <x v="3"/>
          </reference>
          <reference field="87" count="1">
            <x v="1517"/>
          </reference>
        </references>
      </pivotArea>
    </format>
    <format dxfId="842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x v="1450"/>
          </reference>
        </references>
      </pivotArea>
    </format>
    <format dxfId="842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x v="1451"/>
          </reference>
        </references>
      </pivotArea>
    </format>
    <format dxfId="842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96"/>
          </reference>
          <reference field="82" count="1" selected="0">
            <x v="530"/>
          </reference>
          <reference field="85" count="1" selected="0">
            <x v="3"/>
          </reference>
          <reference field="87" count="1">
            <x v="1459"/>
          </reference>
        </references>
      </pivotArea>
    </format>
    <format dxfId="842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99"/>
          </reference>
          <reference field="82" count="1" selected="0">
            <x v="529"/>
          </reference>
          <reference field="85" count="1" selected="0">
            <x v="3"/>
          </reference>
          <reference field="87" count="1">
            <x v="1463"/>
          </reference>
        </references>
      </pivotArea>
    </format>
    <format dxfId="842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97"/>
          </reference>
          <reference field="82" count="1" selected="0">
            <x v="527"/>
          </reference>
          <reference field="85" count="1" selected="0">
            <x v="3"/>
          </reference>
          <reference field="87" count="1">
            <x v="1461"/>
          </reference>
        </references>
      </pivotArea>
    </format>
    <format dxfId="842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98"/>
          </reference>
          <reference field="82" count="1" selected="0">
            <x v="528"/>
          </reference>
          <reference field="85" count="1" selected="0">
            <x v="3"/>
          </reference>
          <reference field="87" count="1">
            <x v="1462"/>
          </reference>
        </references>
      </pivotArea>
    </format>
    <format dxfId="8423">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selected="0">
            <x v="4"/>
          </reference>
          <reference field="87" count="1">
            <x v="1428"/>
          </reference>
        </references>
      </pivotArea>
    </format>
    <format dxfId="842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118"/>
          </reference>
          <reference field="82" count="1" selected="0">
            <x v="561"/>
          </reference>
          <reference field="85" count="1" selected="0">
            <x v="0"/>
          </reference>
          <reference field="87" count="1">
            <x v="1496"/>
          </reference>
        </references>
      </pivotArea>
    </format>
    <format dxfId="842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119"/>
          </reference>
          <reference field="82" count="1" selected="0">
            <x v="562"/>
          </reference>
          <reference field="85" count="1" selected="0">
            <x v="0"/>
          </reference>
          <reference field="87" count="1">
            <x v="1497"/>
          </reference>
        </references>
      </pivotArea>
    </format>
    <format dxfId="842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030"/>
          </reference>
          <reference field="82" count="1" selected="0">
            <x v="563"/>
          </reference>
          <reference field="85" count="1" selected="0">
            <x v="0"/>
          </reference>
          <reference field="87" count="1">
            <x v="1498"/>
          </reference>
        </references>
      </pivotArea>
    </format>
    <format dxfId="841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selected="0">
            <x v="2"/>
          </reference>
          <reference field="87" count="1">
            <x v="1384"/>
          </reference>
        </references>
      </pivotArea>
    </format>
    <format dxfId="841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selected="0">
            <x v="437"/>
          </reference>
          <reference field="85" count="1" selected="0">
            <x v="2"/>
          </reference>
          <reference field="87" count="1">
            <x v="1385"/>
          </reference>
        </references>
      </pivotArea>
    </format>
    <format dxfId="841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selected="0">
            <x v="435"/>
          </reference>
          <reference field="85" count="1" selected="0">
            <x v="2"/>
          </reference>
          <reference field="87" count="1">
            <x v="1383"/>
          </reference>
        </references>
      </pivotArea>
    </format>
    <format dxfId="8416">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selected="0">
            <x v="4"/>
          </reference>
          <reference field="87" count="1">
            <x v="1428"/>
          </reference>
        </references>
      </pivotArea>
    </format>
    <format dxfId="841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120"/>
          </reference>
          <reference field="82" count="1" selected="0">
            <x v="564"/>
          </reference>
          <reference field="85" count="1" selected="0">
            <x v="0"/>
          </reference>
          <reference field="87" count="1">
            <x v="1499"/>
          </reference>
        </references>
      </pivotArea>
    </format>
    <format dxfId="841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121"/>
          </reference>
          <reference field="82" count="1" selected="0">
            <x v="565"/>
          </reference>
          <reference field="85" count="1" selected="0">
            <x v="0"/>
          </reference>
          <reference field="87" count="1">
            <x v="1500"/>
          </reference>
        </references>
      </pivotArea>
    </format>
    <format dxfId="841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110"/>
          </reference>
          <reference field="82" count="1" selected="0">
            <x v="566"/>
          </reference>
          <reference field="85" count="1" selected="0">
            <x v="0"/>
          </reference>
          <reference field="87" count="1">
            <x v="1483"/>
          </reference>
        </references>
      </pivotArea>
    </format>
    <format dxfId="841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selected="0">
            <x v="2"/>
          </reference>
          <reference field="87" count="1">
            <x v="1384"/>
          </reference>
        </references>
      </pivotArea>
    </format>
    <format dxfId="841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selected="0">
            <x v="437"/>
          </reference>
          <reference field="85" count="1" selected="0">
            <x v="2"/>
          </reference>
          <reference field="87" count="1">
            <x v="1385"/>
          </reference>
        </references>
      </pivotArea>
    </format>
    <format dxfId="841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027"/>
          </reference>
          <reference field="82" count="1" selected="0">
            <x v="438"/>
          </reference>
          <reference field="85" count="1" selected="0">
            <x v="2"/>
          </reference>
          <reference field="87" count="1">
            <x v="1386"/>
          </reference>
        </references>
      </pivotArea>
    </format>
    <format dxfId="840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selected="0">
            <x v="435"/>
          </reference>
          <reference field="85" count="1" selected="0">
            <x v="2"/>
          </reference>
          <reference field="87" count="1">
            <x v="1383"/>
          </reference>
        </references>
      </pivotArea>
    </format>
    <format dxfId="840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028"/>
          </reference>
          <reference field="82" count="1" selected="0">
            <x v="439"/>
          </reference>
          <reference field="85" count="1" selected="0">
            <x v="2"/>
          </reference>
          <reference field="87" count="1">
            <x v="1387"/>
          </reference>
        </references>
      </pivotArea>
    </format>
    <format dxfId="840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83"/>
          </reference>
          <reference field="82" count="1" selected="0">
            <x v="506"/>
          </reference>
          <reference field="85" count="1" selected="0">
            <x v="7"/>
          </reference>
          <reference field="87" count="1">
            <x v="1446"/>
          </reference>
        </references>
      </pivotArea>
    </format>
    <format dxfId="840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84"/>
          </reference>
          <reference field="82" count="1" selected="0">
            <x v="507"/>
          </reference>
          <reference field="85" count="1" selected="0">
            <x v="7"/>
          </reference>
          <reference field="87" count="1">
            <x v="1447"/>
          </reference>
        </references>
      </pivotArea>
    </format>
    <format dxfId="840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15"/>
          </reference>
          <reference field="85" count="1" selected="0">
            <x v="4"/>
          </reference>
          <reference field="87" count="1">
            <x v="1372"/>
          </reference>
        </references>
      </pivotArea>
    </format>
    <format dxfId="840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selected="0">
            <x v="417"/>
          </reference>
          <reference field="85" count="1" selected="0">
            <x v="4"/>
          </reference>
          <reference field="87" count="1">
            <x v="1373"/>
          </reference>
        </references>
      </pivotArea>
    </format>
    <format dxfId="840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x v="1354"/>
          </reference>
        </references>
      </pivotArea>
    </format>
    <format dxfId="840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selected="0">
            <x v="416"/>
          </reference>
          <reference field="85" count="1" selected="0">
            <x v="4"/>
          </reference>
          <reference field="87" count="1">
            <x v="1370"/>
          </reference>
        </references>
      </pivotArea>
    </format>
    <format dxfId="840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21"/>
          </reference>
          <reference field="85" count="1" selected="0">
            <x v="4"/>
          </reference>
          <reference field="87" count="1">
            <x v="1372"/>
          </reference>
        </references>
      </pivotArea>
    </format>
    <format dxfId="840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selected="0">
            <x v="422"/>
          </reference>
          <reference field="85" count="1" selected="0">
            <x v="4"/>
          </reference>
          <reference field="87" count="1">
            <x v="1373"/>
          </reference>
        </references>
      </pivotArea>
    </format>
    <format dxfId="839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selected="0">
            <x v="423"/>
          </reference>
          <reference field="85" count="1" selected="0">
            <x v="4"/>
          </reference>
          <reference field="87" count="1">
            <x v="1354"/>
          </reference>
        </references>
      </pivotArea>
    </format>
    <format dxfId="839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selected="0">
            <x v="420"/>
          </reference>
          <reference field="85" count="1" selected="0">
            <x v="4"/>
          </reference>
          <reference field="87" count="1">
            <x v="1370"/>
          </reference>
        </references>
      </pivotArea>
    </format>
    <format dxfId="839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013"/>
          </reference>
          <reference field="82" count="1" selected="0">
            <x v="418"/>
          </reference>
          <reference field="85" count="1" selected="0">
            <x v="4"/>
          </reference>
          <reference field="87" count="1">
            <x v="1372"/>
          </reference>
        </references>
      </pivotArea>
    </format>
    <format dxfId="839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94"/>
          </reference>
          <reference field="82" count="1" selected="0">
            <x v="419"/>
          </reference>
          <reference field="85" count="1" selected="0">
            <x v="4"/>
          </reference>
          <reference field="87" count="1">
            <x v="1353"/>
          </reference>
        </references>
      </pivotArea>
    </format>
    <format dxfId="839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x v="1370"/>
          </reference>
        </references>
      </pivotArea>
    </format>
    <format dxfId="839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x v="1363"/>
          </reference>
        </references>
      </pivotArea>
    </format>
    <format dxfId="839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87"/>
          </reference>
          <reference field="82" count="1" selected="0">
            <x v="521"/>
          </reference>
          <reference field="85" count="1" selected="0">
            <x v="7"/>
          </reference>
          <reference field="87" count="1">
            <x v="1450"/>
          </reference>
        </references>
      </pivotArea>
    </format>
    <format dxfId="839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93"/>
          </reference>
          <reference field="82" count="1" selected="0">
            <x v="522"/>
          </reference>
          <reference field="85" count="1" selected="0">
            <x v="7"/>
          </reference>
          <reference field="87" count="1">
            <x v="1456"/>
          </reference>
        </references>
      </pivotArea>
    </format>
    <format dxfId="8391">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39"/>
          </reference>
          <reference field="82" count="1" selected="0">
            <x v="454"/>
          </reference>
          <reference field="85" count="1" selected="0">
            <x v="2"/>
          </reference>
          <reference field="87" count="1">
            <x v="1402"/>
          </reference>
        </references>
      </pivotArea>
    </format>
    <format dxfId="8390">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019"/>
          </reference>
          <reference field="82" count="1" selected="0">
            <x v="429"/>
          </reference>
          <reference field="85" count="1" selected="0">
            <x v="4"/>
          </reference>
          <reference field="87" count="1">
            <x v="1378"/>
          </reference>
        </references>
      </pivotArea>
    </format>
    <format dxfId="8389">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020"/>
          </reference>
          <reference field="82" count="1" selected="0">
            <x v="430"/>
          </reference>
          <reference field="85" count="1" selected="0">
            <x v="4"/>
          </reference>
          <reference field="87" count="1">
            <x v="1379"/>
          </reference>
        </references>
      </pivotArea>
    </format>
    <format dxfId="8388">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022"/>
          </reference>
          <reference field="82" count="1" selected="0">
            <x v="432"/>
          </reference>
          <reference field="85" count="1" selected="0">
            <x v="4"/>
          </reference>
          <reference field="87" count="1">
            <x v="1381"/>
          </reference>
        </references>
      </pivotArea>
    </format>
    <format dxfId="838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x v="1403"/>
          </reference>
        </references>
      </pivotArea>
    </format>
    <format dxfId="838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x v="1406"/>
          </reference>
        </references>
      </pivotArea>
    </format>
    <format dxfId="838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x v="1404"/>
          </reference>
        </references>
      </pivotArea>
    </format>
    <format dxfId="838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x v="1405"/>
          </reference>
        </references>
      </pivotArea>
    </format>
    <format dxfId="838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x v="1364"/>
          </reference>
        </references>
      </pivotArea>
    </format>
    <format dxfId="838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x v="1360"/>
          </reference>
        </references>
      </pivotArea>
    </format>
    <format dxfId="838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38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37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x v="1363"/>
          </reference>
        </references>
      </pivotArea>
    </format>
    <format dxfId="837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x v="1403"/>
          </reference>
        </references>
      </pivotArea>
    </format>
    <format dxfId="837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x v="1406"/>
          </reference>
        </references>
      </pivotArea>
    </format>
    <format dxfId="837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x v="1404"/>
          </reference>
        </references>
      </pivotArea>
    </format>
    <format dxfId="837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x v="1405"/>
          </reference>
        </references>
      </pivotArea>
    </format>
    <format dxfId="837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x v="1364"/>
          </reference>
        </references>
      </pivotArea>
    </format>
    <format dxfId="837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x v="1360"/>
          </reference>
        </references>
      </pivotArea>
    </format>
    <format dxfId="837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37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37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x v="1363"/>
          </reference>
        </references>
      </pivotArea>
    </format>
    <format dxfId="836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x v="1403"/>
          </reference>
        </references>
      </pivotArea>
    </format>
    <format dxfId="836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x v="1406"/>
          </reference>
        </references>
      </pivotArea>
    </format>
    <format dxfId="836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x v="1404"/>
          </reference>
        </references>
      </pivotArea>
    </format>
    <format dxfId="836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x v="1405"/>
          </reference>
        </references>
      </pivotArea>
    </format>
    <format dxfId="836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x v="1364"/>
          </reference>
        </references>
      </pivotArea>
    </format>
    <format dxfId="836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x v="1360"/>
          </reference>
        </references>
      </pivotArea>
    </format>
    <format dxfId="836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x v="1361"/>
          </reference>
        </references>
      </pivotArea>
    </format>
    <format dxfId="836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x v="1362"/>
          </reference>
        </references>
      </pivotArea>
    </format>
    <format dxfId="836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x v="1363"/>
          </reference>
        </references>
      </pivotArea>
    </format>
    <format dxfId="836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016"/>
          </reference>
          <reference field="82" count="1" selected="0">
            <x v="425"/>
          </reference>
          <reference field="85" count="1" selected="0">
            <x v="4"/>
          </reference>
          <reference field="87" count="1">
            <x v="1375"/>
          </reference>
        </references>
      </pivotArea>
    </format>
    <format dxfId="835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018"/>
          </reference>
          <reference field="82" count="1" selected="0">
            <x v="428"/>
          </reference>
          <reference field="85" count="1" selected="0">
            <x v="4"/>
          </reference>
          <reference field="87" count="1">
            <x v="1377"/>
          </reference>
        </references>
      </pivotArea>
    </format>
    <format dxfId="835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017"/>
          </reference>
          <reference field="82" count="1" selected="0">
            <x v="426"/>
          </reference>
          <reference field="85" count="1" selected="0">
            <x v="4"/>
          </reference>
          <reference field="87" count="1">
            <x v="1376"/>
          </reference>
        </references>
      </pivotArea>
    </format>
    <format dxfId="835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004"/>
          </reference>
          <reference field="82" count="1" selected="0">
            <x v="427"/>
          </reference>
          <reference field="85" count="1" selected="0">
            <x v="4"/>
          </reference>
          <reference field="87" count="1">
            <x v="1363"/>
          </reference>
        </references>
      </pivotArea>
    </format>
    <format dxfId="835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selected="0">
            <x v="406"/>
          </reference>
          <reference field="85" count="1" selected="0">
            <x v="4"/>
          </reference>
          <reference field="87" count="1">
            <x v="1365"/>
          </reference>
        </references>
      </pivotArea>
    </format>
    <format dxfId="835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selected="0">
            <x v="407"/>
          </reference>
          <reference field="85" count="1" selected="0">
            <x v="4"/>
          </reference>
          <reference field="87" count="1">
            <x v="1366"/>
          </reference>
        </references>
      </pivotArea>
    </format>
    <format dxfId="835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selected="0">
            <x v="408"/>
          </reference>
          <reference field="85" count="1" selected="0">
            <x v="4"/>
          </reference>
          <reference field="87" count="1">
            <x v="1367"/>
          </reference>
        </references>
      </pivotArea>
    </format>
    <format dxfId="835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selected="0">
            <x v="409"/>
          </reference>
          <reference field="85" count="1" selected="0">
            <x v="4"/>
          </reference>
          <reference field="87" count="1">
            <x v="1368"/>
          </reference>
        </references>
      </pivotArea>
    </format>
    <format dxfId="835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selected="0">
            <x v="406"/>
          </reference>
          <reference field="85" count="1" selected="0">
            <x v="4"/>
          </reference>
          <reference field="87" count="1">
            <x v="1365"/>
          </reference>
        </references>
      </pivotArea>
    </format>
    <format dxfId="835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selected="0">
            <x v="407"/>
          </reference>
          <reference field="85" count="1" selected="0">
            <x v="4"/>
          </reference>
          <reference field="87" count="1">
            <x v="1366"/>
          </reference>
        </references>
      </pivotArea>
    </format>
    <format dxfId="835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selected="0">
            <x v="408"/>
          </reference>
          <reference field="85" count="1" selected="0">
            <x v="4"/>
          </reference>
          <reference field="87" count="1">
            <x v="1367"/>
          </reference>
        </references>
      </pivotArea>
    </format>
    <format dxfId="834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selected="0">
            <x v="409"/>
          </reference>
          <reference field="85" count="1" selected="0">
            <x v="4"/>
          </reference>
          <reference field="87" count="1">
            <x v="1368"/>
          </reference>
        </references>
      </pivotArea>
    </format>
    <format dxfId="834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97"/>
          </reference>
          <reference field="82" count="1" selected="0">
            <x v="393"/>
          </reference>
          <reference field="85" count="1" selected="0">
            <x v="4"/>
          </reference>
          <reference field="87" count="1">
            <x v="1356"/>
          </reference>
        </references>
      </pivotArea>
    </format>
    <format dxfId="834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99"/>
          </reference>
          <reference field="82" count="1" selected="0">
            <x v="395"/>
          </reference>
          <reference field="85" count="1" selected="0">
            <x v="4"/>
          </reference>
          <reference field="87" count="1">
            <x v="1358"/>
          </reference>
        </references>
      </pivotArea>
    </format>
    <format dxfId="834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000"/>
          </reference>
          <reference field="82" count="1" selected="0">
            <x v="396"/>
          </reference>
          <reference field="85" count="1" selected="0">
            <x v="4"/>
          </reference>
          <reference field="87" count="1">
            <x v="1359"/>
          </reference>
        </references>
      </pivotArea>
    </format>
    <format dxfId="834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98"/>
          </reference>
          <reference field="82" count="1" selected="0">
            <x v="394"/>
          </reference>
          <reference field="85" count="1" selected="0">
            <x v="4"/>
          </reference>
          <reference field="87" count="1">
            <x v="1357"/>
          </reference>
        </references>
      </pivotArea>
    </format>
    <format dxfId="834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038"/>
          </reference>
          <reference field="82" count="1" selected="0">
            <x v="452"/>
          </reference>
          <reference field="85" count="1" selected="0">
            <x v="2"/>
          </reference>
          <reference field="87" count="1">
            <x v="1400"/>
          </reference>
        </references>
      </pivotArea>
    </format>
    <format dxfId="834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97"/>
          </reference>
          <reference field="82" count="1" selected="0">
            <x v="453"/>
          </reference>
          <reference field="85" count="1" selected="0">
            <x v="2"/>
          </reference>
          <reference field="87" count="1">
            <x v="1401"/>
          </reference>
        </references>
      </pivotArea>
    </format>
    <format dxfId="834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037"/>
          </reference>
          <reference field="82" count="1" selected="0">
            <x v="451"/>
          </reference>
          <reference field="85" count="1" selected="0">
            <x v="2"/>
          </reference>
          <reference field="87" count="1">
            <x v="1399"/>
          </reference>
        </references>
      </pivotArea>
    </format>
    <format dxfId="834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x v="1403"/>
          </reference>
        </references>
      </pivotArea>
    </format>
    <format dxfId="834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x v="1406"/>
          </reference>
        </references>
      </pivotArea>
    </format>
    <format dxfId="833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x v="1404"/>
          </reference>
        </references>
      </pivotArea>
    </format>
    <format dxfId="833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x v="1405"/>
          </reference>
        </references>
      </pivotArea>
    </format>
    <format dxfId="833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402"/>
          </reference>
          <reference field="85" count="1" selected="0">
            <x v="4"/>
          </reference>
          <reference field="87" count="1">
            <x v="1360"/>
          </reference>
        </references>
      </pivotArea>
    </format>
    <format dxfId="833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403"/>
          </reference>
          <reference field="85" count="1" selected="0">
            <x v="4"/>
          </reference>
          <reference field="87" count="1">
            <x v="1361"/>
          </reference>
        </references>
      </pivotArea>
    </format>
    <format dxfId="833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404"/>
          </reference>
          <reference field="85" count="1" selected="0">
            <x v="4"/>
          </reference>
          <reference field="87" count="1">
            <x v="1362"/>
          </reference>
        </references>
      </pivotArea>
    </format>
    <format dxfId="833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5"/>
          </reference>
          <reference field="85" count="1" selected="0">
            <x v="4"/>
          </reference>
          <reference field="87" count="1">
            <x v="1363"/>
          </reference>
        </references>
      </pivotArea>
    </format>
    <format dxfId="833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402"/>
          </reference>
          <reference field="85" count="1" selected="0">
            <x v="4"/>
          </reference>
          <reference field="87" count="1">
            <x v="1360"/>
          </reference>
        </references>
      </pivotArea>
    </format>
    <format dxfId="833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403"/>
          </reference>
          <reference field="85" count="1" selected="0">
            <x v="4"/>
          </reference>
          <reference field="87" count="1">
            <x v="1361"/>
          </reference>
        </references>
      </pivotArea>
    </format>
    <format dxfId="833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404"/>
          </reference>
          <reference field="85" count="1" selected="0">
            <x v="4"/>
          </reference>
          <reference field="87" count="1">
            <x v="1362"/>
          </reference>
        </references>
      </pivotArea>
    </format>
    <format dxfId="833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5"/>
          </reference>
          <reference field="85" count="1" selected="0">
            <x v="4"/>
          </reference>
          <reference field="87" count="1">
            <x v="1363"/>
          </reference>
        </references>
      </pivotArea>
    </format>
    <format dxfId="8329">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28"/>
          </reference>
          <reference field="82" count="1" selected="0">
            <x v="575"/>
          </reference>
          <reference field="85" count="1" selected="0">
            <x v="3"/>
          </reference>
          <reference field="87" count="1">
            <x v="1508"/>
          </reference>
        </references>
      </pivotArea>
    </format>
    <format dxfId="8328">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023"/>
          </reference>
          <reference field="82" count="1" selected="0">
            <x v="434"/>
          </reference>
          <reference field="85" count="1" selected="0">
            <x v="4"/>
          </reference>
          <reference field="87" count="1">
            <x v="1382"/>
          </reference>
        </references>
      </pivotArea>
    </format>
    <format dxfId="8327">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4"/>
          </reference>
          <reference field="85" count="1" selected="0">
            <x v="7"/>
          </reference>
          <reference field="87" count="1">
            <x v="1514"/>
          </reference>
        </references>
      </pivotArea>
    </format>
    <format dxfId="8326">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35"/>
          </reference>
          <reference field="82" count="1" selected="0">
            <x v="585"/>
          </reference>
          <reference field="85" count="1" selected="0">
            <x v="3"/>
          </reference>
          <reference field="87" count="1">
            <x v="1515"/>
          </reference>
        </references>
      </pivotArea>
    </format>
    <format dxfId="8325">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8"/>
          </reference>
          <reference field="85" count="1" selected="0">
            <x v="7"/>
          </reference>
          <reference field="87" count="1">
            <x v="1514"/>
          </reference>
        </references>
      </pivotArea>
    </format>
    <format dxfId="8324">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125"/>
          </reference>
          <reference field="82" count="1" selected="0">
            <x v="572"/>
          </reference>
          <reference field="85" count="1" selected="0">
            <x v="7"/>
          </reference>
          <reference field="87" count="1">
            <x v="1505"/>
          </reference>
        </references>
      </pivotArea>
    </format>
    <format dxfId="8323">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 field="85" count="1" selected="0">
            <x v="7"/>
          </reference>
          <reference field="87" count="1">
            <x v="1512"/>
          </reference>
        </references>
      </pivotArea>
    </format>
    <format dxfId="8322">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126"/>
          </reference>
          <reference field="82" count="1" selected="0">
            <x v="573"/>
          </reference>
          <reference field="85" count="1" selected="0">
            <x v="7"/>
          </reference>
          <reference field="87" count="1">
            <x v="1506"/>
          </reference>
        </references>
      </pivotArea>
    </format>
    <format dxfId="8321">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29"/>
          </reference>
          <reference field="82" count="1" selected="0">
            <x v="576"/>
          </reference>
          <reference field="85" count="1" selected="0">
            <x v="2"/>
          </reference>
          <reference field="87" count="1">
            <x v="1509"/>
          </reference>
        </references>
      </pivotArea>
    </format>
    <format dxfId="8320">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 field="85" count="1" selected="0">
            <x v="7"/>
          </reference>
          <reference field="87" count="1">
            <x v="1512"/>
          </reference>
        </references>
      </pivotArea>
    </format>
    <format dxfId="8319">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00"/>
          </reference>
          <reference field="82" count="1" selected="0">
            <x v="531"/>
          </reference>
          <reference field="85" count="1" selected="0">
            <x v="3"/>
          </reference>
          <reference field="87" count="1">
            <x v="1464"/>
          </reference>
        </references>
      </pivotArea>
    </format>
    <format dxfId="8318">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021"/>
          </reference>
          <reference field="82" count="1" selected="0">
            <x v="431"/>
          </reference>
          <reference field="85" count="1" selected="0">
            <x v="4"/>
          </reference>
          <reference field="87" count="1">
            <x v="1380"/>
          </reference>
        </references>
      </pivotArea>
    </format>
    <format dxfId="831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selected="0">
            <x v="2"/>
          </reference>
          <reference field="87" count="1">
            <x v="1392"/>
          </reference>
        </references>
      </pivotArea>
    </format>
    <format dxfId="831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99"/>
          </reference>
          <reference field="82" count="1" selected="0">
            <x v="444"/>
          </reference>
          <reference field="85" count="1" selected="0">
            <x v="2"/>
          </reference>
          <reference field="87" count="1">
            <x v="1393"/>
          </reference>
        </references>
      </pivotArea>
    </format>
    <format dxfId="831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037"/>
          </reference>
          <reference field="82" count="1" selected="0">
            <x v="450"/>
          </reference>
          <reference field="85" count="1" selected="0">
            <x v="2"/>
          </reference>
          <reference field="87" count="1">
            <x v="1399"/>
          </reference>
        </references>
      </pivotArea>
    </format>
    <format dxfId="831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036"/>
          </reference>
          <reference field="82" count="1" selected="0">
            <x v="448"/>
          </reference>
          <reference field="85" count="1" selected="0">
            <x v="2"/>
          </reference>
          <reference field="87" count="1">
            <x v="1397"/>
          </reference>
        </references>
      </pivotArea>
    </format>
    <format dxfId="831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035"/>
          </reference>
          <reference field="82" count="1" selected="0">
            <x v="447"/>
          </reference>
          <reference field="85" count="1" selected="0">
            <x v="2"/>
          </reference>
          <reference field="87" count="1">
            <x v="1396"/>
          </reference>
        </references>
      </pivotArea>
    </format>
    <format dxfId="831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034"/>
          </reference>
          <reference field="82" count="1" selected="0">
            <x v="446"/>
          </reference>
          <reference field="85" count="1" selected="0">
            <x v="2"/>
          </reference>
          <reference field="87" count="1">
            <x v="1395"/>
          </reference>
        </references>
      </pivotArea>
    </format>
    <format dxfId="831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selected="0">
            <x v="443"/>
          </reference>
          <reference field="85" count="1" selected="0">
            <x v="2"/>
          </reference>
          <reference field="87" count="1">
            <x v="1391"/>
          </reference>
        </references>
      </pivotArea>
    </format>
    <format dxfId="831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98"/>
          </reference>
          <reference field="82" count="1" selected="0">
            <x v="449"/>
          </reference>
          <reference field="85" count="1" selected="0">
            <x v="2"/>
          </reference>
          <reference field="87" count="1">
            <x v="1398"/>
          </reference>
        </references>
      </pivotArea>
    </format>
    <format dxfId="8309">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033"/>
          </reference>
          <reference field="82" count="1" selected="0">
            <x v="445"/>
          </reference>
          <reference field="85" count="1" selected="0">
            <x v="4"/>
          </reference>
          <reference field="87" count="1">
            <x v="1394"/>
          </reference>
        </references>
      </pivotArea>
    </format>
    <format dxfId="8308">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33"/>
          </reference>
          <reference field="82" count="1" selected="0">
            <x v="583"/>
          </reference>
          <reference field="85" count="1" selected="0">
            <x v="2"/>
          </reference>
          <reference field="87" count="1">
            <x v="1513"/>
          </reference>
        </references>
      </pivotArea>
    </format>
    <format dxfId="8307">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0"/>
          </reference>
          <reference field="85" count="1" selected="0">
            <x v="7"/>
          </reference>
          <reference field="87" count="1">
            <x v="1511"/>
          </reference>
        </references>
      </pivotArea>
    </format>
    <format dxfId="830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selected="0">
            <x v="2"/>
          </reference>
          <reference field="87" count="1">
            <x v="1392"/>
          </reference>
        </references>
      </pivotArea>
    </format>
    <format dxfId="830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selected="0">
            <x v="443"/>
          </reference>
          <reference field="85" count="1" selected="0">
            <x v="2"/>
          </reference>
          <reference field="87" count="1">
            <x v="1391"/>
          </reference>
        </references>
      </pivotArea>
    </format>
    <format dxfId="8304">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2"/>
          </reference>
          <reference field="85" count="1" selected="0">
            <x v="7"/>
          </reference>
          <reference field="87" count="1">
            <x v="1511"/>
          </reference>
        </references>
      </pivotArea>
    </format>
    <format dxfId="8303">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015"/>
          </reference>
          <reference field="82" count="1" selected="0">
            <x v="424"/>
          </reference>
          <reference field="85" count="1" selected="0">
            <x v="4"/>
          </reference>
          <reference field="87" count="1">
            <x v="1374"/>
          </reference>
        </references>
      </pivotArea>
    </format>
    <format dxfId="8302">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79"/>
          </reference>
          <reference field="82" count="1" selected="0">
            <x v="502"/>
          </reference>
          <reference field="85" count="1" selected="0">
            <x v="7"/>
          </reference>
          <reference field="87" count="1">
            <x v="1442"/>
          </reference>
        </references>
      </pivotArea>
    </format>
    <format dxfId="8301">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81"/>
          </reference>
          <reference field="82" count="1" selected="0">
            <x v="504"/>
          </reference>
          <reference field="85" count="1" selected="0">
            <x v="7"/>
          </reference>
          <reference field="87" count="1">
            <x v="1444"/>
          </reference>
        </references>
      </pivotArea>
    </format>
    <format dxfId="830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95"/>
          </reference>
          <reference field="82" count="1" selected="0">
            <x v="524"/>
          </reference>
          <reference field="85" count="1" selected="0">
            <x v="7"/>
          </reference>
          <reference field="87" count="1">
            <x v="1458"/>
          </reference>
        </references>
      </pivotArea>
    </format>
    <format dxfId="829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94"/>
          </reference>
          <reference field="82" count="1" selected="0">
            <x v="523"/>
          </reference>
          <reference field="85" count="1" selected="0">
            <x v="7"/>
          </reference>
          <reference field="87" count="1">
            <x v="1457"/>
          </reference>
        </references>
      </pivotArea>
    </format>
    <format dxfId="829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50"/>
          </reference>
          <reference field="82" count="1" selected="0">
            <x v="465"/>
          </reference>
          <reference field="85" count="1" selected="0">
            <x v="4"/>
          </reference>
          <reference field="87" count="1">
            <x v="1413"/>
          </reference>
        </references>
      </pivotArea>
    </format>
    <format dxfId="829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051"/>
          </reference>
          <reference field="82" count="1" selected="0">
            <x v="466"/>
          </reference>
          <reference field="85" count="1" selected="0">
            <x v="4"/>
          </reference>
          <reference field="87" count="1">
            <x v="1414"/>
          </reference>
        </references>
      </pivotArea>
    </format>
    <format dxfId="829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048"/>
          </reference>
          <reference field="82" count="1" selected="0">
            <x v="463"/>
          </reference>
          <reference field="85" count="1" selected="0">
            <x v="4"/>
          </reference>
          <reference field="87" count="1">
            <x v="1411"/>
          </reference>
        </references>
      </pivotArea>
    </format>
    <format dxfId="829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049"/>
          </reference>
          <reference field="82" count="1" selected="0">
            <x v="464"/>
          </reference>
          <reference field="85" count="1" selected="0">
            <x v="4"/>
          </reference>
          <reference field="87" count="1">
            <x v="1412"/>
          </reference>
        </references>
      </pivotArea>
    </format>
    <format dxfId="829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044"/>
          </reference>
          <reference field="82" count="1" selected="0">
            <x v="459"/>
          </reference>
          <reference field="85" count="1" selected="0">
            <x v="4"/>
          </reference>
          <reference field="87" count="1">
            <x v="1407"/>
          </reference>
        </references>
      </pivotArea>
    </format>
    <format dxfId="829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045"/>
          </reference>
          <reference field="82" count="1" selected="0">
            <x v="460"/>
          </reference>
          <reference field="85" count="1" selected="0">
            <x v="4"/>
          </reference>
          <reference field="87" count="1">
            <x v="1408"/>
          </reference>
        </references>
      </pivotArea>
    </format>
    <format dxfId="829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046"/>
          </reference>
          <reference field="82" count="1" selected="0">
            <x v="461"/>
          </reference>
          <reference field="85" count="1" selected="0">
            <x v="4"/>
          </reference>
          <reference field="87" count="1">
            <x v="1409"/>
          </reference>
        </references>
      </pivotArea>
    </format>
    <format dxfId="8291">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003"/>
          </reference>
          <reference field="82" count="1" selected="0">
            <x v="412"/>
          </reference>
          <reference field="85" count="1" selected="0">
            <x v="4"/>
          </reference>
          <reference field="87" count="1">
            <x v="1362"/>
          </reference>
        </references>
      </pivotArea>
    </format>
    <format dxfId="829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010"/>
          </reference>
          <reference field="82" count="1" selected="0">
            <x v="413"/>
          </reference>
          <reference field="85" count="1" selected="0">
            <x v="4"/>
          </reference>
          <reference field="87" count="1">
            <x v="1369"/>
          </reference>
        </references>
      </pivotArea>
    </format>
    <format dxfId="828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012"/>
          </reference>
          <reference field="82" count="1" selected="0">
            <x v="414"/>
          </reference>
          <reference field="85" count="1" selected="0">
            <x v="4"/>
          </reference>
          <reference field="87" count="1">
            <x v="1371"/>
          </reference>
        </references>
      </pivotArea>
    </format>
    <format dxfId="8288">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x v="1436"/>
          </reference>
        </references>
      </pivotArea>
    </format>
    <format dxfId="8287">
      <pivotArea field="88" type="button" dataOnly="0" labelOnly="1" outline="0" axis="axisRow" fieldPosition="13"/>
    </format>
    <format dxfId="8286">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selected="0">
            <x v="1433"/>
          </reference>
          <reference field="88" count="1">
            <x v="275"/>
          </reference>
        </references>
      </pivotArea>
    </format>
    <format dxfId="828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selected="0">
            <x v="1434"/>
          </reference>
          <reference field="88" count="1">
            <x v="276"/>
          </reference>
        </references>
      </pivotArea>
    </format>
    <format dxfId="828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28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28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selected="0">
            <x v="1369"/>
          </reference>
          <reference field="88" count="1">
            <x v="192"/>
          </reference>
        </references>
      </pivotArea>
    </format>
    <format dxfId="828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selected="0">
            <x v="1370"/>
          </reference>
          <reference field="88" count="1">
            <x v="193"/>
          </reference>
        </references>
      </pivotArea>
    </format>
    <format dxfId="828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selected="0">
            <x v="1433"/>
          </reference>
          <reference field="88" count="1">
            <x v="277"/>
          </reference>
        </references>
      </pivotArea>
    </format>
    <format dxfId="827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selected="0">
            <x v="1435"/>
          </reference>
          <reference field="88" count="1">
            <x v="278"/>
          </reference>
        </references>
      </pivotArea>
    </format>
    <format dxfId="827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selected="0">
            <x v="1479"/>
          </reference>
          <reference field="88" count="1">
            <x v="329"/>
          </reference>
        </references>
      </pivotArea>
    </format>
    <format dxfId="827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selected="0">
            <x v="1480"/>
          </reference>
          <reference field="88" count="1">
            <x v="330"/>
          </reference>
        </references>
      </pivotArea>
    </format>
    <format dxfId="827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selected="0">
            <x v="1481"/>
          </reference>
          <reference field="88" count="1">
            <x v="331"/>
          </reference>
        </references>
      </pivotArea>
    </format>
    <format dxfId="827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selected="0">
            <x v="1478"/>
          </reference>
          <reference field="88" count="1">
            <x v="328"/>
          </reference>
        </references>
      </pivotArea>
    </format>
    <format dxfId="8274">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selected="0">
            <x v="1433"/>
          </reference>
          <reference field="88" count="1">
            <x v="277"/>
          </reference>
        </references>
      </pivotArea>
    </format>
    <format dxfId="8273">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selected="0">
            <x v="1435"/>
          </reference>
          <reference field="88" count="1">
            <x v="278"/>
          </reference>
        </references>
      </pivotArea>
    </format>
    <format dxfId="827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selected="0">
            <x v="1479"/>
          </reference>
          <reference field="88" count="1">
            <x v="329"/>
          </reference>
        </references>
      </pivotArea>
    </format>
    <format dxfId="827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selected="0">
            <x v="1480"/>
          </reference>
          <reference field="88" count="1">
            <x v="330"/>
          </reference>
        </references>
      </pivotArea>
    </format>
    <format dxfId="827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selected="0">
            <x v="1481"/>
          </reference>
          <reference field="88" count="1">
            <x v="331"/>
          </reference>
        </references>
      </pivotArea>
    </format>
    <format dxfId="826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selected="0">
            <x v="1478"/>
          </reference>
          <reference field="88" count="1">
            <x v="328"/>
          </reference>
        </references>
      </pivotArea>
    </format>
    <format dxfId="8268">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selected="0">
            <x v="1433"/>
          </reference>
          <reference field="88" count="1">
            <x v="277"/>
          </reference>
        </references>
      </pivotArea>
    </format>
    <format dxfId="8267">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selected="0">
            <x v="1435"/>
          </reference>
          <reference field="88" count="1">
            <x v="278"/>
          </reference>
        </references>
      </pivotArea>
    </format>
    <format dxfId="8266">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selected="0">
            <x v="518"/>
          </reference>
          <reference field="85" count="1" selected="0">
            <x v="7"/>
          </reference>
          <reference field="87" count="1" selected="0">
            <x v="1455"/>
          </reference>
          <reference field="88" count="1">
            <x v="301"/>
          </reference>
        </references>
      </pivotArea>
    </format>
    <format dxfId="8265">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20"/>
          </reference>
          <reference field="85" count="1" selected="0">
            <x v="7"/>
          </reference>
          <reference field="87" count="1" selected="0">
            <x v="1445"/>
          </reference>
          <reference field="88" count="1">
            <x v="303"/>
          </reference>
        </references>
      </pivotArea>
    </format>
    <format dxfId="826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103"/>
          </reference>
          <reference field="82" count="1" selected="0">
            <x v="540"/>
          </reference>
          <reference field="85" count="1" selected="0">
            <x v="0"/>
          </reference>
          <reference field="87" count="1" selected="0">
            <x v="1474"/>
          </reference>
          <reference field="88" count="1">
            <x v="324"/>
          </reference>
        </references>
      </pivotArea>
    </format>
    <format dxfId="826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 field="85" count="1" selected="0">
            <x v="0"/>
          </reference>
          <reference field="87" count="1" selected="0">
            <x v="1477"/>
          </reference>
          <reference field="88" count="1">
            <x v="327"/>
          </reference>
        </references>
      </pivotArea>
    </format>
    <format dxfId="826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selected="0">
            <x v="541"/>
          </reference>
          <reference field="85" count="1" selected="0">
            <x v="0"/>
          </reference>
          <reference field="87" count="1" selected="0">
            <x v="1475"/>
          </reference>
          <reference field="88" count="1">
            <x v="325"/>
          </reference>
        </references>
      </pivotArea>
    </format>
    <format dxfId="826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selected="0">
            <x v="542"/>
          </reference>
          <reference field="85" count="1" selected="0">
            <x v="0"/>
          </reference>
          <reference field="87" count="1" selected="0">
            <x v="1476"/>
          </reference>
          <reference field="88" count="1">
            <x v="326"/>
          </reference>
        </references>
      </pivotArea>
    </format>
    <format dxfId="8260">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selected="0">
            <x v="1433"/>
          </reference>
          <reference field="88" count="1">
            <x v="275"/>
          </reference>
        </references>
      </pivotArea>
    </format>
    <format dxfId="8259">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selected="0">
            <x v="1434"/>
          </reference>
          <reference field="88" count="1">
            <x v="276"/>
          </reference>
        </references>
      </pivotArea>
    </format>
    <format dxfId="825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25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25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selected="0">
            <x v="1369"/>
          </reference>
          <reference field="88" count="1">
            <x v="192"/>
          </reference>
        </references>
      </pivotArea>
    </format>
    <format dxfId="825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selected="0">
            <x v="1370"/>
          </reference>
          <reference field="88" count="1">
            <x v="193"/>
          </reference>
        </references>
      </pivotArea>
    </format>
    <format dxfId="8254">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8"/>
          </reference>
          <reference field="85" count="1" selected="0">
            <x v="7"/>
          </reference>
          <reference field="87" count="1" selected="0">
            <x v="1450"/>
          </reference>
          <reference field="88" count="1">
            <x v="363"/>
          </reference>
        </references>
      </pivotArea>
    </format>
    <format dxfId="8253">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92"/>
          </reference>
          <reference field="82" count="1" selected="0">
            <x v="519"/>
          </reference>
          <reference field="85" count="1" selected="0">
            <x v="7"/>
          </reference>
          <reference field="87" count="1" selected="0">
            <x v="1455"/>
          </reference>
          <reference field="88" count="1">
            <x v="302"/>
          </reference>
        </references>
      </pivotArea>
    </format>
    <format dxfId="825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66"/>
          </reference>
          <reference field="82" count="1" selected="0">
            <x v="485"/>
          </reference>
          <reference field="85" count="1" selected="0">
            <x v="4"/>
          </reference>
          <reference field="87" count="1" selected="0">
            <x v="1429"/>
          </reference>
          <reference field="88" count="1">
            <x v="268"/>
          </reference>
        </references>
      </pivotArea>
    </format>
    <format dxfId="825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43"/>
          </reference>
          <reference field="82" count="1" selected="0">
            <x v="487"/>
          </reference>
          <reference field="85" count="1" selected="0">
            <x v="4"/>
          </reference>
          <reference field="87" count="1" selected="0">
            <x v="1406"/>
          </reference>
          <reference field="88" count="1">
            <x v="270"/>
          </reference>
        </references>
      </pivotArea>
    </format>
    <format dxfId="825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67"/>
          </reference>
          <reference field="82" count="1" selected="0">
            <x v="488"/>
          </reference>
          <reference field="85" count="1" selected="0">
            <x v="4"/>
          </reference>
          <reference field="87" count="1" selected="0">
            <x v="1430"/>
          </reference>
          <reference field="88" count="1">
            <x v="271"/>
          </reference>
        </references>
      </pivotArea>
    </format>
    <format dxfId="824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59"/>
          </reference>
          <reference field="82" count="1" selected="0">
            <x v="484"/>
          </reference>
          <reference field="85" count="1" selected="0">
            <x v="4"/>
          </reference>
          <reference field="87" count="1" selected="0">
            <x v="1422"/>
          </reference>
          <reference field="88" count="1">
            <x v="267"/>
          </reference>
        </references>
      </pivotArea>
    </format>
    <format dxfId="824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68"/>
          </reference>
          <reference field="82" count="1" selected="0">
            <x v="489"/>
          </reference>
          <reference field="85" count="1" selected="0">
            <x v="4"/>
          </reference>
          <reference field="87" count="1" selected="0">
            <x v="1431"/>
          </reference>
          <reference field="88" count="1">
            <x v="272"/>
          </reference>
        </references>
      </pivotArea>
    </format>
    <format dxfId="824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60"/>
          </reference>
          <reference field="82" count="1" selected="0">
            <x v="490"/>
          </reference>
          <reference field="85" count="1" selected="0">
            <x v="4"/>
          </reference>
          <reference field="87" count="1" selected="0">
            <x v="1423"/>
          </reference>
          <reference field="88" count="1">
            <x v="273"/>
          </reference>
        </references>
      </pivotArea>
    </format>
    <format dxfId="824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69"/>
          </reference>
          <reference field="82" count="1" selected="0">
            <x v="491"/>
          </reference>
          <reference field="85" count="1" selected="0">
            <x v="4"/>
          </reference>
          <reference field="87" count="1" selected="0">
            <x v="1432"/>
          </reference>
          <reference field="88" count="1">
            <x v="274"/>
          </reference>
        </references>
      </pivotArea>
    </format>
    <format dxfId="824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57"/>
          </reference>
          <reference field="82" count="1" selected="0">
            <x v="486"/>
          </reference>
          <reference field="85" count="1" selected="0">
            <x v="4"/>
          </reference>
          <reference field="87" count="1" selected="0">
            <x v="1420"/>
          </reference>
          <reference field="88" count="1">
            <x v="269"/>
          </reference>
        </references>
      </pivotArea>
    </format>
    <format dxfId="824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selected="0">
            <x v="1479"/>
          </reference>
          <reference field="88" count="1">
            <x v="329"/>
          </reference>
        </references>
      </pivotArea>
    </format>
    <format dxfId="824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108"/>
          </reference>
          <reference field="82" count="1" selected="0">
            <x v="545"/>
          </reference>
          <reference field="85" count="1" selected="0">
            <x v="0"/>
          </reference>
          <reference field="87" count="1" selected="0">
            <x v="1480"/>
          </reference>
          <reference field="88" count="1">
            <x v="330"/>
          </reference>
        </references>
      </pivotArea>
    </format>
    <format dxfId="824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109"/>
          </reference>
          <reference field="82" count="1" selected="0">
            <x v="546"/>
          </reference>
          <reference field="85" count="1" selected="0">
            <x v="0"/>
          </reference>
          <reference field="87" count="1" selected="0">
            <x v="1481"/>
          </reference>
          <reference field="88" count="1">
            <x v="331"/>
          </reference>
        </references>
      </pivotArea>
    </format>
    <format dxfId="824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106"/>
          </reference>
          <reference field="82" count="1" selected="0">
            <x v="543"/>
          </reference>
          <reference field="85" count="1" selected="0">
            <x v="0"/>
          </reference>
          <reference field="87" count="1" selected="0">
            <x v="1478"/>
          </reference>
          <reference field="88" count="1">
            <x v="328"/>
          </reference>
        </references>
      </pivotArea>
    </format>
    <format dxfId="8240">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87"/>
          </reference>
          <reference field="82" count="1" selected="0">
            <x v="577"/>
          </reference>
          <reference field="85" count="1" selected="0">
            <x v="7"/>
          </reference>
          <reference field="87" count="1" selected="0">
            <x v="1450"/>
          </reference>
          <reference field="88" count="1">
            <x v="362"/>
          </reference>
        </references>
      </pivotArea>
    </format>
    <format dxfId="823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selected="0">
            <x v="1433"/>
          </reference>
          <reference field="88" count="1">
            <x v="275"/>
          </reference>
        </references>
      </pivotArea>
    </format>
    <format dxfId="8238">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selected="0">
            <x v="1434"/>
          </reference>
          <reference field="88" count="1">
            <x v="276"/>
          </reference>
        </references>
      </pivotArea>
    </format>
    <format dxfId="823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104"/>
          </reference>
          <reference field="82" count="1" selected="0">
            <x v="541"/>
          </reference>
          <reference field="85" count="1" selected="0">
            <x v="0"/>
          </reference>
          <reference field="87" count="1" selected="0">
            <x v="1475"/>
          </reference>
          <reference field="88" count="1">
            <x v="325"/>
          </reference>
        </references>
      </pivotArea>
    </format>
    <format dxfId="823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105"/>
          </reference>
          <reference field="82" count="1" selected="0">
            <x v="542"/>
          </reference>
          <reference field="85" count="1" selected="0">
            <x v="0"/>
          </reference>
          <reference field="87" count="1" selected="0">
            <x v="1476"/>
          </reference>
          <reference field="88" count="1">
            <x v="326"/>
          </reference>
        </references>
      </pivotArea>
    </format>
    <format dxfId="823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2"/>
          </reference>
          <reference field="85" count="1" selected="0">
            <x v="7"/>
          </reference>
          <reference field="87" count="1" selected="0">
            <x v="1433"/>
          </reference>
          <reference field="88" count="1">
            <x v="275"/>
          </reference>
        </references>
      </pivotArea>
    </format>
    <format dxfId="8234">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71"/>
          </reference>
          <reference field="82" count="1" selected="0">
            <x v="493"/>
          </reference>
          <reference field="85" count="1" selected="0">
            <x v="7"/>
          </reference>
          <reference field="87" count="1" selected="0">
            <x v="1434"/>
          </reference>
          <reference field="88" count="1">
            <x v="276"/>
          </reference>
        </references>
      </pivotArea>
    </format>
    <format dxfId="823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23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23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0"/>
          </reference>
          <reference field="85" count="1" selected="0">
            <x v="4"/>
          </reference>
          <reference field="87" count="1" selected="0">
            <x v="1369"/>
          </reference>
          <reference field="88" count="1">
            <x v="192"/>
          </reference>
        </references>
      </pivotArea>
    </format>
    <format dxfId="823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selected="0">
            <x v="1370"/>
          </reference>
          <reference field="88" count="1">
            <x v="193"/>
          </reference>
        </references>
      </pivotArea>
    </format>
    <format dxfId="822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70"/>
          </reference>
          <reference field="82" count="1" selected="0">
            <x v="494"/>
          </reference>
          <reference field="85" count="1" selected="0">
            <x v="7"/>
          </reference>
          <reference field="87" count="1" selected="0">
            <x v="1433"/>
          </reference>
          <reference field="88" count="1">
            <x v="277"/>
          </reference>
        </references>
      </pivotArea>
    </format>
    <format dxfId="822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72"/>
          </reference>
          <reference field="82" count="1" selected="0">
            <x v="495"/>
          </reference>
          <reference field="85" count="1" selected="0">
            <x v="7"/>
          </reference>
          <reference field="87" count="1" selected="0">
            <x v="1435"/>
          </reference>
          <reference field="88" count="1">
            <x v="278"/>
          </reference>
        </references>
      </pivotArea>
    </format>
    <format dxfId="8227">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107"/>
          </reference>
          <reference field="82" count="1" selected="0">
            <x v="544"/>
          </reference>
          <reference field="85" count="1" selected="0">
            <x v="0"/>
          </reference>
          <reference field="87" count="1" selected="0">
            <x v="1479"/>
          </reference>
          <reference field="88" count="1">
            <x v="329"/>
          </reference>
        </references>
      </pivotArea>
    </format>
    <format dxfId="822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021"/>
          </reference>
          <reference field="82" count="1" selected="0">
            <x v="550"/>
          </reference>
          <reference field="85" count="1" selected="0">
            <x v="0"/>
          </reference>
          <reference field="87" count="1" selected="0">
            <x v="1485"/>
          </reference>
          <reference field="88" count="1">
            <x v="335"/>
          </reference>
        </references>
      </pivotArea>
    </format>
    <format dxfId="822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020"/>
          </reference>
          <reference field="82" count="1" selected="0">
            <x v="551"/>
          </reference>
          <reference field="85" count="1" selected="0">
            <x v="0"/>
          </reference>
          <reference field="87" count="1" selected="0">
            <x v="1486"/>
          </reference>
          <reference field="88" count="1">
            <x v="336"/>
          </reference>
        </references>
      </pivotArea>
    </format>
    <format dxfId="822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112"/>
          </reference>
          <reference field="82" count="1" selected="0">
            <x v="552"/>
          </reference>
          <reference field="85" count="1" selected="0">
            <x v="0"/>
          </reference>
          <reference field="87" count="1" selected="0">
            <x v="1487"/>
          </reference>
          <reference field="88" count="1">
            <x v="337"/>
          </reference>
        </references>
      </pivotArea>
    </format>
    <format dxfId="8223">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89"/>
          </reference>
          <reference field="82" count="1" selected="0">
            <x v="514"/>
          </reference>
          <reference field="85" count="1" selected="0">
            <x v="7"/>
          </reference>
          <reference field="87" count="1" selected="0">
            <x v="1452"/>
          </reference>
          <reference field="88" count="1">
            <x v="297"/>
          </reference>
        </references>
      </pivotArea>
    </format>
    <format dxfId="8222">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15"/>
          </reference>
          <reference field="85" count="1" selected="0">
            <x v="7"/>
          </reference>
          <reference field="87" count="1" selected="0">
            <x v="1440"/>
          </reference>
          <reference field="88" count="1">
            <x v="298"/>
          </reference>
        </references>
      </pivotArea>
    </format>
    <format dxfId="822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selected="0">
            <x v="0"/>
          </reference>
          <reference field="87" count="1" selected="0">
            <x v="1482"/>
          </reference>
          <reference field="88" count="1">
            <x v="332"/>
          </reference>
        </references>
      </pivotArea>
    </format>
    <format dxfId="822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selected="0">
            <x v="548"/>
          </reference>
          <reference field="85" count="1" selected="0">
            <x v="0"/>
          </reference>
          <reference field="87" count="1" selected="0">
            <x v="1483"/>
          </reference>
          <reference field="88" count="1">
            <x v="333"/>
          </reference>
        </references>
      </pivotArea>
    </format>
    <format dxfId="821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selected="0">
            <x v="549"/>
          </reference>
          <reference field="85" count="1" selected="0">
            <x v="0"/>
          </reference>
          <reference field="87" count="1" selected="0">
            <x v="1484"/>
          </reference>
          <reference field="88" count="1">
            <x v="334"/>
          </reference>
        </references>
      </pivotArea>
    </format>
    <format dxfId="821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selected="0">
            <x v="1436"/>
          </reference>
          <reference field="88" count="1">
            <x v="279"/>
          </reference>
        </references>
      </pivotArea>
    </format>
    <format dxfId="8217">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74"/>
          </reference>
          <reference field="82" count="1" selected="0">
            <x v="497"/>
          </reference>
          <reference field="85" count="1" selected="0">
            <x v="7"/>
          </reference>
          <reference field="87" count="1" selected="0">
            <x v="1437"/>
          </reference>
          <reference field="88" count="1">
            <x v="280"/>
          </reference>
        </references>
      </pivotArea>
    </format>
    <format dxfId="821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30"/>
          </reference>
          <reference field="82" count="1" selected="0">
            <x v="579"/>
          </reference>
          <reference field="85" count="1" selected="0">
            <x v="7"/>
          </reference>
          <reference field="87" count="1" selected="0">
            <x v="1510"/>
          </reference>
          <reference field="88" count="1">
            <x v="364"/>
          </reference>
        </references>
      </pivotArea>
    </format>
    <format dxfId="821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026"/>
          </reference>
          <reference field="82" count="1" selected="0">
            <x v="547"/>
          </reference>
          <reference field="85" count="1" selected="0">
            <x v="0"/>
          </reference>
          <reference field="87" count="1" selected="0">
            <x v="1482"/>
          </reference>
          <reference field="88" count="1">
            <x v="332"/>
          </reference>
        </references>
      </pivotArea>
    </format>
    <format dxfId="821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110"/>
          </reference>
          <reference field="82" count="1" selected="0">
            <x v="548"/>
          </reference>
          <reference field="85" count="1" selected="0">
            <x v="0"/>
          </reference>
          <reference field="87" count="1" selected="0">
            <x v="1483"/>
          </reference>
          <reference field="88" count="1">
            <x v="333"/>
          </reference>
        </references>
      </pivotArea>
    </format>
    <format dxfId="821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111"/>
          </reference>
          <reference field="82" count="1" selected="0">
            <x v="549"/>
          </reference>
          <reference field="85" count="1" selected="0">
            <x v="0"/>
          </reference>
          <reference field="87" count="1" selected="0">
            <x v="1484"/>
          </reference>
          <reference field="88" count="1">
            <x v="334"/>
          </reference>
        </references>
      </pivotArea>
    </format>
    <format dxfId="8212">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selected="0">
            <x v="1436"/>
          </reference>
          <reference field="88" count="1">
            <x v="279"/>
          </reference>
        </references>
      </pivotArea>
    </format>
    <format dxfId="821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115"/>
          </reference>
          <reference field="82" count="1" selected="0">
            <x v="556"/>
          </reference>
          <reference field="85" count="1" selected="0">
            <x v="0"/>
          </reference>
          <reference field="87" count="1" selected="0">
            <x v="1491"/>
          </reference>
          <reference field="88" count="1">
            <x v="341"/>
          </reference>
        </references>
      </pivotArea>
    </format>
    <format dxfId="821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116"/>
          </reference>
          <reference field="82" count="1" selected="0">
            <x v="557"/>
          </reference>
          <reference field="85" count="1" selected="0">
            <x v="0"/>
          </reference>
          <reference field="87" count="1" selected="0">
            <x v="1492"/>
          </reference>
          <reference field="88" count="1">
            <x v="342"/>
          </reference>
        </references>
      </pivotArea>
    </format>
    <format dxfId="820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117"/>
          </reference>
          <reference field="82" count="1" selected="0">
            <x v="558"/>
          </reference>
          <reference field="85" count="1" selected="0">
            <x v="0"/>
          </reference>
          <reference field="87" count="1" selected="0">
            <x v="1493"/>
          </reference>
          <reference field="88" count="1">
            <x v="343"/>
          </reference>
        </references>
      </pivotArea>
    </format>
    <format dxfId="820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86"/>
          </reference>
          <reference field="82" count="1" selected="0">
            <x v="510"/>
          </reference>
          <reference field="85" count="1" selected="0">
            <x v="7"/>
          </reference>
          <reference field="87" count="1" selected="0">
            <x v="1449"/>
          </reference>
          <reference field="88" count="1">
            <x v="293"/>
          </reference>
        </references>
      </pivotArea>
    </format>
    <format dxfId="8207">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selected="0">
            <x v="1445"/>
          </reference>
          <reference field="88" count="1">
            <x v="288"/>
          </reference>
        </references>
      </pivotArea>
    </format>
    <format dxfId="820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59"/>
          </reference>
          <reference field="82" count="1" selected="0">
            <x v="477"/>
          </reference>
          <reference field="85" count="1" selected="0">
            <x v="4"/>
          </reference>
          <reference field="87" count="1" selected="0">
            <x v="1422"/>
          </reference>
          <reference field="88" count="1">
            <x v="260"/>
          </reference>
        </references>
      </pivotArea>
    </format>
    <format dxfId="820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60"/>
          </reference>
          <reference field="82" count="1" selected="0">
            <x v="478"/>
          </reference>
          <reference field="85" count="1" selected="0">
            <x v="4"/>
          </reference>
          <reference field="87" count="1" selected="0">
            <x v="1423"/>
          </reference>
          <reference field="88" count="1">
            <x v="261"/>
          </reference>
        </references>
      </pivotArea>
    </format>
    <format dxfId="820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57"/>
          </reference>
          <reference field="82" count="1" selected="0">
            <x v="475"/>
          </reference>
          <reference field="85" count="1" selected="0">
            <x v="4"/>
          </reference>
          <reference field="87" count="1" selected="0">
            <x v="1420"/>
          </reference>
          <reference field="88" count="1">
            <x v="258"/>
          </reference>
        </references>
      </pivotArea>
    </format>
    <format dxfId="820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58"/>
          </reference>
          <reference field="82" count="1" selected="0">
            <x v="476"/>
          </reference>
          <reference field="85" count="1" selected="0">
            <x v="4"/>
          </reference>
          <reference field="87" count="1" selected="0">
            <x v="1421"/>
          </reference>
          <reference field="88" count="1">
            <x v="259"/>
          </reference>
        </references>
      </pivotArea>
    </format>
    <format dxfId="820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019"/>
          </reference>
          <reference field="82" count="1" selected="0">
            <x v="553"/>
          </reference>
          <reference field="85" count="1" selected="0">
            <x v="0"/>
          </reference>
          <reference field="87" count="1" selected="0">
            <x v="1488"/>
          </reference>
          <reference field="88" count="1">
            <x v="338"/>
          </reference>
        </references>
      </pivotArea>
    </format>
    <format dxfId="820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113"/>
          </reference>
          <reference field="82" count="1" selected="0">
            <x v="554"/>
          </reference>
          <reference field="85" count="1" selected="0">
            <x v="0"/>
          </reference>
          <reference field="87" count="1" selected="0">
            <x v="1489"/>
          </reference>
          <reference field="88" count="1">
            <x v="339"/>
          </reference>
        </references>
      </pivotArea>
    </format>
    <format dxfId="820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114"/>
          </reference>
          <reference field="82" count="1" selected="0">
            <x v="555"/>
          </reference>
          <reference field="85" count="1" selected="0">
            <x v="0"/>
          </reference>
          <reference field="87" count="1" selected="0">
            <x v="1490"/>
          </reference>
          <reference field="88" count="1">
            <x v="340"/>
          </reference>
        </references>
      </pivotArea>
    </format>
    <format dxfId="8199">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127"/>
          </reference>
          <reference field="82" count="1" selected="0">
            <x v="574"/>
          </reference>
          <reference field="85" count="1" selected="0">
            <x v="7"/>
          </reference>
          <reference field="87" count="1" selected="0">
            <x v="1507"/>
          </reference>
          <reference field="88" count="1">
            <x v="359"/>
          </reference>
        </references>
      </pivotArea>
    </format>
    <format dxfId="8198">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selected="0">
            <x v="517"/>
          </reference>
          <reference field="85" count="1" selected="0">
            <x v="7"/>
          </reference>
          <reference field="87" count="1" selected="0">
            <x v="1454"/>
          </reference>
          <reference field="88" count="1">
            <x v="300"/>
          </reference>
        </references>
      </pivotArea>
    </format>
    <format dxfId="819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01"/>
          </reference>
          <reference field="82" count="1" selected="0">
            <x v="535"/>
          </reference>
          <reference field="85" count="1" selected="0">
            <x v="0"/>
          </reference>
          <reference field="87" count="1" selected="0">
            <x v="1469"/>
          </reference>
          <reference field="88" count="1">
            <x v="319"/>
          </reference>
        </references>
      </pivotArea>
    </format>
    <format dxfId="819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015"/>
          </reference>
          <reference field="82" count="1" selected="0">
            <x v="534"/>
          </reference>
          <reference field="85" count="1" selected="0">
            <x v="0"/>
          </reference>
          <reference field="87" count="1" selected="0">
            <x v="1468"/>
          </reference>
          <reference field="88" count="1">
            <x v="318"/>
          </reference>
        </references>
      </pivotArea>
    </format>
    <format dxfId="819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102"/>
          </reference>
          <reference field="82" count="1" selected="0">
            <x v="536"/>
          </reference>
          <reference field="85" count="1" selected="0">
            <x v="0"/>
          </reference>
          <reference field="87" count="1" selected="0">
            <x v="1470"/>
          </reference>
          <reference field="88" count="1">
            <x v="320"/>
          </reference>
        </references>
      </pivotArea>
    </format>
    <format dxfId="819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7"/>
          </reference>
          <reference field="82" count="1" selected="0">
            <x v="589"/>
          </reference>
          <reference field="85" count="1" selected="0">
            <x v="7"/>
          </reference>
          <reference field="87" count="1" selected="0">
            <x v="1518"/>
          </reference>
          <reference field="88" count="1">
            <x v="374"/>
          </reference>
        </references>
      </pivotArea>
    </format>
    <format dxfId="8193">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91"/>
          </reference>
          <reference field="82" count="1" selected="0">
            <x v="517"/>
          </reference>
          <reference field="85" count="1" selected="0">
            <x v="7"/>
          </reference>
          <reference field="87" count="1" selected="0">
            <x v="1454"/>
          </reference>
          <reference field="88" count="1">
            <x v="300"/>
          </reference>
        </references>
      </pivotArea>
    </format>
    <format dxfId="819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63"/>
          </reference>
          <reference field="82" count="1" selected="0">
            <x v="481"/>
          </reference>
          <reference field="85" count="1" selected="0">
            <x v="4"/>
          </reference>
          <reference field="87" count="1" selected="0">
            <x v="1426"/>
          </reference>
          <reference field="88" count="1">
            <x v="264"/>
          </reference>
        </references>
      </pivotArea>
    </format>
    <format dxfId="819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64"/>
          </reference>
          <reference field="82" count="1" selected="0">
            <x v="482"/>
          </reference>
          <reference field="85" count="1" selected="0">
            <x v="4"/>
          </reference>
          <reference field="87" count="1" selected="0">
            <x v="1427"/>
          </reference>
          <reference field="88" count="1">
            <x v="265"/>
          </reference>
        </references>
      </pivotArea>
    </format>
    <format dxfId="819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61"/>
          </reference>
          <reference field="82" count="1" selected="0">
            <x v="479"/>
          </reference>
          <reference field="85" count="1" selected="0">
            <x v="4"/>
          </reference>
          <reference field="87" count="1" selected="0">
            <x v="1424"/>
          </reference>
          <reference field="88" count="1">
            <x v="262"/>
          </reference>
        </references>
      </pivotArea>
    </format>
    <format dxfId="818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62"/>
          </reference>
          <reference field="82" count="1" selected="0">
            <x v="480"/>
          </reference>
          <reference field="85" count="1" selected="0">
            <x v="4"/>
          </reference>
          <reference field="87" count="1" selected="0">
            <x v="1425"/>
          </reference>
          <reference field="88" count="1">
            <x v="263"/>
          </reference>
        </references>
      </pivotArea>
    </format>
    <format dxfId="818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selected="0">
            <x v="0"/>
          </reference>
          <reference field="87" count="1" selected="0">
            <x v="1465"/>
          </reference>
          <reference field="88" count="1">
            <x v="315"/>
          </reference>
        </references>
      </pivotArea>
    </format>
    <format dxfId="818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selected="0">
            <x v="532"/>
          </reference>
          <reference field="85" count="1" selected="0">
            <x v="0"/>
          </reference>
          <reference field="87" count="1" selected="0">
            <x v="1466"/>
          </reference>
          <reference field="88" count="1">
            <x v="316"/>
          </reference>
        </references>
      </pivotArea>
    </format>
    <format dxfId="818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selected="0">
            <x v="533"/>
          </reference>
          <reference field="85" count="1" selected="0">
            <x v="0"/>
          </reference>
          <reference field="87" count="1" selected="0">
            <x v="1467"/>
          </reference>
          <reference field="88" count="1">
            <x v="317"/>
          </reference>
        </references>
      </pivotArea>
    </format>
    <format dxfId="8185">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selected="0">
            <x v="1445"/>
          </reference>
          <reference field="88" count="1">
            <x v="288"/>
          </reference>
        </references>
      </pivotArea>
    </format>
    <format dxfId="818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013"/>
          </reference>
          <reference field="82" count="1" selected="0">
            <x v="421"/>
          </reference>
          <reference field="85" count="1" selected="0">
            <x v="0"/>
          </reference>
          <reference field="87" count="1" selected="0">
            <x v="1465"/>
          </reference>
          <reference field="88" count="1">
            <x v="315"/>
          </reference>
        </references>
      </pivotArea>
    </format>
    <format dxfId="818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009"/>
          </reference>
          <reference field="82" count="1" selected="0">
            <x v="532"/>
          </reference>
          <reference field="85" count="1" selected="0">
            <x v="0"/>
          </reference>
          <reference field="87" count="1" selected="0">
            <x v="1466"/>
          </reference>
          <reference field="88" count="1">
            <x v="316"/>
          </reference>
        </references>
      </pivotArea>
    </format>
    <format dxfId="818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99"/>
          </reference>
          <reference field="82" count="1" selected="0">
            <x v="533"/>
          </reference>
          <reference field="85" count="1" selected="0">
            <x v="0"/>
          </reference>
          <reference field="87" count="1" selected="0">
            <x v="1467"/>
          </reference>
          <reference field="88" count="1">
            <x v="317"/>
          </reference>
        </references>
      </pivotArea>
    </format>
    <format dxfId="818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90"/>
          </reference>
          <reference field="82" count="1" selected="0">
            <x v="516"/>
          </reference>
          <reference field="85" count="1" selected="0">
            <x v="7"/>
          </reference>
          <reference field="87" count="1" selected="0">
            <x v="1453"/>
          </reference>
          <reference field="88" count="1">
            <x v="299"/>
          </reference>
        </references>
      </pivotArea>
    </format>
    <format dxfId="8180">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05"/>
          </reference>
          <reference field="85" count="1" selected="0">
            <x v="7"/>
          </reference>
          <reference field="87" count="1" selected="0">
            <x v="1445"/>
          </reference>
          <reference field="88" count="1">
            <x v="288"/>
          </reference>
        </references>
      </pivotArea>
    </format>
    <format dxfId="817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selected="0">
            <x v="0"/>
          </reference>
          <reference field="87" count="1" selected="0">
            <x v="1471"/>
          </reference>
          <reference field="88" count="1">
            <x v="321"/>
          </reference>
        </references>
      </pivotArea>
    </format>
    <format dxfId="817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selected="0">
            <x v="538"/>
          </reference>
          <reference field="85" count="1" selected="0">
            <x v="0"/>
          </reference>
          <reference field="87" count="1" selected="0">
            <x v="1472"/>
          </reference>
          <reference field="88" count="1">
            <x v="322"/>
          </reference>
        </references>
      </pivotArea>
    </format>
    <format dxfId="817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selected="0">
            <x v="1473"/>
          </reference>
          <reference field="88" count="1">
            <x v="323"/>
          </reference>
        </references>
      </pivotArea>
    </format>
    <format dxfId="817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030"/>
          </reference>
          <reference field="82" count="1" selected="0">
            <x v="441"/>
          </reference>
          <reference field="85" count="1" selected="0">
            <x v="2"/>
          </reference>
          <reference field="87" count="1" selected="0">
            <x v="1389"/>
          </reference>
          <reference field="88" count="1">
            <x v="223"/>
          </reference>
        </references>
      </pivotArea>
    </format>
    <format dxfId="817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029"/>
          </reference>
          <reference field="82" count="1" selected="0">
            <x v="440"/>
          </reference>
          <reference field="85" count="1" selected="0">
            <x v="2"/>
          </reference>
          <reference field="87" count="1" selected="0">
            <x v="1388"/>
          </reference>
          <reference field="88" count="1">
            <x v="222"/>
          </reference>
        </references>
      </pivotArea>
    </format>
    <format dxfId="817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031"/>
          </reference>
          <reference field="82" count="1" selected="0">
            <x v="442"/>
          </reference>
          <reference field="85" count="1" selected="0">
            <x v="2"/>
          </reference>
          <reference field="87" count="1" selected="0">
            <x v="1390"/>
          </reference>
          <reference field="88" count="1">
            <x v="224"/>
          </reference>
        </references>
      </pivotArea>
    </format>
    <format dxfId="817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016"/>
          </reference>
          <reference field="82" count="1" selected="0">
            <x v="537"/>
          </reference>
          <reference field="85" count="1" selected="0">
            <x v="0"/>
          </reference>
          <reference field="87" count="1" selected="0">
            <x v="1471"/>
          </reference>
          <reference field="88" count="1">
            <x v="321"/>
          </reference>
        </references>
      </pivotArea>
    </format>
    <format dxfId="817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selected="0">
            <x v="1473"/>
          </reference>
          <reference field="88" count="1">
            <x v="323"/>
          </reference>
        </references>
      </pivotArea>
    </format>
    <format dxfId="8171">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0"/>
          </reference>
          <reference field="85" count="1" selected="0">
            <x v="7"/>
          </reference>
          <reference field="87" count="1" selected="0">
            <x v="1440"/>
          </reference>
          <reference field="88" count="1">
            <x v="283"/>
          </reference>
        </references>
      </pivotArea>
    </format>
    <format dxfId="817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002"/>
          </reference>
          <reference field="82" count="1" selected="0">
            <x v="433"/>
          </reference>
          <reference field="85" count="1" selected="0">
            <x v="4"/>
          </reference>
          <reference field="87" count="1" selected="0">
            <x v="1361"/>
          </reference>
          <reference field="88" count="1">
            <x v="215"/>
          </reference>
        </references>
      </pivotArea>
    </format>
    <format dxfId="816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003"/>
          </reference>
          <reference field="82" count="1" selected="0">
            <x v="412"/>
          </reference>
          <reference field="85" count="1" selected="0">
            <x v="4"/>
          </reference>
          <reference field="87" count="1" selected="0">
            <x v="1362"/>
          </reference>
          <reference field="88" count="1">
            <x v="194"/>
          </reference>
        </references>
      </pivotArea>
    </format>
    <format dxfId="816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010"/>
          </reference>
          <reference field="82" count="1" selected="0">
            <x v="413"/>
          </reference>
          <reference field="85" count="1" selected="0">
            <x v="4"/>
          </reference>
          <reference field="87" count="1" selected="0">
            <x v="1369"/>
          </reference>
          <reference field="88" count="1">
            <x v="195"/>
          </reference>
        </references>
      </pivotArea>
    </format>
    <format dxfId="816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011"/>
          </reference>
          <reference field="82" count="1" selected="0">
            <x v="416"/>
          </reference>
          <reference field="85" count="1" selected="0">
            <x v="4"/>
          </reference>
          <reference field="87" count="1" selected="0">
            <x v="1370"/>
          </reference>
          <reference field="88" count="1">
            <x v="198"/>
          </reference>
        </references>
      </pivotArea>
    </format>
    <format dxfId="816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selected="0">
            <x v="1352"/>
          </reference>
          <reference field="88" count="1">
            <x v="171"/>
          </reference>
        </references>
      </pivotArea>
    </format>
    <format dxfId="816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selected="0">
            <x v="1353"/>
          </reference>
          <reference field="88" count="1">
            <x v="172"/>
          </reference>
        </references>
      </pivotArea>
    </format>
    <format dxfId="816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selected="0">
            <x v="1354"/>
          </reference>
          <reference field="88" count="1">
            <x v="173"/>
          </reference>
        </references>
      </pivotArea>
    </format>
    <format dxfId="816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selected="0">
            <x v="1355"/>
          </reference>
          <reference field="88" count="1">
            <x v="174"/>
          </reference>
        </references>
      </pivotArea>
    </format>
    <format dxfId="816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007"/>
          </reference>
          <reference field="82" count="1" selected="0">
            <x v="526"/>
          </reference>
          <reference field="85" count="1" selected="0">
            <x v="3"/>
          </reference>
          <reference field="87" count="1" selected="0">
            <x v="1460"/>
          </reference>
          <reference field="88" count="1">
            <x v="309"/>
          </reference>
        </references>
      </pivotArea>
    </format>
    <format dxfId="816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96"/>
          </reference>
          <reference field="82" count="1" selected="0">
            <x v="525"/>
          </reference>
          <reference field="85" count="1" selected="0">
            <x v="3"/>
          </reference>
          <reference field="87" count="1" selected="0">
            <x v="1459"/>
          </reference>
          <reference field="88" count="1">
            <x v="308"/>
          </reference>
        </references>
      </pivotArea>
    </format>
    <format dxfId="816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selected="0">
            <x v="1352"/>
          </reference>
          <reference field="88" count="1">
            <x v="171"/>
          </reference>
        </references>
      </pivotArea>
    </format>
    <format dxfId="815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selected="0">
            <x v="1353"/>
          </reference>
          <reference field="88" count="1">
            <x v="172"/>
          </reference>
        </references>
      </pivotArea>
    </format>
    <format dxfId="815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selected="0">
            <x v="1354"/>
          </reference>
          <reference field="88" count="1">
            <x v="173"/>
          </reference>
        </references>
      </pivotArea>
    </format>
    <format dxfId="815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selected="0">
            <x v="1355"/>
          </reference>
          <reference field="88" count="1">
            <x v="174"/>
          </reference>
        </references>
      </pivotArea>
    </format>
    <format dxfId="815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93"/>
          </reference>
          <reference field="82" count="1" selected="0">
            <x v="389"/>
          </reference>
          <reference field="85" count="1" selected="0">
            <x v="4"/>
          </reference>
          <reference field="87" count="1" selected="0">
            <x v="1352"/>
          </reference>
          <reference field="88" count="1">
            <x v="171"/>
          </reference>
        </references>
      </pivotArea>
    </format>
    <format dxfId="815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94"/>
          </reference>
          <reference field="82" count="1" selected="0">
            <x v="390"/>
          </reference>
          <reference field="85" count="1" selected="0">
            <x v="4"/>
          </reference>
          <reference field="87" count="1" selected="0">
            <x v="1353"/>
          </reference>
          <reference field="88" count="1">
            <x v="172"/>
          </reference>
        </references>
      </pivotArea>
    </format>
    <format dxfId="815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selected="0">
            <x v="1354"/>
          </reference>
          <reference field="88" count="1">
            <x v="173"/>
          </reference>
        </references>
      </pivotArea>
    </format>
    <format dxfId="815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96"/>
          </reference>
          <reference field="82" count="1" selected="0">
            <x v="392"/>
          </reference>
          <reference field="85" count="1" selected="0">
            <x v="4"/>
          </reference>
          <reference field="87" count="1" selected="0">
            <x v="1355"/>
          </reference>
          <reference field="88" count="1">
            <x v="174"/>
          </reference>
        </references>
      </pivotArea>
    </format>
    <format dxfId="815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010"/>
          </reference>
          <reference field="82" count="1" selected="0">
            <x v="539"/>
          </reference>
          <reference field="85" count="1" selected="0">
            <x v="0"/>
          </reference>
          <reference field="87" count="1" selected="0">
            <x v="1473"/>
          </reference>
          <reference field="88" count="1">
            <x v="323"/>
          </reference>
        </references>
      </pivotArea>
    </format>
    <format dxfId="815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012"/>
          </reference>
          <reference field="82" count="1" selected="0">
            <x v="560"/>
          </reference>
          <reference field="85" count="1" selected="0">
            <x v="0"/>
          </reference>
          <reference field="87" count="1" selected="0">
            <x v="1495"/>
          </reference>
          <reference field="88" count="1">
            <x v="345"/>
          </reference>
        </references>
      </pivotArea>
    </format>
    <format dxfId="815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017"/>
          </reference>
          <reference field="82" count="1" selected="0">
            <x v="559"/>
          </reference>
          <reference field="85" count="1" selected="0">
            <x v="0"/>
          </reference>
          <reference field="87" count="1" selected="0">
            <x v="1494"/>
          </reference>
          <reference field="88" count="1">
            <x v="344"/>
          </reference>
        </references>
      </pivotArea>
    </format>
    <format dxfId="814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selected="0">
            <x v="1450"/>
          </reference>
          <reference field="88" count="1">
            <x v="294"/>
          </reference>
        </references>
      </pivotArea>
    </format>
    <format dxfId="814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selected="0">
            <x v="1451"/>
          </reference>
          <reference field="88" count="1">
            <x v="295"/>
          </reference>
        </references>
      </pivotArea>
    </format>
    <format dxfId="814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13"/>
          </reference>
          <reference field="85" count="1" selected="0">
            <x v="7"/>
          </reference>
          <reference field="87" count="1" selected="0">
            <x v="1445"/>
          </reference>
          <reference field="88" count="1">
            <x v="296"/>
          </reference>
        </references>
      </pivotArea>
    </format>
    <format dxfId="814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54"/>
          </reference>
          <reference field="82" count="1" selected="0">
            <x v="471"/>
          </reference>
          <reference field="85" count="1" selected="0">
            <x v="4"/>
          </reference>
          <reference field="87" count="1" selected="0">
            <x v="1417"/>
          </reference>
          <reference field="88" count="1">
            <x v="254"/>
          </reference>
        </references>
      </pivotArea>
    </format>
    <format dxfId="814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44"/>
          </reference>
          <reference field="82" count="1" selected="0">
            <x v="472"/>
          </reference>
          <reference field="85" count="1" selected="0">
            <x v="4"/>
          </reference>
          <reference field="87" count="1" selected="0">
            <x v="1407"/>
          </reference>
          <reference field="88" count="1">
            <x v="255"/>
          </reference>
        </references>
      </pivotArea>
    </format>
    <format dxfId="814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55"/>
          </reference>
          <reference field="82" count="1" selected="0">
            <x v="473"/>
          </reference>
          <reference field="85" count="1" selected="0">
            <x v="4"/>
          </reference>
          <reference field="87" count="1" selected="0">
            <x v="1418"/>
          </reference>
          <reference field="88" count="1">
            <x v="256"/>
          </reference>
        </references>
      </pivotArea>
    </format>
    <format dxfId="814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56"/>
          </reference>
          <reference field="82" count="1" selected="0">
            <x v="474"/>
          </reference>
          <reference field="85" count="1" selected="0">
            <x v="4"/>
          </reference>
          <reference field="87" count="1" selected="0">
            <x v="1419"/>
          </reference>
          <reference field="88" count="1">
            <x v="257"/>
          </reference>
        </references>
      </pivotArea>
    </format>
    <format dxfId="814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110"/>
          </reference>
          <reference field="82" count="1" selected="0">
            <x v="566"/>
          </reference>
          <reference field="85" count="1" selected="0">
            <x v="0"/>
          </reference>
          <reference field="87" count="1" selected="0">
            <x v="1483"/>
          </reference>
          <reference field="88" count="1">
            <x v="351"/>
          </reference>
        </references>
      </pivotArea>
    </format>
    <format dxfId="814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124"/>
          </reference>
          <reference field="82" count="1" selected="0">
            <x v="570"/>
          </reference>
          <reference field="85" count="1" selected="0">
            <x v="0"/>
          </reference>
          <reference field="87" count="1" selected="0">
            <x v="1503"/>
          </reference>
          <reference field="88" count="1">
            <x v="355"/>
          </reference>
        </references>
      </pivotArea>
    </format>
    <format dxfId="814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029"/>
          </reference>
          <reference field="82" count="1" selected="0">
            <x v="571"/>
          </reference>
          <reference field="85" count="1" selected="0">
            <x v="0"/>
          </reference>
          <reference field="87" count="1" selected="0">
            <x v="1504"/>
          </reference>
          <reference field="88" count="1">
            <x v="356"/>
          </reference>
        </references>
      </pivotArea>
    </format>
    <format dxfId="8139">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selected="0">
            <x v="7"/>
          </reference>
          <reference field="87" count="1" selected="0">
            <x v="1448"/>
          </reference>
          <reference field="88" count="1">
            <x v="291"/>
          </reference>
        </references>
      </pivotArea>
    </format>
    <format dxfId="813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77"/>
          </reference>
          <reference field="82" count="1" selected="0">
            <x v="509"/>
          </reference>
          <reference field="85" count="1" selected="0">
            <x v="7"/>
          </reference>
          <reference field="87" count="1" selected="0">
            <x v="1440"/>
          </reference>
          <reference field="88" count="1">
            <x v="292"/>
          </reference>
        </references>
      </pivotArea>
    </format>
    <format dxfId="813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selected="0">
            <x v="3"/>
          </reference>
          <reference field="87" count="1" selected="0">
            <x v="1517"/>
          </reference>
          <reference field="88" count="1">
            <x v="372"/>
          </reference>
        </references>
      </pivotArea>
    </format>
    <format dxfId="813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selected="0">
            <x v="1450"/>
          </reference>
          <reference field="88" count="1">
            <x v="294"/>
          </reference>
        </references>
      </pivotArea>
    </format>
    <format dxfId="813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selected="0">
            <x v="1451"/>
          </reference>
          <reference field="88" count="1">
            <x v="295"/>
          </reference>
        </references>
      </pivotArea>
    </format>
    <format dxfId="813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selected="0">
            <x v="1450"/>
          </reference>
          <reference field="88" count="1">
            <x v="294"/>
          </reference>
        </references>
      </pivotArea>
    </format>
    <format dxfId="813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selected="0">
            <x v="1451"/>
          </reference>
          <reference field="88" count="1">
            <x v="295"/>
          </reference>
        </references>
      </pivotArea>
    </format>
    <format dxfId="813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82"/>
          </reference>
          <reference field="82" count="1" selected="0">
            <x v="513"/>
          </reference>
          <reference field="85" count="1" selected="0">
            <x v="7"/>
          </reference>
          <reference field="87" count="1" selected="0">
            <x v="1445"/>
          </reference>
          <reference field="88" count="1">
            <x v="296"/>
          </reference>
        </references>
      </pivotArea>
    </format>
    <format dxfId="813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52"/>
          </reference>
          <reference field="82" count="1" selected="0">
            <x v="467"/>
          </reference>
          <reference field="85" count="1" selected="0">
            <x v="4"/>
          </reference>
          <reference field="87" count="1" selected="0">
            <x v="1415"/>
          </reference>
          <reference field="88" count="1">
            <x v="250"/>
          </reference>
        </references>
      </pivotArea>
    </format>
    <format dxfId="813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50"/>
          </reference>
          <reference field="82" count="1" selected="0">
            <x v="468"/>
          </reference>
          <reference field="85" count="1" selected="0">
            <x v="4"/>
          </reference>
          <reference field="87" count="1" selected="0">
            <x v="1413"/>
          </reference>
          <reference field="88" count="1">
            <x v="251"/>
          </reference>
        </references>
      </pivotArea>
    </format>
    <format dxfId="812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53"/>
          </reference>
          <reference field="82" count="1" selected="0">
            <x v="469"/>
          </reference>
          <reference field="85" count="1" selected="0">
            <x v="4"/>
          </reference>
          <reference field="87" count="1" selected="0">
            <x v="1416"/>
          </reference>
          <reference field="88" count="1">
            <x v="252"/>
          </reference>
        </references>
      </pivotArea>
    </format>
    <format dxfId="812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45"/>
          </reference>
          <reference field="82" count="1" selected="0">
            <x v="470"/>
          </reference>
          <reference field="85" count="1" selected="0">
            <x v="4"/>
          </reference>
          <reference field="87" count="1" selected="0">
            <x v="1408"/>
          </reference>
          <reference field="88" count="1">
            <x v="253"/>
          </reference>
        </references>
      </pivotArea>
    </format>
    <format dxfId="812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122"/>
          </reference>
          <reference field="82" count="1" selected="0">
            <x v="567"/>
          </reference>
          <reference field="85" count="1" selected="0">
            <x v="0"/>
          </reference>
          <reference field="87" count="1" selected="0">
            <x v="1501"/>
          </reference>
          <reference field="88" count="1">
            <x v="352"/>
          </reference>
        </references>
      </pivotArea>
    </format>
    <format dxfId="812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109"/>
          </reference>
          <reference field="82" count="1" selected="0">
            <x v="568"/>
          </reference>
          <reference field="85" count="1" selected="0">
            <x v="0"/>
          </reference>
          <reference field="87" count="1" selected="0">
            <x v="1481"/>
          </reference>
          <reference field="88" count="1">
            <x v="353"/>
          </reference>
        </references>
      </pivotArea>
    </format>
    <format dxfId="812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123"/>
          </reference>
          <reference field="82" count="1" selected="0">
            <x v="569"/>
          </reference>
          <reference field="85" count="1" selected="0">
            <x v="0"/>
          </reference>
          <reference field="87" count="1" selected="0">
            <x v="1502"/>
          </reference>
          <reference field="88" count="1">
            <x v="354"/>
          </reference>
        </references>
      </pivotArea>
    </format>
    <format dxfId="8124">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85"/>
          </reference>
          <reference field="82" count="1" selected="0">
            <x v="508"/>
          </reference>
          <reference field="85" count="1" selected="0">
            <x v="7"/>
          </reference>
          <reference field="87" count="1" selected="0">
            <x v="1448"/>
          </reference>
          <reference field="88" count="1">
            <x v="291"/>
          </reference>
        </references>
      </pivotArea>
    </format>
    <format dxfId="812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024"/>
          </reference>
          <reference field="82" count="1" selected="0">
            <x v="587"/>
          </reference>
          <reference field="85" count="1" selected="0">
            <x v="3"/>
          </reference>
          <reference field="87" count="1" selected="0">
            <x v="1517"/>
          </reference>
          <reference field="88" count="1">
            <x v="372"/>
          </reference>
        </references>
      </pivotArea>
    </format>
    <format dxfId="812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87"/>
          </reference>
          <reference field="82" count="1" selected="0">
            <x v="511"/>
          </reference>
          <reference field="85" count="1" selected="0">
            <x v="7"/>
          </reference>
          <reference field="87" count="1" selected="0">
            <x v="1450"/>
          </reference>
          <reference field="88" count="1">
            <x v="294"/>
          </reference>
        </references>
      </pivotArea>
    </format>
    <format dxfId="812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88"/>
          </reference>
          <reference field="82" count="1" selected="0">
            <x v="512"/>
          </reference>
          <reference field="85" count="1" selected="0">
            <x v="7"/>
          </reference>
          <reference field="87" count="1" selected="0">
            <x v="1451"/>
          </reference>
          <reference field="88" count="1">
            <x v="295"/>
          </reference>
        </references>
      </pivotArea>
    </format>
    <format dxfId="812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96"/>
          </reference>
          <reference field="82" count="1" selected="0">
            <x v="530"/>
          </reference>
          <reference field="85" count="1" selected="0">
            <x v="3"/>
          </reference>
          <reference field="87" count="1" selected="0">
            <x v="1459"/>
          </reference>
          <reference field="88" count="1">
            <x v="313"/>
          </reference>
        </references>
      </pivotArea>
    </format>
    <format dxfId="811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99"/>
          </reference>
          <reference field="82" count="1" selected="0">
            <x v="529"/>
          </reference>
          <reference field="85" count="1" selected="0">
            <x v="3"/>
          </reference>
          <reference field="87" count="1" selected="0">
            <x v="1463"/>
          </reference>
          <reference field="88" count="1">
            <x v="312"/>
          </reference>
        </references>
      </pivotArea>
    </format>
    <format dxfId="811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97"/>
          </reference>
          <reference field="82" count="1" selected="0">
            <x v="527"/>
          </reference>
          <reference field="85" count="1" selected="0">
            <x v="3"/>
          </reference>
          <reference field="87" count="1" selected="0">
            <x v="1461"/>
          </reference>
          <reference field="88" count="1">
            <x v="310"/>
          </reference>
        </references>
      </pivotArea>
    </format>
    <format dxfId="811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98"/>
          </reference>
          <reference field="82" count="1" selected="0">
            <x v="528"/>
          </reference>
          <reference field="85" count="1" selected="0">
            <x v="3"/>
          </reference>
          <reference field="87" count="1" selected="0">
            <x v="1462"/>
          </reference>
          <reference field="88" count="1">
            <x v="311"/>
          </reference>
        </references>
      </pivotArea>
    </format>
    <format dxfId="8116">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selected="0">
            <x v="4"/>
          </reference>
          <reference field="87" count="1" selected="0">
            <x v="1428"/>
          </reference>
          <reference field="88" count="1">
            <x v="266"/>
          </reference>
        </references>
      </pivotArea>
    </format>
    <format dxfId="811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118"/>
          </reference>
          <reference field="82" count="1" selected="0">
            <x v="561"/>
          </reference>
          <reference field="85" count="1" selected="0">
            <x v="0"/>
          </reference>
          <reference field="87" count="1" selected="0">
            <x v="1496"/>
          </reference>
          <reference field="88" count="1">
            <x v="346"/>
          </reference>
        </references>
      </pivotArea>
    </format>
    <format dxfId="811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119"/>
          </reference>
          <reference field="82" count="1" selected="0">
            <x v="562"/>
          </reference>
          <reference field="85" count="1" selected="0">
            <x v="0"/>
          </reference>
          <reference field="87" count="1" selected="0">
            <x v="1497"/>
          </reference>
          <reference field="88" count="1">
            <x v="347"/>
          </reference>
        </references>
      </pivotArea>
    </format>
    <format dxfId="811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030"/>
          </reference>
          <reference field="82" count="1" selected="0">
            <x v="563"/>
          </reference>
          <reference field="85" count="1" selected="0">
            <x v="0"/>
          </reference>
          <reference field="87" count="1" selected="0">
            <x v="1498"/>
          </reference>
          <reference field="88" count="1">
            <x v="348"/>
          </reference>
        </references>
      </pivotArea>
    </format>
    <format dxfId="811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selected="0">
            <x v="2"/>
          </reference>
          <reference field="87" count="1" selected="0">
            <x v="1384"/>
          </reference>
          <reference field="88" count="1">
            <x v="218"/>
          </reference>
        </references>
      </pivotArea>
    </format>
    <format dxfId="811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selected="0">
            <x v="437"/>
          </reference>
          <reference field="85" count="1" selected="0">
            <x v="2"/>
          </reference>
          <reference field="87" count="1" selected="0">
            <x v="1385"/>
          </reference>
          <reference field="88" count="1">
            <x v="219"/>
          </reference>
        </references>
      </pivotArea>
    </format>
    <format dxfId="811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selected="0">
            <x v="435"/>
          </reference>
          <reference field="85" count="1" selected="0">
            <x v="2"/>
          </reference>
          <reference field="87" count="1" selected="0">
            <x v="1383"/>
          </reference>
          <reference field="88" count="1">
            <x v="217"/>
          </reference>
        </references>
      </pivotArea>
    </format>
    <format dxfId="8109">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65"/>
          </reference>
          <reference field="82" count="1" selected="0">
            <x v="483"/>
          </reference>
          <reference field="85" count="1" selected="0">
            <x v="4"/>
          </reference>
          <reference field="87" count="1" selected="0">
            <x v="1428"/>
          </reference>
          <reference field="88" count="1">
            <x v="266"/>
          </reference>
        </references>
      </pivotArea>
    </format>
    <format dxfId="8108">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120"/>
          </reference>
          <reference field="82" count="1" selected="0">
            <x v="564"/>
          </reference>
          <reference field="85" count="1" selected="0">
            <x v="0"/>
          </reference>
          <reference field="87" count="1" selected="0">
            <x v="1499"/>
          </reference>
          <reference field="88" count="1">
            <x v="349"/>
          </reference>
        </references>
      </pivotArea>
    </format>
    <format dxfId="810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121"/>
          </reference>
          <reference field="82" count="1" selected="0">
            <x v="565"/>
          </reference>
          <reference field="85" count="1" selected="0">
            <x v="0"/>
          </reference>
          <reference field="87" count="1" selected="0">
            <x v="1500"/>
          </reference>
          <reference field="88" count="1">
            <x v="350"/>
          </reference>
        </references>
      </pivotArea>
    </format>
    <format dxfId="810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110"/>
          </reference>
          <reference field="82" count="1" selected="0">
            <x v="566"/>
          </reference>
          <reference field="85" count="1" selected="0">
            <x v="0"/>
          </reference>
          <reference field="87" count="1" selected="0">
            <x v="1483"/>
          </reference>
          <reference field="88" count="1">
            <x v="351"/>
          </reference>
        </references>
      </pivotArea>
    </format>
    <format dxfId="810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025"/>
          </reference>
          <reference field="82" count="1" selected="0">
            <x v="436"/>
          </reference>
          <reference field="85" count="1" selected="0">
            <x v="2"/>
          </reference>
          <reference field="87" count="1" selected="0">
            <x v="1384"/>
          </reference>
          <reference field="88" count="1">
            <x v="218"/>
          </reference>
        </references>
      </pivotArea>
    </format>
    <format dxfId="810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026"/>
          </reference>
          <reference field="82" count="1" selected="0">
            <x v="437"/>
          </reference>
          <reference field="85" count="1" selected="0">
            <x v="2"/>
          </reference>
          <reference field="87" count="1" selected="0">
            <x v="1385"/>
          </reference>
          <reference field="88" count="1">
            <x v="219"/>
          </reference>
        </references>
      </pivotArea>
    </format>
    <format dxfId="810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027"/>
          </reference>
          <reference field="82" count="1" selected="0">
            <x v="438"/>
          </reference>
          <reference field="85" count="1" selected="0">
            <x v="2"/>
          </reference>
          <reference field="87" count="1" selected="0">
            <x v="1386"/>
          </reference>
          <reference field="88" count="1">
            <x v="220"/>
          </reference>
        </references>
      </pivotArea>
    </format>
    <format dxfId="810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024"/>
          </reference>
          <reference field="82" count="1" selected="0">
            <x v="435"/>
          </reference>
          <reference field="85" count="1" selected="0">
            <x v="2"/>
          </reference>
          <reference field="87" count="1" selected="0">
            <x v="1383"/>
          </reference>
          <reference field="88" count="1">
            <x v="217"/>
          </reference>
        </references>
      </pivotArea>
    </format>
    <format dxfId="810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028"/>
          </reference>
          <reference field="82" count="1" selected="0">
            <x v="439"/>
          </reference>
          <reference field="85" count="1" selected="0">
            <x v="2"/>
          </reference>
          <reference field="87" count="1" selected="0">
            <x v="1387"/>
          </reference>
          <reference field="88" count="1">
            <x v="221"/>
          </reference>
        </references>
      </pivotArea>
    </format>
    <format dxfId="8100">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83"/>
          </reference>
          <reference field="82" count="1" selected="0">
            <x v="506"/>
          </reference>
          <reference field="85" count="1" selected="0">
            <x v="7"/>
          </reference>
          <reference field="87" count="1" selected="0">
            <x v="1446"/>
          </reference>
          <reference field="88" count="1">
            <x v="289"/>
          </reference>
        </references>
      </pivotArea>
    </format>
    <format dxfId="809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84"/>
          </reference>
          <reference field="82" count="1" selected="0">
            <x v="507"/>
          </reference>
          <reference field="85" count="1" selected="0">
            <x v="7"/>
          </reference>
          <reference field="87" count="1" selected="0">
            <x v="1447"/>
          </reference>
          <reference field="88" count="1">
            <x v="290"/>
          </reference>
        </references>
      </pivotArea>
    </format>
    <format dxfId="809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15"/>
          </reference>
          <reference field="85" count="1" selected="0">
            <x v="4"/>
          </reference>
          <reference field="87" count="1" selected="0">
            <x v="1372"/>
          </reference>
          <reference field="88" count="1">
            <x v="197"/>
          </reference>
        </references>
      </pivotArea>
    </format>
    <format dxfId="809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selected="0">
            <x v="417"/>
          </reference>
          <reference field="85" count="1" selected="0">
            <x v="4"/>
          </reference>
          <reference field="87" count="1" selected="0">
            <x v="1373"/>
          </reference>
          <reference field="88" count="1">
            <x v="199"/>
          </reference>
        </references>
      </pivotArea>
    </format>
    <format dxfId="809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selected="0">
            <x v="391"/>
          </reference>
          <reference field="85" count="1" selected="0">
            <x v="4"/>
          </reference>
          <reference field="87" count="1" selected="0">
            <x v="1354"/>
          </reference>
          <reference field="88" count="1">
            <x v="173"/>
          </reference>
        </references>
      </pivotArea>
    </format>
    <format dxfId="809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selected="0">
            <x v="416"/>
          </reference>
          <reference field="85" count="1" selected="0">
            <x v="4"/>
          </reference>
          <reference field="87" count="1" selected="0">
            <x v="1370"/>
          </reference>
          <reference field="88" count="1">
            <x v="198"/>
          </reference>
        </references>
      </pivotArea>
    </format>
    <format dxfId="809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013"/>
          </reference>
          <reference field="82" count="1" selected="0">
            <x v="421"/>
          </reference>
          <reference field="85" count="1" selected="0">
            <x v="4"/>
          </reference>
          <reference field="87" count="1" selected="0">
            <x v="1372"/>
          </reference>
          <reference field="88" count="1">
            <x v="203"/>
          </reference>
        </references>
      </pivotArea>
    </format>
    <format dxfId="809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014"/>
          </reference>
          <reference field="82" count="1" selected="0">
            <x v="422"/>
          </reference>
          <reference field="85" count="1" selected="0">
            <x v="4"/>
          </reference>
          <reference field="87" count="1" selected="0">
            <x v="1373"/>
          </reference>
          <reference field="88" count="1">
            <x v="204"/>
          </reference>
        </references>
      </pivotArea>
    </format>
    <format dxfId="809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95"/>
          </reference>
          <reference field="82" count="1" selected="0">
            <x v="423"/>
          </reference>
          <reference field="85" count="1" selected="0">
            <x v="4"/>
          </reference>
          <reference field="87" count="1" selected="0">
            <x v="1354"/>
          </reference>
          <reference field="88" count="1">
            <x v="205"/>
          </reference>
        </references>
      </pivotArea>
    </format>
    <format dxfId="809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011"/>
          </reference>
          <reference field="82" count="1" selected="0">
            <x v="420"/>
          </reference>
          <reference field="85" count="1" selected="0">
            <x v="4"/>
          </reference>
          <reference field="87" count="1" selected="0">
            <x v="1370"/>
          </reference>
          <reference field="88" count="1">
            <x v="202"/>
          </reference>
        </references>
      </pivotArea>
    </format>
    <format dxfId="809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013"/>
          </reference>
          <reference field="82" count="1" selected="0">
            <x v="418"/>
          </reference>
          <reference field="85" count="1" selected="0">
            <x v="4"/>
          </reference>
          <reference field="87" count="1" selected="0">
            <x v="1372"/>
          </reference>
          <reference field="88" count="1">
            <x v="200"/>
          </reference>
        </references>
      </pivotArea>
    </format>
    <format dxfId="808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94"/>
          </reference>
          <reference field="82" count="1" selected="0">
            <x v="419"/>
          </reference>
          <reference field="85" count="1" selected="0">
            <x v="4"/>
          </reference>
          <reference field="87" count="1" selected="0">
            <x v="1353"/>
          </reference>
          <reference field="88" count="1">
            <x v="201"/>
          </reference>
        </references>
      </pivotArea>
    </format>
    <format dxfId="808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011"/>
          </reference>
          <reference field="82" count="1" selected="0">
            <x v="411"/>
          </reference>
          <reference field="85" count="1" selected="0">
            <x v="4"/>
          </reference>
          <reference field="87" count="1" selected="0">
            <x v="1370"/>
          </reference>
          <reference field="88" count="1">
            <x v="193"/>
          </reference>
        </references>
      </pivotArea>
    </format>
    <format dxfId="808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selected="0">
            <x v="1363"/>
          </reference>
          <reference field="88" count="1">
            <x v="182"/>
          </reference>
        </references>
      </pivotArea>
    </format>
    <format dxfId="808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87"/>
          </reference>
          <reference field="82" count="1" selected="0">
            <x v="521"/>
          </reference>
          <reference field="85" count="1" selected="0">
            <x v="7"/>
          </reference>
          <reference field="87" count="1" selected="0">
            <x v="1450"/>
          </reference>
          <reference field="88" count="1">
            <x v="304"/>
          </reference>
        </references>
      </pivotArea>
    </format>
    <format dxfId="808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93"/>
          </reference>
          <reference field="82" count="1" selected="0">
            <x v="522"/>
          </reference>
          <reference field="85" count="1" selected="0">
            <x v="7"/>
          </reference>
          <reference field="87" count="1" selected="0">
            <x v="1456"/>
          </reference>
          <reference field="88" count="1">
            <x v="305"/>
          </reference>
        </references>
      </pivotArea>
    </format>
    <format dxfId="8084">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39"/>
          </reference>
          <reference field="82" count="1" selected="0">
            <x v="454"/>
          </reference>
          <reference field="85" count="1" selected="0">
            <x v="2"/>
          </reference>
          <reference field="87" count="1" selected="0">
            <x v="1402"/>
          </reference>
          <reference field="88" count="1">
            <x v="237"/>
          </reference>
        </references>
      </pivotArea>
    </format>
    <format dxfId="8083">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019"/>
          </reference>
          <reference field="82" count="1" selected="0">
            <x v="429"/>
          </reference>
          <reference field="85" count="1" selected="0">
            <x v="4"/>
          </reference>
          <reference field="87" count="1" selected="0">
            <x v="1378"/>
          </reference>
          <reference field="88" count="1">
            <x v="211"/>
          </reference>
        </references>
      </pivotArea>
    </format>
    <format dxfId="8082">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020"/>
          </reference>
          <reference field="82" count="1" selected="0">
            <x v="430"/>
          </reference>
          <reference field="85" count="1" selected="0">
            <x v="4"/>
          </reference>
          <reference field="87" count="1" selected="0">
            <x v="1379"/>
          </reference>
          <reference field="88" count="1">
            <x v="212"/>
          </reference>
        </references>
      </pivotArea>
    </format>
    <format dxfId="8081">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022"/>
          </reference>
          <reference field="82" count="1" selected="0">
            <x v="432"/>
          </reference>
          <reference field="85" count="1" selected="0">
            <x v="4"/>
          </reference>
          <reference field="87" count="1" selected="0">
            <x v="1381"/>
          </reference>
          <reference field="88" count="1">
            <x v="214"/>
          </reference>
        </references>
      </pivotArea>
    </format>
    <format dxfId="808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selected="0">
            <x v="1403"/>
          </reference>
          <reference field="88" count="1">
            <x v="238"/>
          </reference>
        </references>
      </pivotArea>
    </format>
    <format dxfId="807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selected="0">
            <x v="1406"/>
          </reference>
          <reference field="88" count="1">
            <x v="241"/>
          </reference>
        </references>
      </pivotArea>
    </format>
    <format dxfId="807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selected="0">
            <x v="1404"/>
          </reference>
          <reference field="88" count="1">
            <x v="239"/>
          </reference>
        </references>
      </pivotArea>
    </format>
    <format dxfId="807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selected="0">
            <x v="1405"/>
          </reference>
          <reference field="88" count="1">
            <x v="240"/>
          </reference>
        </references>
      </pivotArea>
    </format>
    <format dxfId="807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selected="0">
            <x v="1364"/>
          </reference>
          <reference field="88" count="1">
            <x v="183"/>
          </reference>
        </references>
      </pivotArea>
    </format>
    <format dxfId="807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selected="0">
            <x v="1360"/>
          </reference>
          <reference field="88" count="1">
            <x v="179"/>
          </reference>
        </references>
      </pivotArea>
    </format>
    <format dxfId="807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07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07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selected="0">
            <x v="1363"/>
          </reference>
          <reference field="88" count="1">
            <x v="182"/>
          </reference>
        </references>
      </pivotArea>
    </format>
    <format dxfId="807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selected="0">
            <x v="1403"/>
          </reference>
          <reference field="88" count="1">
            <x v="238"/>
          </reference>
        </references>
      </pivotArea>
    </format>
    <format dxfId="807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selected="0">
            <x v="1406"/>
          </reference>
          <reference field="88" count="1">
            <x v="241"/>
          </reference>
        </references>
      </pivotArea>
    </format>
    <format dxfId="806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selected="0">
            <x v="1404"/>
          </reference>
          <reference field="88" count="1">
            <x v="239"/>
          </reference>
        </references>
      </pivotArea>
    </format>
    <format dxfId="806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selected="0">
            <x v="1405"/>
          </reference>
          <reference field="88" count="1">
            <x v="240"/>
          </reference>
        </references>
      </pivotArea>
    </format>
    <format dxfId="806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selected="0">
            <x v="1364"/>
          </reference>
          <reference field="88" count="1">
            <x v="183"/>
          </reference>
        </references>
      </pivotArea>
    </format>
    <format dxfId="806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selected="0">
            <x v="1360"/>
          </reference>
          <reference field="88" count="1">
            <x v="179"/>
          </reference>
        </references>
      </pivotArea>
    </format>
    <format dxfId="806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06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06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selected="0">
            <x v="1363"/>
          </reference>
          <reference field="88" count="1">
            <x v="182"/>
          </reference>
        </references>
      </pivotArea>
    </format>
    <format dxfId="806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selected="0">
            <x v="1403"/>
          </reference>
          <reference field="88" count="1">
            <x v="238"/>
          </reference>
        </references>
      </pivotArea>
    </format>
    <format dxfId="806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selected="0">
            <x v="1406"/>
          </reference>
          <reference field="88" count="1">
            <x v="241"/>
          </reference>
        </references>
      </pivotArea>
    </format>
    <format dxfId="806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selected="0">
            <x v="1404"/>
          </reference>
          <reference field="88" count="1">
            <x v="239"/>
          </reference>
        </references>
      </pivotArea>
    </format>
    <format dxfId="805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selected="0">
            <x v="1405"/>
          </reference>
          <reference field="88" count="1">
            <x v="240"/>
          </reference>
        </references>
      </pivotArea>
    </format>
    <format dxfId="805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005"/>
          </reference>
          <reference field="82" count="1" selected="0">
            <x v="401"/>
          </reference>
          <reference field="85" count="1" selected="0">
            <x v="4"/>
          </reference>
          <reference field="87" count="1" selected="0">
            <x v="1364"/>
          </reference>
          <reference field="88" count="1">
            <x v="183"/>
          </reference>
        </references>
      </pivotArea>
    </format>
    <format dxfId="805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397"/>
          </reference>
          <reference field="85" count="1" selected="0">
            <x v="4"/>
          </reference>
          <reference field="87" count="1" selected="0">
            <x v="1360"/>
          </reference>
          <reference field="88" count="1">
            <x v="179"/>
          </reference>
        </references>
      </pivotArea>
    </format>
    <format dxfId="805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398"/>
          </reference>
          <reference field="85" count="1" selected="0">
            <x v="4"/>
          </reference>
          <reference field="87" count="1" selected="0">
            <x v="1361"/>
          </reference>
          <reference field="88" count="1">
            <x v="180"/>
          </reference>
        </references>
      </pivotArea>
    </format>
    <format dxfId="805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399"/>
          </reference>
          <reference field="85" count="1" selected="0">
            <x v="4"/>
          </reference>
          <reference field="87" count="1" selected="0">
            <x v="1362"/>
          </reference>
          <reference field="88" count="1">
            <x v="181"/>
          </reference>
        </references>
      </pivotArea>
    </format>
    <format dxfId="805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0"/>
          </reference>
          <reference field="85" count="1" selected="0">
            <x v="4"/>
          </reference>
          <reference field="87" count="1" selected="0">
            <x v="1363"/>
          </reference>
          <reference field="88" count="1">
            <x v="182"/>
          </reference>
        </references>
      </pivotArea>
    </format>
    <format dxfId="805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016"/>
          </reference>
          <reference field="82" count="1" selected="0">
            <x v="425"/>
          </reference>
          <reference field="85" count="1" selected="0">
            <x v="4"/>
          </reference>
          <reference field="87" count="1" selected="0">
            <x v="1375"/>
          </reference>
          <reference field="88" count="1">
            <x v="207"/>
          </reference>
        </references>
      </pivotArea>
    </format>
    <format dxfId="805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018"/>
          </reference>
          <reference field="82" count="1" selected="0">
            <x v="428"/>
          </reference>
          <reference field="85" count="1" selected="0">
            <x v="4"/>
          </reference>
          <reference field="87" count="1" selected="0">
            <x v="1377"/>
          </reference>
          <reference field="88" count="1">
            <x v="210"/>
          </reference>
        </references>
      </pivotArea>
    </format>
    <format dxfId="805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017"/>
          </reference>
          <reference field="82" count="1" selected="0">
            <x v="426"/>
          </reference>
          <reference field="85" count="1" selected="0">
            <x v="4"/>
          </reference>
          <reference field="87" count="1" selected="0">
            <x v="1376"/>
          </reference>
          <reference field="88" count="1">
            <x v="208"/>
          </reference>
        </references>
      </pivotArea>
    </format>
    <format dxfId="805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004"/>
          </reference>
          <reference field="82" count="1" selected="0">
            <x v="427"/>
          </reference>
          <reference field="85" count="1" selected="0">
            <x v="4"/>
          </reference>
          <reference field="87" count="1" selected="0">
            <x v="1363"/>
          </reference>
          <reference field="88" count="1">
            <x v="209"/>
          </reference>
        </references>
      </pivotArea>
    </format>
    <format dxfId="804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selected="0">
            <x v="406"/>
          </reference>
          <reference field="85" count="1" selected="0">
            <x v="4"/>
          </reference>
          <reference field="87" count="1" selected="0">
            <x v="1365"/>
          </reference>
          <reference field="88" count="1">
            <x v="188"/>
          </reference>
        </references>
      </pivotArea>
    </format>
    <format dxfId="804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selected="0">
            <x v="407"/>
          </reference>
          <reference field="85" count="1" selected="0">
            <x v="4"/>
          </reference>
          <reference field="87" count="1" selected="0">
            <x v="1366"/>
          </reference>
          <reference field="88" count="1">
            <x v="189"/>
          </reference>
        </references>
      </pivotArea>
    </format>
    <format dxfId="804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selected="0">
            <x v="408"/>
          </reference>
          <reference field="85" count="1" selected="0">
            <x v="4"/>
          </reference>
          <reference field="87" count="1" selected="0">
            <x v="1367"/>
          </reference>
          <reference field="88" count="1">
            <x v="190"/>
          </reference>
        </references>
      </pivotArea>
    </format>
    <format dxfId="804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selected="0">
            <x v="409"/>
          </reference>
          <reference field="85" count="1" selected="0">
            <x v="4"/>
          </reference>
          <reference field="87" count="1" selected="0">
            <x v="1368"/>
          </reference>
          <reference field="88" count="1">
            <x v="191"/>
          </reference>
        </references>
      </pivotArea>
    </format>
    <format dxfId="804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006"/>
          </reference>
          <reference field="82" count="1" selected="0">
            <x v="406"/>
          </reference>
          <reference field="85" count="1" selected="0">
            <x v="4"/>
          </reference>
          <reference field="87" count="1" selected="0">
            <x v="1365"/>
          </reference>
          <reference field="88" count="1">
            <x v="188"/>
          </reference>
        </references>
      </pivotArea>
    </format>
    <format dxfId="804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007"/>
          </reference>
          <reference field="82" count="1" selected="0">
            <x v="407"/>
          </reference>
          <reference field="85" count="1" selected="0">
            <x v="4"/>
          </reference>
          <reference field="87" count="1" selected="0">
            <x v="1366"/>
          </reference>
          <reference field="88" count="1">
            <x v="189"/>
          </reference>
        </references>
      </pivotArea>
    </format>
    <format dxfId="804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008"/>
          </reference>
          <reference field="82" count="1" selected="0">
            <x v="408"/>
          </reference>
          <reference field="85" count="1" selected="0">
            <x v="4"/>
          </reference>
          <reference field="87" count="1" selected="0">
            <x v="1367"/>
          </reference>
          <reference field="88" count="1">
            <x v="190"/>
          </reference>
        </references>
      </pivotArea>
    </format>
    <format dxfId="804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009"/>
          </reference>
          <reference field="82" count="1" selected="0">
            <x v="409"/>
          </reference>
          <reference field="85" count="1" selected="0">
            <x v="4"/>
          </reference>
          <reference field="87" count="1" selected="0">
            <x v="1368"/>
          </reference>
          <reference field="88" count="1">
            <x v="191"/>
          </reference>
        </references>
      </pivotArea>
    </format>
    <format dxfId="804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97"/>
          </reference>
          <reference field="82" count="1" selected="0">
            <x v="393"/>
          </reference>
          <reference field="85" count="1" selected="0">
            <x v="4"/>
          </reference>
          <reference field="87" count="1" selected="0">
            <x v="1356"/>
          </reference>
          <reference field="88" count="1">
            <x v="175"/>
          </reference>
        </references>
      </pivotArea>
    </format>
    <format dxfId="804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99"/>
          </reference>
          <reference field="82" count="1" selected="0">
            <x v="395"/>
          </reference>
          <reference field="85" count="1" selected="0">
            <x v="4"/>
          </reference>
          <reference field="87" count="1" selected="0">
            <x v="1358"/>
          </reference>
          <reference field="88" count="1">
            <x v="177"/>
          </reference>
        </references>
      </pivotArea>
    </format>
    <format dxfId="803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000"/>
          </reference>
          <reference field="82" count="1" selected="0">
            <x v="396"/>
          </reference>
          <reference field="85" count="1" selected="0">
            <x v="4"/>
          </reference>
          <reference field="87" count="1" selected="0">
            <x v="1359"/>
          </reference>
          <reference field="88" count="1">
            <x v="178"/>
          </reference>
        </references>
      </pivotArea>
    </format>
    <format dxfId="803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98"/>
          </reference>
          <reference field="82" count="1" selected="0">
            <x v="394"/>
          </reference>
          <reference field="85" count="1" selected="0">
            <x v="4"/>
          </reference>
          <reference field="87" count="1" selected="0">
            <x v="1357"/>
          </reference>
          <reference field="88" count="1">
            <x v="176"/>
          </reference>
        </references>
      </pivotArea>
    </format>
    <format dxfId="803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038"/>
          </reference>
          <reference field="82" count="1" selected="0">
            <x v="452"/>
          </reference>
          <reference field="85" count="1" selected="0">
            <x v="2"/>
          </reference>
          <reference field="87" count="1" selected="0">
            <x v="1400"/>
          </reference>
          <reference field="88" count="1">
            <x v="235"/>
          </reference>
        </references>
      </pivotArea>
    </format>
    <format dxfId="803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97"/>
          </reference>
          <reference field="82" count="1" selected="0">
            <x v="453"/>
          </reference>
          <reference field="85" count="1" selected="0">
            <x v="2"/>
          </reference>
          <reference field="87" count="1" selected="0">
            <x v="1401"/>
          </reference>
          <reference field="88" count="1">
            <x v="236"/>
          </reference>
        </references>
      </pivotArea>
    </format>
    <format dxfId="803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037"/>
          </reference>
          <reference field="82" count="1" selected="0">
            <x v="451"/>
          </reference>
          <reference field="85" count="1" selected="0">
            <x v="2"/>
          </reference>
          <reference field="87" count="1" selected="0">
            <x v="1399"/>
          </reference>
          <reference field="88" count="1">
            <x v="234"/>
          </reference>
        </references>
      </pivotArea>
    </format>
    <format dxfId="803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40"/>
          </reference>
          <reference field="82" count="1" selected="0">
            <x v="455"/>
          </reference>
          <reference field="85" count="1" selected="0">
            <x v="4"/>
          </reference>
          <reference field="87" count="1" selected="0">
            <x v="1403"/>
          </reference>
          <reference field="88" count="1">
            <x v="238"/>
          </reference>
        </references>
      </pivotArea>
    </format>
    <format dxfId="803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43"/>
          </reference>
          <reference field="82" count="1" selected="0">
            <x v="458"/>
          </reference>
          <reference field="85" count="1" selected="0">
            <x v="4"/>
          </reference>
          <reference field="87" count="1" selected="0">
            <x v="1406"/>
          </reference>
          <reference field="88" count="1">
            <x v="241"/>
          </reference>
        </references>
      </pivotArea>
    </format>
    <format dxfId="803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41"/>
          </reference>
          <reference field="82" count="1" selected="0">
            <x v="456"/>
          </reference>
          <reference field="85" count="1" selected="0">
            <x v="4"/>
          </reference>
          <reference field="87" count="1" selected="0">
            <x v="1404"/>
          </reference>
          <reference field="88" count="1">
            <x v="239"/>
          </reference>
        </references>
      </pivotArea>
    </format>
    <format dxfId="803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42"/>
          </reference>
          <reference field="82" count="1" selected="0">
            <x v="457"/>
          </reference>
          <reference field="85" count="1" selected="0">
            <x v="4"/>
          </reference>
          <reference field="87" count="1" selected="0">
            <x v="1405"/>
          </reference>
          <reference field="88" count="1">
            <x v="240"/>
          </reference>
        </references>
      </pivotArea>
    </format>
    <format dxfId="803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402"/>
          </reference>
          <reference field="85" count="1" selected="0">
            <x v="4"/>
          </reference>
          <reference field="87" count="1" selected="0">
            <x v="1360"/>
          </reference>
          <reference field="88" count="1">
            <x v="184"/>
          </reference>
        </references>
      </pivotArea>
    </format>
    <format dxfId="802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403"/>
          </reference>
          <reference field="85" count="1" selected="0">
            <x v="4"/>
          </reference>
          <reference field="87" count="1" selected="0">
            <x v="1361"/>
          </reference>
          <reference field="88" count="1">
            <x v="185"/>
          </reference>
        </references>
      </pivotArea>
    </format>
    <format dxfId="802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404"/>
          </reference>
          <reference field="85" count="1" selected="0">
            <x v="4"/>
          </reference>
          <reference field="87" count="1" selected="0">
            <x v="1362"/>
          </reference>
          <reference field="88" count="1">
            <x v="186"/>
          </reference>
        </references>
      </pivotArea>
    </format>
    <format dxfId="802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5"/>
          </reference>
          <reference field="85" count="1" selected="0">
            <x v="4"/>
          </reference>
          <reference field="87" count="1" selected="0">
            <x v="1363"/>
          </reference>
          <reference field="88" count="1">
            <x v="187"/>
          </reference>
        </references>
      </pivotArea>
    </format>
    <format dxfId="802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001"/>
          </reference>
          <reference field="82" count="1" selected="0">
            <x v="402"/>
          </reference>
          <reference field="85" count="1" selected="0">
            <x v="4"/>
          </reference>
          <reference field="87" count="1" selected="0">
            <x v="1360"/>
          </reference>
          <reference field="88" count="1">
            <x v="184"/>
          </reference>
        </references>
      </pivotArea>
    </format>
    <format dxfId="802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002"/>
          </reference>
          <reference field="82" count="1" selected="0">
            <x v="403"/>
          </reference>
          <reference field="85" count="1" selected="0">
            <x v="4"/>
          </reference>
          <reference field="87" count="1" selected="0">
            <x v="1361"/>
          </reference>
          <reference field="88" count="1">
            <x v="185"/>
          </reference>
        </references>
      </pivotArea>
    </format>
    <format dxfId="802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003"/>
          </reference>
          <reference field="82" count="1" selected="0">
            <x v="404"/>
          </reference>
          <reference field="85" count="1" selected="0">
            <x v="4"/>
          </reference>
          <reference field="87" count="1" selected="0">
            <x v="1362"/>
          </reference>
          <reference field="88" count="1">
            <x v="186"/>
          </reference>
        </references>
      </pivotArea>
    </format>
    <format dxfId="802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004"/>
          </reference>
          <reference field="82" count="1" selected="0">
            <x v="405"/>
          </reference>
          <reference field="85" count="1" selected="0">
            <x v="4"/>
          </reference>
          <reference field="87" count="1" selected="0">
            <x v="1363"/>
          </reference>
          <reference field="88" count="1">
            <x v="187"/>
          </reference>
        </references>
      </pivotArea>
    </format>
    <format dxfId="802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28"/>
          </reference>
          <reference field="82" count="1" selected="0">
            <x v="575"/>
          </reference>
          <reference field="85" count="1" selected="0">
            <x v="3"/>
          </reference>
          <reference field="87" count="1" selected="0">
            <x v="1508"/>
          </reference>
          <reference field="88" count="1">
            <x v="360"/>
          </reference>
        </references>
      </pivotArea>
    </format>
    <format dxfId="8021">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023"/>
          </reference>
          <reference field="82" count="1" selected="0">
            <x v="434"/>
          </reference>
          <reference field="85" count="1" selected="0">
            <x v="4"/>
          </reference>
          <reference field="87" count="1" selected="0">
            <x v="1382"/>
          </reference>
          <reference field="88" count="1">
            <x v="216"/>
          </reference>
        </references>
      </pivotArea>
    </format>
    <format dxfId="8020">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4"/>
          </reference>
          <reference field="85" count="1" selected="0">
            <x v="7"/>
          </reference>
          <reference field="87" count="1" selected="0">
            <x v="1514"/>
          </reference>
          <reference field="88" count="1">
            <x v="369"/>
          </reference>
        </references>
      </pivotArea>
    </format>
    <format dxfId="8019">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35"/>
          </reference>
          <reference field="82" count="1" selected="0">
            <x v="585"/>
          </reference>
          <reference field="85" count="1" selected="0">
            <x v="3"/>
          </reference>
          <reference field="87" count="1" selected="0">
            <x v="1515"/>
          </reference>
          <reference field="88" count="1">
            <x v="370"/>
          </reference>
        </references>
      </pivotArea>
    </format>
    <format dxfId="8018">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34"/>
          </reference>
          <reference field="82" count="1" selected="0">
            <x v="588"/>
          </reference>
          <reference field="85" count="1" selected="0">
            <x v="7"/>
          </reference>
          <reference field="87" count="1" selected="0">
            <x v="1514"/>
          </reference>
          <reference field="88" count="1">
            <x v="373"/>
          </reference>
        </references>
      </pivotArea>
    </format>
    <format dxfId="8017">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125"/>
          </reference>
          <reference field="82" count="1" selected="0">
            <x v="572"/>
          </reference>
          <reference field="85" count="1" selected="0">
            <x v="7"/>
          </reference>
          <reference field="87" count="1" selected="0">
            <x v="1505"/>
          </reference>
          <reference field="88" count="1">
            <x v="357"/>
          </reference>
        </references>
      </pivotArea>
    </format>
    <format dxfId="801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 field="85" count="1" selected="0">
            <x v="7"/>
          </reference>
          <reference field="87" count="1" selected="0">
            <x v="1512"/>
          </reference>
          <reference field="88" count="1">
            <x v="366"/>
          </reference>
        </references>
      </pivotArea>
    </format>
    <format dxfId="801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126"/>
          </reference>
          <reference field="82" count="1" selected="0">
            <x v="573"/>
          </reference>
          <reference field="85" count="1" selected="0">
            <x v="7"/>
          </reference>
          <reference field="87" count="1" selected="0">
            <x v="1506"/>
          </reference>
          <reference field="88" count="1">
            <x v="358"/>
          </reference>
        </references>
      </pivotArea>
    </format>
    <format dxfId="801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29"/>
          </reference>
          <reference field="82" count="1" selected="0">
            <x v="576"/>
          </reference>
          <reference field="85" count="1" selected="0">
            <x v="2"/>
          </reference>
          <reference field="87" count="1" selected="0">
            <x v="1509"/>
          </reference>
          <reference field="88" count="1">
            <x v="361"/>
          </reference>
        </references>
      </pivotArea>
    </format>
    <format dxfId="801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132"/>
          </reference>
          <reference field="82" count="1" selected="0">
            <x v="581"/>
          </reference>
          <reference field="85" count="1" selected="0">
            <x v="7"/>
          </reference>
          <reference field="87" count="1" selected="0">
            <x v="1512"/>
          </reference>
          <reference field="88" count="1">
            <x v="366"/>
          </reference>
        </references>
      </pivotArea>
    </format>
    <format dxfId="801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00"/>
          </reference>
          <reference field="82" count="1" selected="0">
            <x v="531"/>
          </reference>
          <reference field="85" count="1" selected="0">
            <x v="3"/>
          </reference>
          <reference field="87" count="1" selected="0">
            <x v="1464"/>
          </reference>
          <reference field="88" count="1">
            <x v="314"/>
          </reference>
        </references>
      </pivotArea>
    </format>
    <format dxfId="801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021"/>
          </reference>
          <reference field="82" count="1" selected="0">
            <x v="431"/>
          </reference>
          <reference field="85" count="1" selected="0">
            <x v="4"/>
          </reference>
          <reference field="87" count="1" selected="0">
            <x v="1380"/>
          </reference>
          <reference field="88" count="1">
            <x v="213"/>
          </reference>
        </references>
      </pivotArea>
    </format>
    <format dxfId="801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selected="0">
            <x v="2"/>
          </reference>
          <reference field="87" count="1" selected="0">
            <x v="1392"/>
          </reference>
          <reference field="88" count="1">
            <x v="226"/>
          </reference>
        </references>
      </pivotArea>
    </format>
    <format dxfId="800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99"/>
          </reference>
          <reference field="82" count="1" selected="0">
            <x v="444"/>
          </reference>
          <reference field="85" count="1" selected="0">
            <x v="2"/>
          </reference>
          <reference field="87" count="1" selected="0">
            <x v="1393"/>
          </reference>
          <reference field="88" count="1">
            <x v="227"/>
          </reference>
        </references>
      </pivotArea>
    </format>
    <format dxfId="800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037"/>
          </reference>
          <reference field="82" count="1" selected="0">
            <x v="450"/>
          </reference>
          <reference field="85" count="1" selected="0">
            <x v="2"/>
          </reference>
          <reference field="87" count="1" selected="0">
            <x v="1399"/>
          </reference>
          <reference field="88" count="1">
            <x v="233"/>
          </reference>
        </references>
      </pivotArea>
    </format>
    <format dxfId="800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036"/>
          </reference>
          <reference field="82" count="1" selected="0">
            <x v="448"/>
          </reference>
          <reference field="85" count="1" selected="0">
            <x v="2"/>
          </reference>
          <reference field="87" count="1" selected="0">
            <x v="1397"/>
          </reference>
          <reference field="88" count="1">
            <x v="231"/>
          </reference>
        </references>
      </pivotArea>
    </format>
    <format dxfId="800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035"/>
          </reference>
          <reference field="82" count="1" selected="0">
            <x v="447"/>
          </reference>
          <reference field="85" count="1" selected="0">
            <x v="2"/>
          </reference>
          <reference field="87" count="1" selected="0">
            <x v="1396"/>
          </reference>
          <reference field="88" count="1">
            <x v="230"/>
          </reference>
        </references>
      </pivotArea>
    </format>
    <format dxfId="800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034"/>
          </reference>
          <reference field="82" count="1" selected="0">
            <x v="446"/>
          </reference>
          <reference field="85" count="1" selected="0">
            <x v="2"/>
          </reference>
          <reference field="87" count="1" selected="0">
            <x v="1395"/>
          </reference>
          <reference field="88" count="1">
            <x v="229"/>
          </reference>
        </references>
      </pivotArea>
    </format>
    <format dxfId="800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selected="0">
            <x v="443"/>
          </reference>
          <reference field="85" count="1" selected="0">
            <x v="2"/>
          </reference>
          <reference field="87" count="1" selected="0">
            <x v="1391"/>
          </reference>
          <reference field="88" count="1">
            <x v="225"/>
          </reference>
        </references>
      </pivotArea>
    </format>
    <format dxfId="800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98"/>
          </reference>
          <reference field="82" count="1" selected="0">
            <x v="449"/>
          </reference>
          <reference field="85" count="1" selected="0">
            <x v="2"/>
          </reference>
          <reference field="87" count="1" selected="0">
            <x v="1398"/>
          </reference>
          <reference field="88" count="1">
            <x v="232"/>
          </reference>
        </references>
      </pivotArea>
    </format>
    <format dxfId="8002">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033"/>
          </reference>
          <reference field="82" count="1" selected="0">
            <x v="445"/>
          </reference>
          <reference field="85" count="1" selected="0">
            <x v="4"/>
          </reference>
          <reference field="87" count="1" selected="0">
            <x v="1394"/>
          </reference>
          <reference field="88" count="1">
            <x v="228"/>
          </reference>
        </references>
      </pivotArea>
    </format>
    <format dxfId="8001">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33"/>
          </reference>
          <reference field="82" count="1" selected="0">
            <x v="583"/>
          </reference>
          <reference field="85" count="1" selected="0">
            <x v="2"/>
          </reference>
          <reference field="87" count="1" selected="0">
            <x v="1513"/>
          </reference>
          <reference field="88" count="1">
            <x v="368"/>
          </reference>
        </references>
      </pivotArea>
    </format>
    <format dxfId="800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0"/>
          </reference>
          <reference field="85" count="1" selected="0">
            <x v="7"/>
          </reference>
          <reference field="87" count="1" selected="0">
            <x v="1511"/>
          </reference>
          <reference field="88" count="1">
            <x v="365"/>
          </reference>
        </references>
      </pivotArea>
    </format>
    <format dxfId="799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95"/>
          </reference>
          <reference field="82" count="1" selected="0">
            <x v="391"/>
          </reference>
          <reference field="85" count="1" selected="0">
            <x v="2"/>
          </reference>
          <reference field="87" count="1" selected="0">
            <x v="1392"/>
          </reference>
          <reference field="88" count="1">
            <x v="226"/>
          </reference>
        </references>
      </pivotArea>
    </format>
    <format dxfId="799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032"/>
          </reference>
          <reference field="82" count="1" selected="0">
            <x v="443"/>
          </reference>
          <reference field="85" count="1" selected="0">
            <x v="2"/>
          </reference>
          <reference field="87" count="1" selected="0">
            <x v="1391"/>
          </reference>
          <reference field="88" count="1">
            <x v="225"/>
          </reference>
        </references>
      </pivotArea>
    </format>
    <format dxfId="7997">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31"/>
          </reference>
          <reference field="82" count="1" selected="0">
            <x v="582"/>
          </reference>
          <reference field="85" count="1" selected="0">
            <x v="7"/>
          </reference>
          <reference field="87" count="1" selected="0">
            <x v="1511"/>
          </reference>
          <reference field="88" count="1">
            <x v="367"/>
          </reference>
        </references>
      </pivotArea>
    </format>
    <format dxfId="799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015"/>
          </reference>
          <reference field="82" count="1" selected="0">
            <x v="424"/>
          </reference>
          <reference field="85" count="1" selected="0">
            <x v="4"/>
          </reference>
          <reference field="87" count="1" selected="0">
            <x v="1374"/>
          </reference>
          <reference field="88" count="1">
            <x v="206"/>
          </reference>
        </references>
      </pivotArea>
    </format>
    <format dxfId="7995">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79"/>
          </reference>
          <reference field="82" count="1" selected="0">
            <x v="502"/>
          </reference>
          <reference field="85" count="1" selected="0">
            <x v="7"/>
          </reference>
          <reference field="87" count="1" selected="0">
            <x v="1442"/>
          </reference>
          <reference field="88" count="1">
            <x v="285"/>
          </reference>
        </references>
      </pivotArea>
    </format>
    <format dxfId="7994">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81"/>
          </reference>
          <reference field="82" count="1" selected="0">
            <x v="504"/>
          </reference>
          <reference field="85" count="1" selected="0">
            <x v="7"/>
          </reference>
          <reference field="87" count="1" selected="0">
            <x v="1444"/>
          </reference>
          <reference field="88" count="1">
            <x v="287"/>
          </reference>
        </references>
      </pivotArea>
    </format>
    <format dxfId="799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95"/>
          </reference>
          <reference field="82" count="1" selected="0">
            <x v="524"/>
          </reference>
          <reference field="85" count="1" selected="0">
            <x v="7"/>
          </reference>
          <reference field="87" count="1" selected="0">
            <x v="1458"/>
          </reference>
          <reference field="88" count="1">
            <x v="307"/>
          </reference>
        </references>
      </pivotArea>
    </format>
    <format dxfId="799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94"/>
          </reference>
          <reference field="82" count="1" selected="0">
            <x v="523"/>
          </reference>
          <reference field="85" count="1" selected="0">
            <x v="7"/>
          </reference>
          <reference field="87" count="1" selected="0">
            <x v="1457"/>
          </reference>
          <reference field="88" count="1">
            <x v="306"/>
          </reference>
        </references>
      </pivotArea>
    </format>
    <format dxfId="799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050"/>
          </reference>
          <reference field="82" count="1" selected="0">
            <x v="465"/>
          </reference>
          <reference field="85" count="1" selected="0">
            <x v="4"/>
          </reference>
          <reference field="87" count="1" selected="0">
            <x v="1413"/>
          </reference>
          <reference field="88" count="1">
            <x v="248"/>
          </reference>
        </references>
      </pivotArea>
    </format>
    <format dxfId="799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051"/>
          </reference>
          <reference field="82" count="1" selected="0">
            <x v="466"/>
          </reference>
          <reference field="85" count="1" selected="0">
            <x v="4"/>
          </reference>
          <reference field="87" count="1" selected="0">
            <x v="1414"/>
          </reference>
          <reference field="88" count="1">
            <x v="249"/>
          </reference>
        </references>
      </pivotArea>
    </format>
    <format dxfId="7989">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048"/>
          </reference>
          <reference field="82" count="1" selected="0">
            <x v="463"/>
          </reference>
          <reference field="85" count="1" selected="0">
            <x v="4"/>
          </reference>
          <reference field="87" count="1" selected="0">
            <x v="1411"/>
          </reference>
          <reference field="88" count="1">
            <x v="246"/>
          </reference>
        </references>
      </pivotArea>
    </format>
    <format dxfId="798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049"/>
          </reference>
          <reference field="82" count="1" selected="0">
            <x v="464"/>
          </reference>
          <reference field="85" count="1" selected="0">
            <x v="4"/>
          </reference>
          <reference field="87" count="1" selected="0">
            <x v="1412"/>
          </reference>
          <reference field="88" count="1">
            <x v="247"/>
          </reference>
        </references>
      </pivotArea>
    </format>
    <format dxfId="798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044"/>
          </reference>
          <reference field="82" count="1" selected="0">
            <x v="459"/>
          </reference>
          <reference field="85" count="1" selected="0">
            <x v="4"/>
          </reference>
          <reference field="87" count="1" selected="0">
            <x v="1407"/>
          </reference>
          <reference field="88" count="1">
            <x v="242"/>
          </reference>
        </references>
      </pivotArea>
    </format>
    <format dxfId="798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045"/>
          </reference>
          <reference field="82" count="1" selected="0">
            <x v="460"/>
          </reference>
          <reference field="85" count="1" selected="0">
            <x v="4"/>
          </reference>
          <reference field="87" count="1" selected="0">
            <x v="1408"/>
          </reference>
          <reference field="88" count="1">
            <x v="243"/>
          </reference>
        </references>
      </pivotArea>
    </format>
    <format dxfId="7985">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046"/>
          </reference>
          <reference field="82" count="1" selected="0">
            <x v="461"/>
          </reference>
          <reference field="85" count="1" selected="0">
            <x v="4"/>
          </reference>
          <reference field="87" count="1" selected="0">
            <x v="1409"/>
          </reference>
          <reference field="88" count="1">
            <x v="244"/>
          </reference>
        </references>
      </pivotArea>
    </format>
    <format dxfId="798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003"/>
          </reference>
          <reference field="82" count="1" selected="0">
            <x v="412"/>
          </reference>
          <reference field="85" count="1" selected="0">
            <x v="4"/>
          </reference>
          <reference field="87" count="1" selected="0">
            <x v="1362"/>
          </reference>
          <reference field="88" count="1">
            <x v="194"/>
          </reference>
        </references>
      </pivotArea>
    </format>
    <format dxfId="798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010"/>
          </reference>
          <reference field="82" count="1" selected="0">
            <x v="413"/>
          </reference>
          <reference field="85" count="1" selected="0">
            <x v="4"/>
          </reference>
          <reference field="87" count="1" selected="0">
            <x v="1369"/>
          </reference>
          <reference field="88" count="1">
            <x v="195"/>
          </reference>
        </references>
      </pivotArea>
    </format>
    <format dxfId="798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012"/>
          </reference>
          <reference field="82" count="1" selected="0">
            <x v="414"/>
          </reference>
          <reference field="85" count="1" selected="0">
            <x v="4"/>
          </reference>
          <reference field="87" count="1" selected="0">
            <x v="1371"/>
          </reference>
          <reference field="88" count="1">
            <x v="196"/>
          </reference>
        </references>
      </pivotArea>
    </format>
    <format dxfId="7981">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73"/>
          </reference>
          <reference field="82" count="1" selected="0">
            <x v="496"/>
          </reference>
          <reference field="85" count="1" selected="0">
            <x v="7"/>
          </reference>
          <reference field="87" count="1" selected="0">
            <x v="1436"/>
          </reference>
          <reference field="88" count="1">
            <x v="279"/>
          </reference>
        </references>
      </pivotArea>
    </format>
    <format dxfId="7980">
      <pivotArea field="13" type="button" dataOnly="0" labelOnly="1" outline="0" axis="axisRow" fieldPosition="6"/>
    </format>
    <format dxfId="7979">
      <pivotArea field="13" type="button" dataOnly="0" labelOnly="1" outline="0" axis="axisRow" fieldPosition="6"/>
    </format>
    <format dxfId="7978">
      <pivotArea field="13" type="button" dataOnly="0" labelOnly="1" outline="0" axis="axisRow" fieldPosition="6"/>
    </format>
    <format dxfId="7977">
      <pivotArea field="13" type="button" dataOnly="0" labelOnly="1" outline="0" axis="axisRow" fieldPosition="6"/>
    </format>
    <format dxfId="7976">
      <pivotArea field="72" type="button" dataOnly="0" labelOnly="1" outline="0" axis="axisRow" fieldPosition="5"/>
    </format>
    <format dxfId="7975">
      <pivotArea field="13" type="button" dataOnly="0" labelOnly="1" outline="0" axis="axisRow" fieldPosition="6"/>
    </format>
    <format dxfId="7974">
      <pivotArea field="81" type="button" dataOnly="0" labelOnly="1" outline="0" axis="axisRow" fieldPosition="8"/>
    </format>
    <format dxfId="7973">
      <pivotArea field="82" type="button" dataOnly="0" labelOnly="1" outline="0" axis="axisRow" fieldPosition="9"/>
    </format>
    <format dxfId="7972">
      <pivotArea field="87" type="button" dataOnly="0" labelOnly="1" outline="0" axis="axisRow" fieldPosition="12"/>
    </format>
    <format dxfId="7971">
      <pivotArea field="88" type="button" dataOnly="0" labelOnly="1" outline="0" axis="axisRow" fieldPosition="13"/>
    </format>
    <format dxfId="7970">
      <pivotArea field="72" type="button" dataOnly="0" labelOnly="1" outline="0" axis="axisRow" fieldPosition="5"/>
    </format>
    <format dxfId="7969">
      <pivotArea field="13" type="button" dataOnly="0" labelOnly="1" outline="0" axis="axisRow" fieldPosition="6"/>
    </format>
    <format dxfId="7968">
      <pivotArea field="81" type="button" dataOnly="0" labelOnly="1" outline="0" axis="axisRow" fieldPosition="8"/>
    </format>
    <format dxfId="7967">
      <pivotArea field="82" type="button" dataOnly="0" labelOnly="1" outline="0" axis="axisRow" fieldPosition="9"/>
    </format>
    <format dxfId="7966">
      <pivotArea field="87" type="button" dataOnly="0" labelOnly="1" outline="0" axis="axisRow" fieldPosition="12"/>
    </format>
    <format dxfId="7965">
      <pivotArea field="88" type="button" dataOnly="0" labelOnly="1" outline="0" axis="axisRow" fieldPosition="13"/>
    </format>
    <format dxfId="7964">
      <pivotArea dataOnly="0" labelOnly="1" outline="0" fieldPosition="0">
        <references count="1">
          <reference field="1" count="0"/>
        </references>
      </pivotArea>
    </format>
    <format dxfId="7963">
      <pivotArea dataOnly="0" labelOnly="1" outline="0" fieldPosition="0">
        <references count="3">
          <reference field="1" count="1" selected="0">
            <x v="2"/>
          </reference>
          <reference field="2" count="1">
            <x v="3"/>
          </reference>
          <reference field="3" count="1" selected="0">
            <x v="0"/>
          </reference>
        </references>
      </pivotArea>
    </format>
    <format dxfId="7962">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7961">
      <pivotArea field="72" type="button" dataOnly="0" labelOnly="1" outline="0" axis="axisRow" fieldPosition="5"/>
    </format>
    <format dxfId="7960">
      <pivotArea field="81" type="button" dataOnly="0" labelOnly="1" outline="0" axis="axisRow" fieldPosition="8"/>
    </format>
    <format dxfId="7959">
      <pivotArea field="82" type="button" dataOnly="0" labelOnly="1" outline="0" axis="axisRow" fieldPosition="9"/>
    </format>
    <format dxfId="7958">
      <pivotArea field="87" type="button" dataOnly="0" labelOnly="1" outline="0" axis="axisRow" fieldPosition="12"/>
    </format>
    <format dxfId="7957">
      <pivotArea field="88" type="button" dataOnly="0" labelOnly="1" outline="0" axis="axisRow" fieldPosition="13"/>
    </format>
    <format dxfId="7956">
      <pivotArea field="13" type="button" dataOnly="0" labelOnly="1" outline="0" axis="axisRow" fieldPosition="6"/>
    </format>
    <format dxfId="7955">
      <pivotArea field="1" type="button" dataOnly="0" labelOnly="1" outline="0" axis="axisRow" fieldPosition="0"/>
    </format>
    <format dxfId="7954">
      <pivotArea field="3" type="button" dataOnly="0" labelOnly="1" outline="0" axis="axisRow" fieldPosition="1"/>
    </format>
    <format dxfId="7953">
      <pivotArea field="2" type="button" dataOnly="0" labelOnly="1" outline="0" axis="axisRow" fieldPosition="2"/>
    </format>
    <format dxfId="7952">
      <pivotArea field="5" type="button" dataOnly="0" labelOnly="1" outline="0" axis="axisRow" fieldPosition="3"/>
    </format>
    <format dxfId="7951">
      <pivotArea field="23" type="button" dataOnly="0" labelOnly="1" outline="0" axis="axisRow" fieldPosition="4"/>
    </format>
    <format dxfId="7950">
      <pivotArea field="72" type="button" dataOnly="0" labelOnly="1" outline="0" axis="axisRow" fieldPosition="5"/>
    </format>
    <format dxfId="7949">
      <pivotArea field="13" type="button" dataOnly="0" labelOnly="1" outline="0" axis="axisRow" fieldPosition="6"/>
    </format>
    <format dxfId="7948">
      <pivotArea field="22" type="button" dataOnly="0" labelOnly="1" outline="0" axis="axisRow" fieldPosition="7"/>
    </format>
    <format dxfId="7947">
      <pivotArea field="81" type="button" dataOnly="0" labelOnly="1" outline="0" axis="axisRow" fieldPosition="8"/>
    </format>
    <format dxfId="7946">
      <pivotArea field="82" type="button" dataOnly="0" labelOnly="1" outline="0" axis="axisRow" fieldPosition="9"/>
    </format>
    <format dxfId="7945">
      <pivotArea field="12" type="button" dataOnly="0" labelOnly="1" outline="0" axis="axisRow" fieldPosition="10"/>
    </format>
    <format dxfId="7944">
      <pivotArea field="85" type="button" dataOnly="0" labelOnly="1" outline="0" axis="axisRow" fieldPosition="11"/>
    </format>
    <format dxfId="7943">
      <pivotArea field="87" type="button" dataOnly="0" labelOnly="1" outline="0" axis="axisRow" fieldPosition="12"/>
    </format>
    <format dxfId="7942">
      <pivotArea field="88" type="button" dataOnly="0" labelOnly="1" outline="0" axis="axisRow" fieldPosition="13"/>
    </format>
    <format dxfId="7941">
      <pivotArea field="73" type="button" dataOnly="0" labelOnly="1" outline="0" axis="axisRow" fieldPosition="14"/>
    </format>
    <format dxfId="7940">
      <pivotArea field="1" type="button" dataOnly="0" labelOnly="1" outline="0" axis="axisRow" fieldPosition="0"/>
    </format>
    <format dxfId="7939">
      <pivotArea field="3" type="button" dataOnly="0" labelOnly="1" outline="0" axis="axisRow" fieldPosition="1"/>
    </format>
    <format dxfId="7938">
      <pivotArea field="2" type="button" dataOnly="0" labelOnly="1" outline="0" axis="axisRow" fieldPosition="2"/>
    </format>
    <format dxfId="7937">
      <pivotArea field="5" type="button" dataOnly="0" labelOnly="1" outline="0" axis="axisRow" fieldPosition="3"/>
    </format>
    <format dxfId="7936">
      <pivotArea field="23" type="button" dataOnly="0" labelOnly="1" outline="0" axis="axisRow" fieldPosition="4"/>
    </format>
    <format dxfId="7935">
      <pivotArea field="72" type="button" dataOnly="0" labelOnly="1" outline="0" axis="axisRow" fieldPosition="5"/>
    </format>
    <format dxfId="7934">
      <pivotArea field="13" type="button" dataOnly="0" labelOnly="1" outline="0" axis="axisRow" fieldPosition="6"/>
    </format>
    <format dxfId="7933">
      <pivotArea field="22" type="button" dataOnly="0" labelOnly="1" outline="0" axis="axisRow" fieldPosition="7"/>
    </format>
    <format dxfId="7932">
      <pivotArea field="81" type="button" dataOnly="0" labelOnly="1" outline="0" axis="axisRow" fieldPosition="8"/>
    </format>
    <format dxfId="7931">
      <pivotArea field="82" type="button" dataOnly="0" labelOnly="1" outline="0" axis="axisRow" fieldPosition="9"/>
    </format>
    <format dxfId="7930">
      <pivotArea field="12" type="button" dataOnly="0" labelOnly="1" outline="0" axis="axisRow" fieldPosition="10"/>
    </format>
    <format dxfId="7929">
      <pivotArea field="85" type="button" dataOnly="0" labelOnly="1" outline="0" axis="axisRow" fieldPosition="11"/>
    </format>
    <format dxfId="7928">
      <pivotArea field="87" type="button" dataOnly="0" labelOnly="1" outline="0" axis="axisRow" fieldPosition="12"/>
    </format>
    <format dxfId="7927">
      <pivotArea field="88" type="button" dataOnly="0" labelOnly="1" outline="0" axis="axisRow" fieldPosition="13"/>
    </format>
    <format dxfId="7926">
      <pivotArea field="73" type="button" dataOnly="0" labelOnly="1" outline="0" axis="axisRow" fieldPosition="14"/>
    </format>
    <format dxfId="7925">
      <pivotArea field="1" type="button" dataOnly="0" labelOnly="1" outline="0" axis="axisRow" fieldPosition="0"/>
    </format>
    <format dxfId="7924">
      <pivotArea field="3" type="button" dataOnly="0" labelOnly="1" outline="0" axis="axisRow" fieldPosition="1"/>
    </format>
    <format dxfId="7923">
      <pivotArea field="2" type="button" dataOnly="0" labelOnly="1" outline="0" axis="axisRow" fieldPosition="2"/>
    </format>
    <format dxfId="7922">
      <pivotArea field="5" type="button" dataOnly="0" labelOnly="1" outline="0" axis="axisRow" fieldPosition="3"/>
    </format>
    <format dxfId="7921">
      <pivotArea field="23" type="button" dataOnly="0" labelOnly="1" outline="0" axis="axisRow" fieldPosition="4"/>
    </format>
    <format dxfId="7920">
      <pivotArea field="72" type="button" dataOnly="0" labelOnly="1" outline="0" axis="axisRow" fieldPosition="5"/>
    </format>
    <format dxfId="7919">
      <pivotArea field="13" type="button" dataOnly="0" labelOnly="1" outline="0" axis="axisRow" fieldPosition="6"/>
    </format>
    <format dxfId="7918">
      <pivotArea field="22" type="button" dataOnly="0" labelOnly="1" outline="0" axis="axisRow" fieldPosition="7"/>
    </format>
    <format dxfId="7917">
      <pivotArea field="81" type="button" dataOnly="0" labelOnly="1" outline="0" axis="axisRow" fieldPosition="8"/>
    </format>
    <format dxfId="7916">
      <pivotArea field="82" type="button" dataOnly="0" labelOnly="1" outline="0" axis="axisRow" fieldPosition="9"/>
    </format>
    <format dxfId="7915">
      <pivotArea field="12" type="button" dataOnly="0" labelOnly="1" outline="0" axis="axisRow" fieldPosition="10"/>
    </format>
    <format dxfId="7914">
      <pivotArea field="85" type="button" dataOnly="0" labelOnly="1" outline="0" axis="axisRow" fieldPosition="11"/>
    </format>
    <format dxfId="7913">
      <pivotArea field="87" type="button" dataOnly="0" labelOnly="1" outline="0" axis="axisRow" fieldPosition="12"/>
    </format>
    <format dxfId="7912">
      <pivotArea field="88" type="button" dataOnly="0" labelOnly="1" outline="0" axis="axisRow" fieldPosition="13"/>
    </format>
    <format dxfId="7911">
      <pivotArea field="73" type="button" dataOnly="0" labelOnly="1" outline="0" axis="axisRow" fieldPosition="14"/>
    </format>
    <format dxfId="7910">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7909">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3"/>
          </reference>
          <reference field="82" count="1" selected="0">
            <x v="778"/>
          </reference>
        </references>
      </pivotArea>
    </format>
    <format dxfId="7908">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9"/>
          </reference>
          <reference field="82" count="1" selected="0">
            <x v="864"/>
          </reference>
        </references>
      </pivotArea>
    </format>
    <format dxfId="7907">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s>
      </pivotArea>
    </format>
    <format dxfId="790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56"/>
          </reference>
          <reference field="82" count="1" selected="0">
            <x v="711"/>
          </reference>
        </references>
      </pivotArea>
    </format>
    <format dxfId="790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s>
      </pivotArea>
    </format>
    <format dxfId="790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s>
      </pivotArea>
    </format>
    <format dxfId="7903">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7"/>
          </reference>
          <reference field="82" count="1" selected="0">
            <x v="782"/>
          </reference>
        </references>
      </pivotArea>
    </format>
    <format dxfId="7902">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244"/>
          </reference>
          <reference field="82" count="1" selected="0">
            <x v="699"/>
          </reference>
        </references>
      </pivotArea>
    </format>
    <format dxfId="7901">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19"/>
          </reference>
          <reference field="82" count="1" selected="0">
            <x v="774"/>
          </reference>
        </references>
      </pivotArea>
    </format>
    <format dxfId="7900">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1"/>
          </reference>
          <reference field="82" count="1" selected="0">
            <x v="856"/>
          </reference>
        </references>
      </pivotArea>
    </format>
    <format dxfId="7899">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177"/>
          </reference>
          <reference field="82" count="1" selected="0">
            <x v="630"/>
          </reference>
        </references>
      </pivotArea>
    </format>
    <format dxfId="7898">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220"/>
          </reference>
          <reference field="82" count="1" selected="0">
            <x v="674"/>
          </reference>
        </references>
      </pivotArea>
    </format>
    <format dxfId="7897">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s>
      </pivotArea>
    </format>
    <format dxfId="7896">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176"/>
          </reference>
          <reference field="82" count="1" selected="0">
            <x v="629"/>
          </reference>
        </references>
      </pivotArea>
    </format>
    <format dxfId="7895">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1"/>
          </reference>
          <reference field="82" count="1" selected="0">
            <x v="776"/>
          </reference>
        </references>
      </pivotArea>
    </format>
    <format dxfId="7894">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s>
      </pivotArea>
    </format>
    <format dxfId="789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5"/>
          </reference>
          <reference field="82" count="1" selected="0">
            <x v="780"/>
          </reference>
        </references>
      </pivotArea>
    </format>
    <format dxfId="7892">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5"/>
          </reference>
          <reference field="82" count="1" selected="0">
            <x v="860"/>
          </reference>
        </references>
      </pivotArea>
    </format>
    <format dxfId="7891">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s>
      </pivotArea>
    </format>
    <format dxfId="789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58"/>
          </reference>
          <reference field="82" count="1" selected="0">
            <x v="713"/>
          </reference>
        </references>
      </pivotArea>
    </format>
    <format dxfId="7889">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173"/>
          </reference>
          <reference field="82" count="1" selected="0">
            <x v="626"/>
          </reference>
        </references>
      </pivotArea>
    </format>
    <format dxfId="788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259"/>
          </reference>
          <reference field="82" count="1" selected="0">
            <x v="714"/>
          </reference>
        </references>
      </pivotArea>
    </format>
    <format dxfId="7887">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331"/>
          </reference>
          <reference field="82" count="1" selected="0">
            <x v="786"/>
          </reference>
        </references>
      </pivotArea>
    </format>
    <format dxfId="7886">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262"/>
          </reference>
          <reference field="82" count="1" selected="0">
            <x v="717"/>
          </reference>
        </references>
      </pivotArea>
    </format>
    <format dxfId="788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s>
      </pivotArea>
    </format>
    <format dxfId="7884">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271"/>
          </reference>
          <reference field="82" count="1" selected="0">
            <x v="726"/>
          </reference>
        </references>
      </pivotArea>
    </format>
    <format dxfId="788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150"/>
          </reference>
          <reference field="82" count="1" selected="0">
            <x v="602"/>
          </reference>
        </references>
      </pivotArea>
    </format>
    <format dxfId="788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211"/>
          </reference>
          <reference field="82" count="1" selected="0">
            <x v="665"/>
          </reference>
        </references>
      </pivotArea>
    </format>
    <format dxfId="7881">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268"/>
          </reference>
          <reference field="82" count="1" selected="0">
            <x v="723"/>
          </reference>
        </references>
      </pivotArea>
    </format>
    <format dxfId="788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93"/>
          </reference>
          <reference field="81" count="1" selected="0">
            <x v="2352"/>
          </reference>
          <reference field="82" count="1" selected="0">
            <x v="807"/>
          </reference>
        </references>
      </pivotArea>
    </format>
    <format dxfId="787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234"/>
          </reference>
          <reference field="82" count="1" selected="0">
            <x v="689"/>
          </reference>
        </references>
      </pivotArea>
    </format>
    <format dxfId="787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174"/>
          </reference>
          <reference field="82" count="1" selected="0">
            <x v="627"/>
          </reference>
        </references>
      </pivotArea>
    </format>
    <format dxfId="787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215"/>
          </reference>
          <reference field="82" count="1" selected="0">
            <x v="669"/>
          </reference>
        </references>
      </pivotArea>
    </format>
    <format dxfId="787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230"/>
          </reference>
          <reference field="82" count="1" selected="0">
            <x v="685"/>
          </reference>
        </references>
      </pivotArea>
    </format>
    <format dxfId="787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344"/>
          </reference>
          <reference field="82" count="1" selected="0">
            <x v="799"/>
          </reference>
        </references>
      </pivotArea>
    </format>
    <format dxfId="7874">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236"/>
          </reference>
          <reference field="82" count="1" selected="0">
            <x v="691"/>
          </reference>
        </references>
      </pivotArea>
    </format>
    <format dxfId="787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159"/>
          </reference>
          <reference field="82" count="1" selected="0">
            <x v="611"/>
          </reference>
        </references>
      </pivotArea>
    </format>
    <format dxfId="787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239"/>
          </reference>
          <reference field="82" count="1" selected="0">
            <x v="694"/>
          </reference>
        </references>
      </pivotArea>
    </format>
    <format dxfId="7871">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298"/>
          </reference>
          <reference field="82" count="1" selected="0">
            <x v="753"/>
          </reference>
        </references>
      </pivotArea>
    </format>
    <format dxfId="787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242"/>
          </reference>
          <reference field="82" count="1" selected="0">
            <x v="697"/>
          </reference>
        </references>
      </pivotArea>
    </format>
    <format dxfId="7869">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335"/>
          </reference>
          <reference field="82" count="1" selected="0">
            <x v="790"/>
          </reference>
        </references>
      </pivotArea>
    </format>
    <format dxfId="786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38"/>
          </reference>
          <reference field="82" count="1" selected="0">
            <x v="893"/>
          </reference>
        </references>
      </pivotArea>
    </format>
    <format dxfId="7867">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62"/>
          </reference>
          <reference field="82" count="1" selected="0">
            <x v="817"/>
          </reference>
        </references>
      </pivotArea>
    </format>
    <format dxfId="7866">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139"/>
          </reference>
          <reference field="82" count="1" selected="0">
            <x v="591"/>
          </reference>
        </references>
      </pivotArea>
    </format>
    <format dxfId="7865">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58"/>
          </reference>
          <reference field="82" count="1" selected="0">
            <x v="813"/>
          </reference>
        </references>
      </pivotArea>
    </format>
    <format dxfId="7864">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54"/>
          </reference>
          <reference field="82" count="1" selected="0">
            <x v="809"/>
          </reference>
        </references>
      </pivotArea>
    </format>
    <format dxfId="7863">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275"/>
          </reference>
          <reference field="82" count="1" selected="0">
            <x v="730"/>
          </reference>
        </references>
      </pivotArea>
    </format>
    <format dxfId="7862">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152"/>
          </reference>
          <reference field="82" count="1" selected="0">
            <x v="604"/>
          </reference>
        </references>
      </pivotArea>
    </format>
    <format dxfId="7861">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205"/>
          </reference>
          <reference field="82" count="1" selected="0">
            <x v="659"/>
          </reference>
        </references>
      </pivotArea>
    </format>
    <format dxfId="7860">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286"/>
          </reference>
          <reference field="82" count="1" selected="0">
            <x v="741"/>
          </reference>
        </references>
      </pivotArea>
    </format>
    <format dxfId="7859">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350"/>
          </reference>
          <reference field="82" count="1" selected="0">
            <x v="805"/>
          </reference>
        </references>
      </pivotArea>
    </format>
    <format dxfId="7858">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161"/>
          </reference>
          <reference field="82" count="1" selected="0">
            <x v="613"/>
          </reference>
        </references>
      </pivotArea>
    </format>
    <format dxfId="7857">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202"/>
          </reference>
          <reference field="82" count="1" selected="0">
            <x v="655"/>
          </reference>
        </references>
      </pivotArea>
    </format>
    <format dxfId="7856">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283"/>
          </reference>
          <reference field="82" count="1" selected="0">
            <x v="738"/>
          </reference>
        </references>
      </pivotArea>
    </format>
    <format dxfId="7855">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349"/>
          </reference>
          <reference field="82" count="1" selected="0">
            <x v="804"/>
          </reference>
        </references>
      </pivotArea>
    </format>
    <format dxfId="785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217"/>
          </reference>
          <reference field="82" count="1" selected="0">
            <x v="671"/>
          </reference>
        </references>
      </pivotArea>
    </format>
    <format dxfId="785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277"/>
          </reference>
          <reference field="82" count="1" selected="0">
            <x v="732"/>
          </reference>
        </references>
      </pivotArea>
    </format>
    <format dxfId="785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290"/>
          </reference>
          <reference field="82" count="1" selected="0">
            <x v="745"/>
          </reference>
        </references>
      </pivotArea>
    </format>
    <format dxfId="785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218"/>
          </reference>
          <reference field="82" count="1" selected="0">
            <x v="672"/>
          </reference>
        </references>
      </pivotArea>
    </format>
    <format dxfId="785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280"/>
          </reference>
          <reference field="82" count="1" selected="0">
            <x v="735"/>
          </reference>
        </references>
      </pivotArea>
    </format>
    <format dxfId="784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293"/>
          </reference>
          <reference field="82" count="1" selected="0">
            <x v="748"/>
          </reference>
        </references>
      </pivotArea>
    </format>
    <format dxfId="7848">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347"/>
          </reference>
          <reference field="82" count="1" selected="0">
            <x v="802"/>
          </reference>
        </references>
      </pivotArea>
    </format>
    <format dxfId="7847">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417"/>
          </reference>
          <reference field="82" count="1" selected="0">
            <x v="872"/>
          </reference>
        </references>
      </pivotArea>
    </format>
    <format dxfId="7846">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169"/>
          </reference>
          <reference field="82" count="1" selected="0">
            <x v="622"/>
          </reference>
        </references>
      </pivotArea>
    </format>
    <format dxfId="7845">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318"/>
          </reference>
          <reference field="82" count="1" selected="0">
            <x v="773"/>
          </reference>
        </references>
      </pivotArea>
    </format>
    <format dxfId="7844">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434"/>
          </reference>
          <reference field="82" count="1" selected="0">
            <x v="889"/>
          </reference>
        </references>
      </pivotArea>
    </format>
    <format dxfId="7843">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437"/>
          </reference>
          <reference field="82" count="1" selected="0">
            <x v="892"/>
          </reference>
        </references>
      </pivotArea>
    </format>
    <format dxfId="7842">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84"/>
          </reference>
          <reference field="82" count="1" selected="0">
            <x v="839"/>
          </reference>
        </references>
      </pivotArea>
    </format>
    <format dxfId="7841">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79"/>
          </reference>
          <reference field="82" count="1" selected="0">
            <x v="834"/>
          </reference>
        </references>
      </pivotArea>
    </format>
    <format dxfId="7840">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74"/>
          </reference>
          <reference field="82" count="1" selected="0">
            <x v="829"/>
          </reference>
        </references>
      </pivotArea>
    </format>
    <format dxfId="7839">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430"/>
          </reference>
          <reference field="82" count="1" selected="0">
            <x v="885"/>
          </reference>
        </references>
      </pivotArea>
    </format>
    <format dxfId="783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316"/>
          </reference>
          <reference field="82" count="1" selected="0">
            <x v="771"/>
          </reference>
        </references>
      </pivotArea>
    </format>
    <format dxfId="783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026"/>
          </reference>
          <reference field="82" count="1" selected="0">
            <x v="437"/>
          </reference>
        </references>
      </pivotArea>
    </format>
    <format dxfId="7836">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145"/>
          </reference>
          <reference field="82" count="1" selected="0">
            <x v="597"/>
          </reference>
        </references>
      </pivotArea>
    </format>
    <format dxfId="7835">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442"/>
          </reference>
          <reference field="82" count="1" selected="0">
            <x v="897"/>
          </reference>
        </references>
      </pivotArea>
    </format>
    <format dxfId="7834">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182"/>
          </reference>
          <reference field="82" count="1" selected="0">
            <x v="635"/>
          </reference>
        </references>
      </pivotArea>
    </format>
    <format dxfId="7833">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444"/>
          </reference>
          <reference field="82" count="1" selected="0">
            <x v="899"/>
          </reference>
        </references>
      </pivotArea>
    </format>
    <format dxfId="7832">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445"/>
          </reference>
          <reference field="82" count="1" selected="0">
            <x v="900"/>
          </reference>
        </references>
      </pivotArea>
    </format>
    <format dxfId="7831">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175"/>
          </reference>
          <reference field="82" count="1" selected="0">
            <x v="628"/>
          </reference>
        </references>
      </pivotArea>
    </format>
    <format dxfId="7830">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447"/>
          </reference>
          <reference field="82" count="1" selected="0">
            <x v="902"/>
          </reference>
        </references>
      </pivotArea>
    </format>
    <format dxfId="7829">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144"/>
          </reference>
          <reference field="82" count="1" selected="0">
            <x v="596"/>
          </reference>
        </references>
      </pivotArea>
    </format>
    <format dxfId="7828">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436"/>
          </reference>
          <reference field="82" count="1" selected="0">
            <x v="891"/>
          </reference>
        </references>
      </pivotArea>
    </format>
    <format dxfId="7827">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01"/>
          </reference>
          <reference field="82" count="1" selected="0">
            <x v="756"/>
          </reference>
        </references>
      </pivotArea>
    </format>
    <format dxfId="7826">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443"/>
          </reference>
          <reference field="82" count="1" selected="0">
            <x v="898"/>
          </reference>
        </references>
      </pivotArea>
    </format>
    <format dxfId="7825">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181"/>
          </reference>
          <reference field="82" count="1" selected="0">
            <x v="634"/>
          </reference>
        </references>
      </pivotArea>
    </format>
    <format dxfId="7824">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79"/>
          </reference>
          <reference field="82" count="1" selected="0">
            <x v="632"/>
          </reference>
        </references>
      </pivotArea>
    </format>
    <format dxfId="7823">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312"/>
          </reference>
          <reference field="82" count="1" selected="0">
            <x v="767"/>
          </reference>
        </references>
      </pivotArea>
    </format>
    <format dxfId="7822">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80"/>
          </reference>
          <reference field="82" count="1" selected="0">
            <x v="633"/>
          </reference>
        </references>
      </pivotArea>
    </format>
    <format dxfId="7821">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428"/>
          </reference>
          <reference field="82" count="1" selected="0">
            <x v="883"/>
          </reference>
        </references>
      </pivotArea>
    </format>
    <format dxfId="7820">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337"/>
          </reference>
          <reference field="82" count="1" selected="0">
            <x v="792"/>
          </reference>
        </references>
      </pivotArea>
    </format>
    <format dxfId="7819">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200"/>
          </reference>
          <reference field="82" count="1" selected="0">
            <x v="653"/>
          </reference>
        </references>
      </pivotArea>
    </format>
    <format dxfId="7818">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413"/>
          </reference>
          <reference field="82" count="1" selected="0">
            <x v="868"/>
          </reference>
        </references>
      </pivotArea>
    </format>
    <format dxfId="7817">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3"/>
          </reference>
          <reference field="82" count="1" selected="0">
            <x v="778"/>
          </reference>
          <reference field="85" count="1">
            <x v="7"/>
          </reference>
        </references>
      </pivotArea>
    </format>
    <format dxfId="7816">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9"/>
          </reference>
          <reference field="82" count="1" selected="0">
            <x v="864"/>
          </reference>
          <reference field="85" count="1">
            <x v="4"/>
          </reference>
        </references>
      </pivotArea>
    </format>
    <format dxfId="7815">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x v="7"/>
          </reference>
        </references>
      </pivotArea>
    </format>
    <format dxfId="781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6"/>
          </reference>
          <reference field="82" count="1" selected="0">
            <x v="711"/>
          </reference>
          <reference field="85" count="1">
            <x v="0"/>
          </reference>
        </references>
      </pivotArea>
    </format>
    <format dxfId="7813">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x v="7"/>
          </reference>
        </references>
      </pivotArea>
    </format>
    <format dxfId="7812">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x v="0"/>
          </reference>
        </references>
      </pivotArea>
    </format>
    <format dxfId="7811">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7"/>
          </reference>
          <reference field="82" count="1" selected="0">
            <x v="782"/>
          </reference>
          <reference field="85" count="1">
            <x v="7"/>
          </reference>
        </references>
      </pivotArea>
    </format>
    <format dxfId="7810">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44"/>
          </reference>
          <reference field="82" count="1" selected="0">
            <x v="699"/>
          </reference>
          <reference field="85" count="1">
            <x v="0"/>
          </reference>
        </references>
      </pivotArea>
    </format>
    <format dxfId="7809">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19"/>
          </reference>
          <reference field="82" count="1" selected="0">
            <x v="774"/>
          </reference>
          <reference field="85" count="1">
            <x v="7"/>
          </reference>
        </references>
      </pivotArea>
    </format>
    <format dxfId="7808">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1"/>
          </reference>
          <reference field="82" count="1" selected="0">
            <x v="856"/>
          </reference>
          <reference field="85" count="1">
            <x v="4"/>
          </reference>
        </references>
      </pivotArea>
    </format>
    <format dxfId="7807">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7"/>
          </reference>
          <reference field="82" count="1" selected="0">
            <x v="630"/>
          </reference>
          <reference field="85" count="1">
            <x v="7"/>
          </reference>
        </references>
      </pivotArea>
    </format>
    <format dxfId="7806">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220"/>
          </reference>
          <reference field="82" count="1" selected="0">
            <x v="674"/>
          </reference>
          <reference field="85" count="1">
            <x v="4"/>
          </reference>
        </references>
      </pivotArea>
    </format>
    <format dxfId="7805">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x v="0"/>
          </reference>
        </references>
      </pivotArea>
    </format>
    <format dxfId="7804">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6"/>
          </reference>
          <reference field="82" count="1" selected="0">
            <x v="629"/>
          </reference>
          <reference field="85" count="1">
            <x v="7"/>
          </reference>
        </references>
      </pivotArea>
    </format>
    <format dxfId="7803">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1"/>
          </reference>
          <reference field="82" count="1" selected="0">
            <x v="776"/>
          </reference>
          <reference field="85" count="1">
            <x v="7"/>
          </reference>
        </references>
      </pivotArea>
    </format>
    <format dxfId="7802">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 field="85" count="1">
            <x v="0"/>
          </reference>
        </references>
      </pivotArea>
    </format>
    <format dxfId="7801">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5"/>
          </reference>
          <reference field="82" count="1" selected="0">
            <x v="780"/>
          </reference>
          <reference field="85" count="1">
            <x v="7"/>
          </reference>
        </references>
      </pivotArea>
    </format>
    <format dxfId="7800">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5"/>
          </reference>
          <reference field="82" count="1" selected="0">
            <x v="860"/>
          </reference>
          <reference field="85" count="1">
            <x v="4"/>
          </reference>
        </references>
      </pivotArea>
    </format>
    <format dxfId="7799">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x v="7"/>
          </reference>
        </references>
      </pivotArea>
    </format>
    <format dxfId="7798">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8"/>
          </reference>
          <reference field="82" count="1" selected="0">
            <x v="713"/>
          </reference>
          <reference field="85" count="1">
            <x v="0"/>
          </reference>
        </references>
      </pivotArea>
    </format>
    <format dxfId="7797">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73"/>
          </reference>
          <reference field="82" count="1" selected="0">
            <x v="626"/>
          </reference>
          <reference field="85" count="1">
            <x v="7"/>
          </reference>
        </references>
      </pivotArea>
    </format>
    <format dxfId="7796">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59"/>
          </reference>
          <reference field="82" count="1" selected="0">
            <x v="714"/>
          </reference>
          <reference field="85" count="1">
            <x v="0"/>
          </reference>
        </references>
      </pivotArea>
    </format>
    <format dxfId="7795">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1"/>
          </reference>
          <reference field="82" count="1" selected="0">
            <x v="786"/>
          </reference>
          <reference field="85" count="1">
            <x v="7"/>
          </reference>
        </references>
      </pivotArea>
    </format>
    <format dxfId="7794">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62"/>
          </reference>
          <reference field="82" count="1" selected="0">
            <x v="717"/>
          </reference>
          <reference field="85" count="1">
            <x v="0"/>
          </reference>
        </references>
      </pivotArea>
    </format>
    <format dxfId="7793">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 field="85" count="1">
            <x v="7"/>
          </reference>
        </references>
      </pivotArea>
    </format>
    <format dxfId="7792">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71"/>
          </reference>
          <reference field="82" count="1" selected="0">
            <x v="726"/>
          </reference>
          <reference field="85" count="1">
            <x v="0"/>
          </reference>
        </references>
      </pivotArea>
    </format>
    <format dxfId="7791">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50"/>
          </reference>
          <reference field="82" count="1" selected="0">
            <x v="602"/>
          </reference>
          <reference field="85" count="1">
            <x v="7"/>
          </reference>
        </references>
      </pivotArea>
    </format>
    <format dxfId="7790">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211"/>
          </reference>
          <reference field="82" count="1" selected="0">
            <x v="665"/>
          </reference>
          <reference field="85" count="1">
            <x v="4"/>
          </reference>
        </references>
      </pivotArea>
    </format>
    <format dxfId="7789">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68"/>
          </reference>
          <reference field="82" count="1" selected="0">
            <x v="723"/>
          </reference>
          <reference field="85" count="1">
            <x v="0"/>
          </reference>
        </references>
      </pivotArea>
    </format>
    <format dxfId="7788">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52"/>
          </reference>
          <reference field="82" count="1" selected="0">
            <x v="807"/>
          </reference>
          <reference field="85" count="1">
            <x v="7"/>
          </reference>
        </references>
      </pivotArea>
    </format>
    <format dxfId="7787">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234"/>
          </reference>
          <reference field="82" count="1" selected="0">
            <x v="689"/>
          </reference>
          <reference field="85" count="1">
            <x v="0"/>
          </reference>
        </references>
      </pivotArea>
    </format>
    <format dxfId="7786">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74"/>
          </reference>
          <reference field="82" count="1" selected="0">
            <x v="627"/>
          </reference>
          <reference field="85" count="1">
            <x v="7"/>
          </reference>
        </references>
      </pivotArea>
    </format>
    <format dxfId="7785">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215"/>
          </reference>
          <reference field="82" count="1" selected="0">
            <x v="669"/>
          </reference>
          <reference field="85" count="1">
            <x v="4"/>
          </reference>
        </references>
      </pivotArea>
    </format>
    <format dxfId="7784">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0"/>
          </reference>
          <reference field="82" count="1" selected="0">
            <x v="685"/>
          </reference>
          <reference field="85" count="1">
            <x v="0"/>
          </reference>
        </references>
      </pivotArea>
    </format>
    <format dxfId="7783">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44"/>
          </reference>
          <reference field="82" count="1" selected="0">
            <x v="799"/>
          </reference>
          <reference field="85" count="1">
            <x v="7"/>
          </reference>
        </references>
      </pivotArea>
    </format>
    <format dxfId="7782">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6"/>
          </reference>
          <reference field="82" count="1" selected="0">
            <x v="691"/>
          </reference>
          <reference field="85" count="1">
            <x v="0"/>
          </reference>
        </references>
      </pivotArea>
    </format>
    <format dxfId="7781">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59"/>
          </reference>
          <reference field="82" count="1" selected="0">
            <x v="611"/>
          </reference>
          <reference field="85" count="1">
            <x v="7"/>
          </reference>
        </references>
      </pivotArea>
    </format>
    <format dxfId="7780">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39"/>
          </reference>
          <reference field="82" count="1" selected="0">
            <x v="694"/>
          </reference>
          <reference field="85" count="1">
            <x v="0"/>
          </reference>
        </references>
      </pivotArea>
    </format>
    <format dxfId="7779">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98"/>
          </reference>
          <reference field="82" count="1" selected="0">
            <x v="753"/>
          </reference>
          <reference field="85" count="1">
            <x v="2"/>
          </reference>
        </references>
      </pivotArea>
    </format>
    <format dxfId="7778">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42"/>
          </reference>
          <reference field="82" count="1" selected="0">
            <x v="697"/>
          </reference>
          <reference field="85" count="1">
            <x v="0"/>
          </reference>
        </references>
      </pivotArea>
    </format>
    <format dxfId="7777">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35"/>
          </reference>
          <reference field="82" count="1" selected="0">
            <x v="790"/>
          </reference>
          <reference field="85" count="1">
            <x v="7"/>
          </reference>
        </references>
      </pivotArea>
    </format>
    <format dxfId="7776">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38"/>
          </reference>
          <reference field="82" count="1" selected="0">
            <x v="893"/>
          </reference>
          <reference field="85" count="1">
            <x v="4"/>
          </reference>
        </references>
      </pivotArea>
    </format>
    <format dxfId="7775">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62"/>
          </reference>
          <reference field="82" count="1" selected="0">
            <x v="817"/>
          </reference>
          <reference field="85" count="1">
            <x v="4"/>
          </reference>
        </references>
      </pivotArea>
    </format>
    <format dxfId="7774">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39"/>
          </reference>
          <reference field="82" count="1" selected="0">
            <x v="591"/>
          </reference>
          <reference field="85" count="1">
            <x v="3"/>
          </reference>
        </references>
      </pivotArea>
    </format>
    <format dxfId="7773">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8"/>
          </reference>
          <reference field="82" count="1" selected="0">
            <x v="813"/>
          </reference>
          <reference field="85" count="1">
            <x v="4"/>
          </reference>
        </references>
      </pivotArea>
    </format>
    <format dxfId="7772">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4"/>
          </reference>
          <reference field="82" count="1" selected="0">
            <x v="809"/>
          </reference>
          <reference field="85" count="1">
            <x v="4"/>
          </reference>
        </references>
      </pivotArea>
    </format>
    <format dxfId="7771">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75"/>
          </reference>
          <reference field="82" count="1" selected="0">
            <x v="730"/>
          </reference>
          <reference field="85" count="1">
            <x v="0"/>
          </reference>
        </references>
      </pivotArea>
    </format>
    <format dxfId="7770">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52"/>
          </reference>
          <reference field="82" count="1" selected="0">
            <x v="604"/>
          </reference>
          <reference field="85" count="1">
            <x v="7"/>
          </reference>
        </references>
      </pivotArea>
    </format>
    <format dxfId="776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205"/>
          </reference>
          <reference field="82" count="1" selected="0">
            <x v="659"/>
          </reference>
          <reference field="85" count="1">
            <x v="4"/>
          </reference>
        </references>
      </pivotArea>
    </format>
    <format dxfId="776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86"/>
          </reference>
          <reference field="82" count="1" selected="0">
            <x v="741"/>
          </reference>
          <reference field="85" count="1">
            <x v="0"/>
          </reference>
        </references>
      </pivotArea>
    </format>
    <format dxfId="7767">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50"/>
          </reference>
          <reference field="82" count="1" selected="0">
            <x v="805"/>
          </reference>
          <reference field="85" count="1">
            <x v="7"/>
          </reference>
        </references>
      </pivotArea>
    </format>
    <format dxfId="776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8"/>
          </reference>
          <reference field="82" count="1" selected="0">
            <x v="600"/>
          </reference>
          <reference field="85" count="1">
            <x v="3"/>
          </reference>
        </references>
      </pivotArea>
    </format>
    <format dxfId="776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1"/>
          </reference>
          <reference field="82" count="1" selected="0">
            <x v="613"/>
          </reference>
          <reference field="85" count="1">
            <x v="7"/>
          </reference>
        </references>
      </pivotArea>
    </format>
    <format dxfId="776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202"/>
          </reference>
          <reference field="82" count="1" selected="0">
            <x v="655"/>
          </reference>
          <reference field="85" count="1">
            <x v="4"/>
          </reference>
        </references>
      </pivotArea>
    </format>
    <format dxfId="776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83"/>
          </reference>
          <reference field="82" count="1" selected="0">
            <x v="738"/>
          </reference>
          <reference field="85" count="1">
            <x v="0"/>
          </reference>
        </references>
      </pivotArea>
    </format>
    <format dxfId="7762">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49"/>
          </reference>
          <reference field="82" count="1" selected="0">
            <x v="804"/>
          </reference>
          <reference field="85" count="1">
            <x v="7"/>
          </reference>
        </references>
      </pivotArea>
    </format>
    <format dxfId="7761">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9"/>
          </reference>
          <reference field="82" count="1" selected="0">
            <x v="601"/>
          </reference>
          <reference field="85" count="1">
            <x v="3"/>
          </reference>
        </references>
      </pivotArea>
    </format>
    <format dxfId="7760">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3"/>
          </reference>
          <reference field="82" count="1" selected="0">
            <x v="615"/>
          </reference>
          <reference field="85" count="1">
            <x v="7"/>
          </reference>
        </references>
      </pivotArea>
    </format>
    <format dxfId="775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43"/>
          </reference>
          <reference field="82" count="1" selected="0">
            <x v="595"/>
          </reference>
          <reference field="85" count="1">
            <x v="3"/>
          </reference>
        </references>
      </pivotArea>
    </format>
    <format dxfId="775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7"/>
          </reference>
          <reference field="82" count="1" selected="0">
            <x v="671"/>
          </reference>
          <reference field="85" count="1">
            <x v="4"/>
          </reference>
        </references>
      </pivotArea>
    </format>
    <format dxfId="775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77"/>
          </reference>
          <reference field="82" count="1" selected="0">
            <x v="732"/>
          </reference>
          <reference field="85" count="1">
            <x v="0"/>
          </reference>
        </references>
      </pivotArea>
    </format>
    <format dxfId="775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0"/>
          </reference>
          <reference field="82" count="1" selected="0">
            <x v="745"/>
          </reference>
          <reference field="85" count="1">
            <x v="2"/>
          </reference>
        </references>
      </pivotArea>
    </format>
    <format dxfId="775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8"/>
          </reference>
          <reference field="82" count="1" selected="0">
            <x v="672"/>
          </reference>
          <reference field="85" count="1">
            <x v="4"/>
          </reference>
        </references>
      </pivotArea>
    </format>
    <format dxfId="775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80"/>
          </reference>
          <reference field="82" count="1" selected="0">
            <x v="735"/>
          </reference>
          <reference field="85" count="1">
            <x v="0"/>
          </reference>
        </references>
      </pivotArea>
    </format>
    <format dxfId="775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3"/>
          </reference>
          <reference field="82" count="1" selected="0">
            <x v="748"/>
          </reference>
          <reference field="85" count="1">
            <x v="2"/>
          </reference>
        </references>
      </pivotArea>
    </format>
    <format dxfId="775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47"/>
          </reference>
          <reference field="82" count="1" selected="0">
            <x v="802"/>
          </reference>
          <reference field="85" count="1">
            <x v="7"/>
          </reference>
        </references>
      </pivotArea>
    </format>
    <format dxfId="775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7"/>
          </reference>
          <reference field="82" count="1" selected="0">
            <x v="872"/>
          </reference>
          <reference field="85" count="1">
            <x v="4"/>
          </reference>
        </references>
      </pivotArea>
    </format>
    <format dxfId="775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69"/>
          </reference>
          <reference field="82" count="1" selected="0">
            <x v="622"/>
          </reference>
          <reference field="85" count="1">
            <x v="7"/>
          </reference>
        </references>
      </pivotArea>
    </format>
    <format dxfId="774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18"/>
          </reference>
          <reference field="82" count="1" selected="0">
            <x v="773"/>
          </reference>
          <reference field="85" count="1">
            <x v="2"/>
          </reference>
        </references>
      </pivotArea>
    </format>
    <format dxfId="774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34"/>
          </reference>
          <reference field="82" count="1" selected="0">
            <x v="889"/>
          </reference>
          <reference field="85" count="1">
            <x v="4"/>
          </reference>
        </references>
      </pivotArea>
    </format>
    <format dxfId="7747">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37"/>
          </reference>
          <reference field="82" count="1" selected="0">
            <x v="892"/>
          </reference>
          <reference field="85" count="1">
            <x v="4"/>
          </reference>
        </references>
      </pivotArea>
    </format>
    <format dxfId="774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84"/>
          </reference>
          <reference field="82" count="1" selected="0">
            <x v="839"/>
          </reference>
          <reference field="85" count="1">
            <x v="4"/>
          </reference>
        </references>
      </pivotArea>
    </format>
    <format dxfId="774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9"/>
          </reference>
          <reference field="82" count="1" selected="0">
            <x v="834"/>
          </reference>
          <reference field="85" count="1">
            <x v="4"/>
          </reference>
        </references>
      </pivotArea>
    </format>
    <format dxfId="774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4"/>
          </reference>
          <reference field="82" count="1" selected="0">
            <x v="829"/>
          </reference>
          <reference field="85" count="1">
            <x v="4"/>
          </reference>
        </references>
      </pivotArea>
    </format>
    <format dxfId="774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30"/>
          </reference>
          <reference field="82" count="1" selected="0">
            <x v="885"/>
          </reference>
          <reference field="85" count="1">
            <x v="4"/>
          </reference>
        </references>
      </pivotArea>
    </format>
    <format dxfId="774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26"/>
          </reference>
          <reference field="82" count="1" selected="0">
            <x v="437"/>
          </reference>
          <reference field="85" count="1">
            <x v="4"/>
          </reference>
        </references>
      </pivotArea>
    </format>
    <format dxfId="7741">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45"/>
          </reference>
          <reference field="82" count="1" selected="0">
            <x v="597"/>
          </reference>
          <reference field="85" count="1">
            <x v="3"/>
          </reference>
        </references>
      </pivotArea>
    </format>
    <format dxfId="7740">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42"/>
          </reference>
          <reference field="82" count="1" selected="0">
            <x v="897"/>
          </reference>
          <reference field="85" count="1">
            <x v="4"/>
          </reference>
        </references>
      </pivotArea>
    </format>
    <format dxfId="773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2"/>
          </reference>
          <reference field="82" count="1" selected="0">
            <x v="635"/>
          </reference>
          <reference field="85" count="1">
            <x v="7"/>
          </reference>
        </references>
      </pivotArea>
    </format>
    <format dxfId="773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46"/>
          </reference>
          <reference field="82" count="1" selected="0">
            <x v="598"/>
          </reference>
          <reference field="85" count="1">
            <x v="3"/>
          </reference>
        </references>
      </pivotArea>
    </format>
    <format dxfId="773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3"/>
          </reference>
          <reference field="82" count="1" selected="0">
            <x v="636"/>
          </reference>
          <reference field="85" count="1">
            <x v="7"/>
          </reference>
        </references>
      </pivotArea>
    </format>
    <format dxfId="7736">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44"/>
          </reference>
          <reference field="82" count="1" selected="0">
            <x v="899"/>
          </reference>
          <reference field="85" count="1">
            <x v="7"/>
          </reference>
        </references>
      </pivotArea>
    </format>
    <format dxfId="773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45"/>
          </reference>
          <reference field="82" count="1" selected="0">
            <x v="900"/>
          </reference>
          <reference field="85" count="1">
            <x v="7"/>
          </reference>
        </references>
      </pivotArea>
    </format>
    <format dxfId="773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75"/>
          </reference>
          <reference field="82" count="1" selected="0">
            <x v="628"/>
          </reference>
          <reference field="85" count="1">
            <x v="2"/>
          </reference>
        </references>
      </pivotArea>
    </format>
    <format dxfId="773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47"/>
          </reference>
          <reference field="82" count="1" selected="0">
            <x v="902"/>
          </reference>
          <reference field="85" count="1">
            <x v="7"/>
          </reference>
        </references>
      </pivotArea>
    </format>
    <format dxfId="7732">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36"/>
          </reference>
          <reference field="82" count="1" selected="0">
            <x v="891"/>
          </reference>
          <reference field="85" count="1">
            <x v="4"/>
          </reference>
        </references>
      </pivotArea>
    </format>
    <format dxfId="7731">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01"/>
          </reference>
          <reference field="82" count="1" selected="0">
            <x v="756"/>
          </reference>
          <reference field="85" count="1">
            <x v="2"/>
          </reference>
        </references>
      </pivotArea>
    </format>
    <format dxfId="7730">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43"/>
          </reference>
          <reference field="82" count="1" selected="0">
            <x v="898"/>
          </reference>
          <reference field="85" count="1">
            <x v="4"/>
          </reference>
        </references>
      </pivotArea>
    </format>
    <format dxfId="772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81"/>
          </reference>
          <reference field="82" count="1" selected="0">
            <x v="634"/>
          </reference>
          <reference field="85" count="1">
            <x v="2"/>
          </reference>
        </references>
      </pivotArea>
    </format>
    <format dxfId="7728">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79"/>
          </reference>
          <reference field="82" count="1" selected="0">
            <x v="632"/>
          </reference>
          <reference field="85" count="1">
            <x v="7"/>
          </reference>
        </references>
      </pivotArea>
    </format>
    <format dxfId="7727">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12"/>
          </reference>
          <reference field="82" count="1" selected="0">
            <x v="767"/>
          </reference>
          <reference field="85" count="1">
            <x v="2"/>
          </reference>
        </references>
      </pivotArea>
    </format>
    <format dxfId="7726">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80"/>
          </reference>
          <reference field="82" count="1" selected="0">
            <x v="633"/>
          </reference>
          <reference field="85" count="1">
            <x v="7"/>
          </reference>
        </references>
      </pivotArea>
    </format>
    <format dxfId="7725">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28"/>
          </reference>
          <reference field="82" count="1" selected="0">
            <x v="883"/>
          </reference>
          <reference field="85" count="1">
            <x v="4"/>
          </reference>
        </references>
      </pivotArea>
    </format>
    <format dxfId="7724">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37"/>
          </reference>
          <reference field="82" count="1" selected="0">
            <x v="792"/>
          </reference>
          <reference field="85" count="1">
            <x v="7"/>
          </reference>
        </references>
      </pivotArea>
    </format>
    <format dxfId="7723">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200"/>
          </reference>
          <reference field="82" count="1" selected="0">
            <x v="653"/>
          </reference>
          <reference field="85" count="1">
            <x v="4"/>
          </reference>
        </references>
      </pivotArea>
    </format>
    <format dxfId="7722">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13"/>
          </reference>
          <reference field="82" count="1" selected="0">
            <x v="868"/>
          </reference>
          <reference field="85" count="1">
            <x v="4"/>
          </reference>
        </references>
      </pivotArea>
    </format>
    <format dxfId="772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3"/>
          </reference>
          <reference field="82" count="1" selected="0">
            <x v="778"/>
          </reference>
          <reference field="85" count="1" selected="0">
            <x v="7"/>
          </reference>
          <reference field="87" count="1" selected="0">
            <x v="1705"/>
          </reference>
          <reference field="88" count="1" selected="0">
            <x v="564"/>
          </reference>
        </references>
      </pivotArea>
    </format>
    <format dxfId="7720">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324"/>
          </reference>
          <reference field="82" count="1" selected="0">
            <x v="779"/>
          </reference>
          <reference field="85" count="1" selected="0">
            <x v="7"/>
          </reference>
          <reference field="87" count="1" selected="0">
            <x v="1706"/>
          </reference>
          <reference field="88" count="1" selected="0">
            <x v="565"/>
          </reference>
        </references>
      </pivotArea>
    </format>
    <format dxfId="771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9"/>
          </reference>
          <reference field="82" count="1" selected="0">
            <x v="864"/>
          </reference>
          <reference field="85" count="1" selected="0">
            <x v="4"/>
          </reference>
          <reference field="87" count="1" selected="0">
            <x v="1791"/>
          </reference>
          <reference field="88" count="1" selected="0">
            <x v="650"/>
          </reference>
        </references>
      </pivotArea>
    </format>
    <format dxfId="771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10"/>
          </reference>
          <reference field="82" count="1" selected="0">
            <x v="865"/>
          </reference>
          <reference field="85" count="1" selected="0">
            <x v="4"/>
          </reference>
          <reference field="87" count="1" selected="0">
            <x v="1792"/>
          </reference>
          <reference field="88" count="1" selected="0">
            <x v="651"/>
          </reference>
        </references>
      </pivotArea>
    </format>
    <format dxfId="771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11"/>
          </reference>
          <reference field="82" count="1" selected="0">
            <x v="866"/>
          </reference>
          <reference field="85" count="1" selected="0">
            <x v="4"/>
          </reference>
          <reference field="87" count="1" selected="0">
            <x v="1793"/>
          </reference>
          <reference field="88" count="1" selected="0">
            <x v="652"/>
          </reference>
        </references>
      </pivotArea>
    </format>
    <format dxfId="771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12"/>
          </reference>
          <reference field="82" count="1" selected="0">
            <x v="867"/>
          </reference>
          <reference field="85" count="1" selected="0">
            <x v="4"/>
          </reference>
          <reference field="87" count="1" selected="0">
            <x v="1794"/>
          </reference>
          <reference field="88" count="1" selected="0">
            <x v="653"/>
          </reference>
        </references>
      </pivotArea>
    </format>
    <format dxfId="7715">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9"/>
          </reference>
          <reference field="82" count="1" selected="0">
            <x v="784"/>
          </reference>
          <reference field="85" count="1" selected="0">
            <x v="7"/>
          </reference>
          <reference field="87" count="1" selected="0">
            <x v="1711"/>
          </reference>
          <reference field="88" count="1" selected="0">
            <x v="570"/>
          </reference>
        </references>
      </pivotArea>
    </format>
    <format dxfId="7714">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328"/>
          </reference>
          <reference field="82" count="1" selected="0">
            <x v="783"/>
          </reference>
          <reference field="85" count="1" selected="0">
            <x v="7"/>
          </reference>
          <reference field="87" count="1" selected="0">
            <x v="1710"/>
          </reference>
          <reference field="88" count="1" selected="0">
            <x v="569"/>
          </reference>
        </references>
      </pivotArea>
    </format>
    <format dxfId="771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56"/>
          </reference>
          <reference field="82" count="1" selected="0">
            <x v="711"/>
          </reference>
          <reference field="85" count="1" selected="0">
            <x v="0"/>
          </reference>
          <reference field="87" count="1" selected="0">
            <x v="1638"/>
          </reference>
          <reference field="88" count="1" selected="0">
            <x v="497"/>
          </reference>
        </references>
      </pivotArea>
    </format>
    <format dxfId="771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57"/>
          </reference>
          <reference field="82" count="1" selected="0">
            <x v="712"/>
          </reference>
          <reference field="85" count="1" selected="0">
            <x v="0"/>
          </reference>
          <reference field="87" count="1" selected="0">
            <x v="1639"/>
          </reference>
          <reference field="88" count="1" selected="0">
            <x v="498"/>
          </reference>
        </references>
      </pivotArea>
    </format>
    <format dxfId="771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54"/>
          </reference>
          <reference field="82" count="1" selected="0">
            <x v="709"/>
          </reference>
          <reference field="85" count="1" selected="0">
            <x v="0"/>
          </reference>
          <reference field="87" count="1" selected="0">
            <x v="1636"/>
          </reference>
          <reference field="88" count="1" selected="0">
            <x v="495"/>
          </reference>
        </references>
      </pivotArea>
    </format>
    <format dxfId="771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55"/>
          </reference>
          <reference field="82" count="1" selected="0">
            <x v="710"/>
          </reference>
          <reference field="85" count="1" selected="0">
            <x v="0"/>
          </reference>
          <reference field="87" count="1" selected="0">
            <x v="1637"/>
          </reference>
          <reference field="88" count="1" selected="0">
            <x v="496"/>
          </reference>
        </references>
      </pivotArea>
    </format>
    <format dxfId="7709">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9"/>
          </reference>
          <reference field="82" count="1" selected="0">
            <x v="784"/>
          </reference>
          <reference field="85" count="1" selected="0">
            <x v="7"/>
          </reference>
          <reference field="87" count="1" selected="0">
            <x v="1711"/>
          </reference>
          <reference field="88" count="1" selected="0">
            <x v="570"/>
          </reference>
        </references>
      </pivotArea>
    </format>
    <format dxfId="7708">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328"/>
          </reference>
          <reference field="82" count="1" selected="0">
            <x v="783"/>
          </reference>
          <reference field="85" count="1" selected="0">
            <x v="7"/>
          </reference>
          <reference field="87" count="1" selected="0">
            <x v="1710"/>
          </reference>
          <reference field="88" count="1" selected="0">
            <x v="569"/>
          </reference>
        </references>
      </pivotArea>
    </format>
    <format dxfId="770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51"/>
          </reference>
          <reference field="82" count="1" selected="0">
            <x v="706"/>
          </reference>
          <reference field="85" count="1" selected="0">
            <x v="0"/>
          </reference>
          <reference field="87" count="1" selected="0">
            <x v="1633"/>
          </reference>
          <reference field="88" count="1" selected="0">
            <x v="492"/>
          </reference>
        </references>
      </pivotArea>
    </format>
    <format dxfId="770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52"/>
          </reference>
          <reference field="82" count="1" selected="0">
            <x v="707"/>
          </reference>
          <reference field="85" count="1" selected="0">
            <x v="0"/>
          </reference>
          <reference field="87" count="1" selected="0">
            <x v="1634"/>
          </reference>
          <reference field="88" count="1" selected="0">
            <x v="493"/>
          </reference>
        </references>
      </pivotArea>
    </format>
    <format dxfId="7705">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54"/>
          </reference>
          <reference field="82" count="1" selected="0">
            <x v="709"/>
          </reference>
          <reference field="85" count="1" selected="0">
            <x v="0"/>
          </reference>
          <reference field="87" count="1" selected="0">
            <x v="1636"/>
          </reference>
          <reference field="88" count="1" selected="0">
            <x v="495"/>
          </reference>
        </references>
      </pivotArea>
    </format>
    <format dxfId="770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50"/>
          </reference>
          <reference field="82" count="1" selected="0">
            <x v="705"/>
          </reference>
          <reference field="85" count="1" selected="0">
            <x v="0"/>
          </reference>
          <reference field="87" count="1" selected="0">
            <x v="1632"/>
          </reference>
          <reference field="88" count="1" selected="0">
            <x v="491"/>
          </reference>
        </references>
      </pivotArea>
    </format>
    <format dxfId="7703">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7"/>
          </reference>
          <reference field="82" count="1" selected="0">
            <x v="782"/>
          </reference>
          <reference field="85" count="1" selected="0">
            <x v="7"/>
          </reference>
          <reference field="87" count="1" selected="0">
            <x v="1709"/>
          </reference>
          <reference field="88" count="1" selected="0">
            <x v="568"/>
          </reference>
        </references>
      </pivotArea>
    </format>
    <format dxfId="7702">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328"/>
          </reference>
          <reference field="82" count="1" selected="0">
            <x v="783"/>
          </reference>
          <reference field="85" count="1" selected="0">
            <x v="7"/>
          </reference>
          <reference field="87" count="1" selected="0">
            <x v="1710"/>
          </reference>
          <reference field="88" count="1" selected="0">
            <x v="569"/>
          </reference>
        </references>
      </pivotArea>
    </format>
    <format dxfId="7701">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167"/>
          </reference>
          <reference field="82" count="1" selected="0">
            <x v="619"/>
          </reference>
          <reference field="85" count="1" selected="0">
            <x v="7"/>
          </reference>
          <reference field="87" count="1" selected="0">
            <x v="1548"/>
          </reference>
          <reference field="88" count="1" selected="0">
            <x v="404"/>
          </reference>
        </references>
      </pivotArea>
    </format>
    <format dxfId="7700">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168"/>
          </reference>
          <reference field="82" count="1" selected="0">
            <x v="621"/>
          </reference>
          <reference field="85" count="1" selected="0">
            <x v="7"/>
          </reference>
          <reference field="87" count="1" selected="0">
            <x v="1549"/>
          </reference>
          <reference field="88" count="1" selected="0">
            <x v="406"/>
          </reference>
        </references>
      </pivotArea>
    </format>
    <format dxfId="7699">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244"/>
          </reference>
          <reference field="82" count="1" selected="0">
            <x v="699"/>
          </reference>
          <reference field="85" count="1" selected="0">
            <x v="0"/>
          </reference>
          <reference field="87" count="1" selected="0">
            <x v="1626"/>
          </reference>
          <reference field="88" count="1" selected="0">
            <x v="485"/>
          </reference>
        </references>
      </pivotArea>
    </format>
    <format dxfId="769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247"/>
          </reference>
          <reference field="82" count="1" selected="0">
            <x v="702"/>
          </reference>
          <reference field="85" count="1" selected="0">
            <x v="0"/>
          </reference>
          <reference field="87" count="1" selected="0">
            <x v="1629"/>
          </reference>
          <reference field="88" count="1" selected="0">
            <x v="488"/>
          </reference>
        </references>
      </pivotArea>
    </format>
    <format dxfId="769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245"/>
          </reference>
          <reference field="82" count="1" selected="0">
            <x v="700"/>
          </reference>
          <reference field="85" count="1" selected="0">
            <x v="0"/>
          </reference>
          <reference field="87" count="1" selected="0">
            <x v="1627"/>
          </reference>
          <reference field="88" count="1" selected="0">
            <x v="486"/>
          </reference>
        </references>
      </pivotArea>
    </format>
    <format dxfId="769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246"/>
          </reference>
          <reference field="82" count="1" selected="0">
            <x v="701"/>
          </reference>
          <reference field="85" count="1" selected="0">
            <x v="0"/>
          </reference>
          <reference field="87" count="1" selected="0">
            <x v="1628"/>
          </reference>
          <reference field="88" count="1" selected="0">
            <x v="487"/>
          </reference>
        </references>
      </pivotArea>
    </format>
    <format dxfId="7695">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19"/>
          </reference>
          <reference field="82" count="1" selected="0">
            <x v="774"/>
          </reference>
          <reference field="85" count="1" selected="0">
            <x v="7"/>
          </reference>
          <reference field="87" count="1" selected="0">
            <x v="1701"/>
          </reference>
          <reference field="88" count="1" selected="0">
            <x v="560"/>
          </reference>
        </references>
      </pivotArea>
    </format>
    <format dxfId="7694">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320"/>
          </reference>
          <reference field="82" count="1" selected="0">
            <x v="775"/>
          </reference>
          <reference field="85" count="1" selected="0">
            <x v="7"/>
          </reference>
          <reference field="87" count="1" selected="0">
            <x v="1702"/>
          </reference>
          <reference field="88" count="1" selected="0">
            <x v="561"/>
          </reference>
        </references>
      </pivotArea>
    </format>
    <format dxfId="7693">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1"/>
          </reference>
          <reference field="82" count="1" selected="0">
            <x v="856"/>
          </reference>
          <reference field="85" count="1" selected="0">
            <x v="4"/>
          </reference>
          <reference field="87" count="1" selected="0">
            <x v="1783"/>
          </reference>
          <reference field="88" count="1" selected="0">
            <x v="642"/>
          </reference>
        </references>
      </pivotArea>
    </format>
    <format dxfId="7692">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2"/>
          </reference>
          <reference field="82" count="1" selected="0">
            <x v="857"/>
          </reference>
          <reference field="85" count="1" selected="0">
            <x v="4"/>
          </reference>
          <reference field="87" count="1" selected="0">
            <x v="1784"/>
          </reference>
          <reference field="88" count="1" selected="0">
            <x v="643"/>
          </reference>
        </references>
      </pivotArea>
    </format>
    <format dxfId="769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03"/>
          </reference>
          <reference field="82" count="1" selected="0">
            <x v="858"/>
          </reference>
          <reference field="85" count="1" selected="0">
            <x v="4"/>
          </reference>
          <reference field="87" count="1" selected="0">
            <x v="1785"/>
          </reference>
          <reference field="88" count="1" selected="0">
            <x v="644"/>
          </reference>
        </references>
      </pivotArea>
    </format>
    <format dxfId="769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04"/>
          </reference>
          <reference field="82" count="1" selected="0">
            <x v="859"/>
          </reference>
          <reference field="85" count="1" selected="0">
            <x v="4"/>
          </reference>
          <reference field="87" count="1" selected="0">
            <x v="1786"/>
          </reference>
          <reference field="88" count="1" selected="0">
            <x v="645"/>
          </reference>
        </references>
      </pivotArea>
    </format>
    <format dxfId="7689">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177"/>
          </reference>
          <reference field="82" count="1" selected="0">
            <x v="630"/>
          </reference>
          <reference field="85" count="1" selected="0">
            <x v="7"/>
          </reference>
          <reference field="87" count="1" selected="0">
            <x v="1558"/>
          </reference>
          <reference field="88" count="1" selected="0">
            <x v="415"/>
          </reference>
        </references>
      </pivotArea>
    </format>
    <format dxfId="7688">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167"/>
          </reference>
          <reference field="82" count="1" selected="0">
            <x v="620"/>
          </reference>
          <reference field="85" count="1" selected="0">
            <x v="7"/>
          </reference>
          <reference field="87" count="1" selected="0">
            <x v="1548"/>
          </reference>
          <reference field="88" count="1" selected="0">
            <x v="405"/>
          </reference>
        </references>
      </pivotArea>
    </format>
    <format dxfId="768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220"/>
          </reference>
          <reference field="82" count="1" selected="0">
            <x v="674"/>
          </reference>
          <reference field="85" count="1" selected="0">
            <x v="4"/>
          </reference>
          <reference field="87" count="1" selected="0">
            <x v="1602"/>
          </reference>
          <reference field="88" count="1" selected="0">
            <x v="460"/>
          </reference>
        </references>
      </pivotArea>
    </format>
    <format dxfId="7686">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222"/>
          </reference>
          <reference field="82" count="1" selected="0">
            <x v="676"/>
          </reference>
          <reference field="85" count="1" selected="0">
            <x v="4"/>
          </reference>
          <reference field="87" count="1" selected="0">
            <x v="1604"/>
          </reference>
          <reference field="88" count="1" selected="0">
            <x v="462"/>
          </reference>
        </references>
      </pivotArea>
    </format>
    <format dxfId="768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223"/>
          </reference>
          <reference field="82" count="1" selected="0">
            <x v="677"/>
          </reference>
          <reference field="85" count="1" selected="0">
            <x v="4"/>
          </reference>
          <reference field="87" count="1" selected="0">
            <x v="1605"/>
          </reference>
          <reference field="88" count="1" selected="0">
            <x v="463"/>
          </reference>
        </references>
      </pivotArea>
    </format>
    <format dxfId="768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219"/>
          </reference>
          <reference field="82" count="1" selected="0">
            <x v="673"/>
          </reference>
          <reference field="85" count="1" selected="0">
            <x v="4"/>
          </reference>
          <reference field="87" count="1" selected="0">
            <x v="1601"/>
          </reference>
          <reference field="88" count="1" selected="0">
            <x v="459"/>
          </reference>
        </references>
      </pivotArea>
    </format>
    <format dxfId="768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224"/>
          </reference>
          <reference field="82" count="1" selected="0">
            <x v="678"/>
          </reference>
          <reference field="85" count="1" selected="0">
            <x v="4"/>
          </reference>
          <reference field="87" count="1" selected="0">
            <x v="1606"/>
          </reference>
          <reference field="88" count="1" selected="0">
            <x v="464"/>
          </reference>
        </references>
      </pivotArea>
    </format>
    <format dxfId="768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225"/>
          </reference>
          <reference field="82" count="1" selected="0">
            <x v="679"/>
          </reference>
          <reference field="85" count="1" selected="0">
            <x v="4"/>
          </reference>
          <reference field="87" count="1" selected="0">
            <x v="1607"/>
          </reference>
          <reference field="88" count="1" selected="0">
            <x v="465"/>
          </reference>
        </references>
      </pivotArea>
    </format>
    <format dxfId="768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226"/>
          </reference>
          <reference field="82" count="1" selected="0">
            <x v="680"/>
          </reference>
          <reference field="85" count="1" selected="0">
            <x v="4"/>
          </reference>
          <reference field="87" count="1" selected="0">
            <x v="1608"/>
          </reference>
          <reference field="88" count="1" selected="0">
            <x v="466"/>
          </reference>
        </references>
      </pivotArea>
    </format>
    <format dxfId="768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221"/>
          </reference>
          <reference field="82" count="1" selected="0">
            <x v="675"/>
          </reference>
          <reference field="85" count="1" selected="0">
            <x v="4"/>
          </reference>
          <reference field="87" count="1" selected="0">
            <x v="1603"/>
          </reference>
          <reference field="88" count="1" selected="0">
            <x v="461"/>
          </reference>
        </references>
      </pivotArea>
    </format>
    <format dxfId="7679">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51"/>
          </reference>
          <reference field="82" count="1" selected="0">
            <x v="706"/>
          </reference>
          <reference field="85" count="1" selected="0">
            <x v="0"/>
          </reference>
          <reference field="87" count="1" selected="0">
            <x v="1633"/>
          </reference>
          <reference field="88" count="1" selected="0">
            <x v="492"/>
          </reference>
        </references>
      </pivotArea>
    </format>
    <format dxfId="7678">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52"/>
          </reference>
          <reference field="82" count="1" selected="0">
            <x v="707"/>
          </reference>
          <reference field="85" count="1" selected="0">
            <x v="0"/>
          </reference>
          <reference field="87" count="1" selected="0">
            <x v="1634"/>
          </reference>
          <reference field="88" count="1" selected="0">
            <x v="493"/>
          </reference>
        </references>
      </pivotArea>
    </format>
    <format dxfId="767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53"/>
          </reference>
          <reference field="82" count="1" selected="0">
            <x v="708"/>
          </reference>
          <reference field="85" count="1" selected="0">
            <x v="0"/>
          </reference>
          <reference field="87" count="1" selected="0">
            <x v="1635"/>
          </reference>
          <reference field="88" count="1" selected="0">
            <x v="494"/>
          </reference>
        </references>
      </pivotArea>
    </format>
    <format dxfId="767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50"/>
          </reference>
          <reference field="82" count="1" selected="0">
            <x v="705"/>
          </reference>
          <reference field="85" count="1" selected="0">
            <x v="0"/>
          </reference>
          <reference field="87" count="1" selected="0">
            <x v="1632"/>
          </reference>
          <reference field="88" count="1" selected="0">
            <x v="491"/>
          </reference>
        </references>
      </pivotArea>
    </format>
    <format dxfId="7675">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176"/>
          </reference>
          <reference field="82" count="1" selected="0">
            <x v="629"/>
          </reference>
          <reference field="85" count="1" selected="0">
            <x v="7"/>
          </reference>
          <reference field="87" count="1" selected="0">
            <x v="1557"/>
          </reference>
          <reference field="88" count="1" selected="0">
            <x v="414"/>
          </reference>
        </references>
      </pivotArea>
    </format>
    <format dxfId="7674">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1"/>
          </reference>
          <reference field="82" count="1" selected="0">
            <x v="776"/>
          </reference>
          <reference field="85" count="1" selected="0">
            <x v="7"/>
          </reference>
          <reference field="87" count="1" selected="0">
            <x v="1703"/>
          </reference>
          <reference field="88" count="1" selected="0">
            <x v="562"/>
          </reference>
        </references>
      </pivotArea>
    </format>
    <format dxfId="7673">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322"/>
          </reference>
          <reference field="82" count="1" selected="0">
            <x v="777"/>
          </reference>
          <reference field="85" count="1" selected="0">
            <x v="7"/>
          </reference>
          <reference field="87" count="1" selected="0">
            <x v="1704"/>
          </reference>
          <reference field="88" count="1" selected="0">
            <x v="563"/>
          </reference>
        </references>
      </pivotArea>
    </format>
    <format dxfId="7672">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001"/>
          </reference>
          <reference field="82" count="1" selected="0">
            <x v="397"/>
          </reference>
          <reference field="85" count="1" selected="0">
            <x v="0"/>
          </reference>
          <reference field="87" count="1" selected="0">
            <x v="1477"/>
          </reference>
          <reference field="88" count="1" selected="0">
            <x v="327"/>
          </reference>
        </references>
      </pivotArea>
    </format>
    <format dxfId="7671">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248"/>
          </reference>
          <reference field="82" count="1" selected="0">
            <x v="703"/>
          </reference>
          <reference field="85" count="1" selected="0">
            <x v="0"/>
          </reference>
          <reference field="87" count="1" selected="0">
            <x v="1630"/>
          </reference>
          <reference field="88" count="1" selected="0">
            <x v="489"/>
          </reference>
        </references>
      </pivotArea>
    </format>
    <format dxfId="7670">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249"/>
          </reference>
          <reference field="82" count="1" selected="0">
            <x v="704"/>
          </reference>
          <reference field="85" count="1" selected="0">
            <x v="0"/>
          </reference>
          <reference field="87" count="1" selected="0">
            <x v="1631"/>
          </reference>
          <reference field="88" count="1" selected="0">
            <x v="490"/>
          </reference>
        </references>
      </pivotArea>
    </format>
    <format dxfId="7669">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5"/>
          </reference>
          <reference field="82" count="1" selected="0">
            <x v="780"/>
          </reference>
          <reference field="85" count="1" selected="0">
            <x v="7"/>
          </reference>
          <reference field="87" count="1" selected="0">
            <x v="1707"/>
          </reference>
          <reference field="88" count="1" selected="0">
            <x v="566"/>
          </reference>
        </references>
      </pivotArea>
    </format>
    <format dxfId="7668">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326"/>
          </reference>
          <reference field="82" count="1" selected="0">
            <x v="781"/>
          </reference>
          <reference field="85" count="1" selected="0">
            <x v="7"/>
          </reference>
          <reference field="87" count="1" selected="0">
            <x v="1708"/>
          </reference>
          <reference field="88" count="1" selected="0">
            <x v="567"/>
          </reference>
        </references>
      </pivotArea>
    </format>
    <format dxfId="7667">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5"/>
          </reference>
          <reference field="82" count="1" selected="0">
            <x v="860"/>
          </reference>
          <reference field="85" count="1" selected="0">
            <x v="4"/>
          </reference>
          <reference field="87" count="1" selected="0">
            <x v="1787"/>
          </reference>
          <reference field="88" count="1" selected="0">
            <x v="646"/>
          </reference>
        </references>
      </pivotArea>
    </format>
    <format dxfId="7666">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6"/>
          </reference>
          <reference field="82" count="1" selected="0">
            <x v="861"/>
          </reference>
          <reference field="85" count="1" selected="0">
            <x v="4"/>
          </reference>
          <reference field="87" count="1" selected="0">
            <x v="1788"/>
          </reference>
          <reference field="88" count="1" selected="0">
            <x v="647"/>
          </reference>
        </references>
      </pivotArea>
    </format>
    <format dxfId="766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07"/>
          </reference>
          <reference field="82" count="1" selected="0">
            <x v="862"/>
          </reference>
          <reference field="85" count="1" selected="0">
            <x v="4"/>
          </reference>
          <reference field="87" count="1" selected="0">
            <x v="1789"/>
          </reference>
          <reference field="88" count="1" selected="0">
            <x v="648"/>
          </reference>
        </references>
      </pivotArea>
    </format>
    <format dxfId="766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08"/>
          </reference>
          <reference field="82" count="1" selected="0">
            <x v="863"/>
          </reference>
          <reference field="85" count="1" selected="0">
            <x v="4"/>
          </reference>
          <reference field="87" count="1" selected="0">
            <x v="1790"/>
          </reference>
          <reference field="88" count="1" selected="0">
            <x v="649"/>
          </reference>
        </references>
      </pivotArea>
    </format>
    <format dxfId="7663">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329"/>
          </reference>
          <reference field="82" count="1" selected="0">
            <x v="784"/>
          </reference>
          <reference field="85" count="1" selected="0">
            <x v="7"/>
          </reference>
          <reference field="87" count="1" selected="0">
            <x v="1711"/>
          </reference>
          <reference field="88" count="1" selected="0">
            <x v="570"/>
          </reference>
        </references>
      </pivotArea>
    </format>
    <format dxfId="7662">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330"/>
          </reference>
          <reference field="82" count="1" selected="0">
            <x v="785"/>
          </reference>
          <reference field="85" count="1" selected="0">
            <x v="7"/>
          </reference>
          <reference field="87" count="1" selected="0">
            <x v="1712"/>
          </reference>
          <reference field="88" count="1" selected="0">
            <x v="571"/>
          </reference>
        </references>
      </pivotArea>
    </format>
    <format dxfId="7661">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58"/>
          </reference>
          <reference field="82" count="1" selected="0">
            <x v="713"/>
          </reference>
          <reference field="85" count="1" selected="0">
            <x v="0"/>
          </reference>
          <reference field="87" count="1" selected="0">
            <x v="1640"/>
          </reference>
          <reference field="88" count="1" selected="0">
            <x v="499"/>
          </reference>
        </references>
      </pivotArea>
    </format>
    <format dxfId="7660">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265"/>
          </reference>
          <reference field="82" count="1" selected="0">
            <x v="720"/>
          </reference>
          <reference field="85" count="1" selected="0">
            <x v="0"/>
          </reference>
          <reference field="87" count="1" selected="0">
            <x v="1647"/>
          </reference>
          <reference field="88" count="1" selected="0">
            <x v="506"/>
          </reference>
        </references>
      </pivotArea>
    </format>
    <format dxfId="7659">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266"/>
          </reference>
          <reference field="82" count="1" selected="0">
            <x v="721"/>
          </reference>
          <reference field="85" count="1" selected="0">
            <x v="0"/>
          </reference>
          <reference field="87" count="1" selected="0">
            <x v="1648"/>
          </reference>
          <reference field="88" count="1" selected="0">
            <x v="507"/>
          </reference>
        </references>
      </pivotArea>
    </format>
    <format dxfId="765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267"/>
          </reference>
          <reference field="82" count="1" selected="0">
            <x v="722"/>
          </reference>
          <reference field="85" count="1" selected="0">
            <x v="0"/>
          </reference>
          <reference field="87" count="1" selected="0">
            <x v="1649"/>
          </reference>
          <reference field="88" count="1" selected="0">
            <x v="508"/>
          </reference>
        </references>
      </pivotArea>
    </format>
    <format dxfId="7657">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173"/>
          </reference>
          <reference field="82" count="1" selected="0">
            <x v="626"/>
          </reference>
          <reference field="85" count="1" selected="0">
            <x v="7"/>
          </reference>
          <reference field="87" count="1" selected="0">
            <x v="1554"/>
          </reference>
          <reference field="88" count="1" selected="0">
            <x v="411"/>
          </reference>
        </references>
      </pivotArea>
    </format>
    <format dxfId="7656">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157"/>
          </reference>
          <reference field="82" count="1" selected="0">
            <x v="609"/>
          </reference>
          <reference field="85" count="1" selected="0">
            <x v="7"/>
          </reference>
          <reference field="87" count="1" selected="0">
            <x v="1538"/>
          </reference>
          <reference field="88" count="1" selected="0">
            <x v="394"/>
          </reference>
        </references>
      </pivotArea>
    </format>
    <format dxfId="7655">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158"/>
          </reference>
          <reference field="82" count="1" selected="0">
            <x v="610"/>
          </reference>
          <reference field="85" count="1" selected="0">
            <x v="7"/>
          </reference>
          <reference field="87" count="1" selected="0">
            <x v="1539"/>
          </reference>
          <reference field="88" count="1" selected="0">
            <x v="395"/>
          </reference>
        </references>
      </pivotArea>
    </format>
    <format dxfId="7654">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259"/>
          </reference>
          <reference field="82" count="1" selected="0">
            <x v="714"/>
          </reference>
          <reference field="85" count="1" selected="0">
            <x v="0"/>
          </reference>
          <reference field="87" count="1" selected="0">
            <x v="1641"/>
          </reference>
          <reference field="88" count="1" selected="0">
            <x v="500"/>
          </reference>
        </references>
      </pivotArea>
    </format>
    <format dxfId="7653">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260"/>
          </reference>
          <reference field="82" count="1" selected="0">
            <x v="715"/>
          </reference>
          <reference field="85" count="1" selected="0">
            <x v="0"/>
          </reference>
          <reference field="87" count="1" selected="0">
            <x v="1642"/>
          </reference>
          <reference field="88" count="1" selected="0">
            <x v="501"/>
          </reference>
        </references>
      </pivotArea>
    </format>
    <format dxfId="765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261"/>
          </reference>
          <reference field="82" count="1" selected="0">
            <x v="716"/>
          </reference>
          <reference field="85" count="1" selected="0">
            <x v="0"/>
          </reference>
          <reference field="87" count="1" selected="0">
            <x v="1643"/>
          </reference>
          <reference field="88" count="1" selected="0">
            <x v="502"/>
          </reference>
        </references>
      </pivotArea>
    </format>
    <format dxfId="7651">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31"/>
          </reference>
          <reference field="82" count="1" selected="0">
            <x v="786"/>
          </reference>
          <reference field="85" count="1" selected="0">
            <x v="7"/>
          </reference>
          <reference field="87" count="1" selected="0">
            <x v="1713"/>
          </reference>
          <reference field="88" count="1" selected="0">
            <x v="572"/>
          </reference>
        </references>
      </pivotArea>
    </format>
    <format dxfId="7650">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332"/>
          </reference>
          <reference field="82" count="1" selected="0">
            <x v="787"/>
          </reference>
          <reference field="85" count="1" selected="0">
            <x v="7"/>
          </reference>
          <reference field="87" count="1" selected="0">
            <x v="1714"/>
          </reference>
          <reference field="88" count="1" selected="0">
            <x v="573"/>
          </reference>
        </references>
      </pivotArea>
    </format>
    <format dxfId="7649">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178"/>
          </reference>
          <reference field="82" count="1" selected="0">
            <x v="631"/>
          </reference>
          <reference field="85" count="1" selected="0">
            <x v="7"/>
          </reference>
          <reference field="87" count="1" selected="0">
            <x v="1559"/>
          </reference>
          <reference field="88" count="1" selected="0">
            <x v="416"/>
          </reference>
        </references>
      </pivotArea>
    </format>
    <format dxfId="7648">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262"/>
          </reference>
          <reference field="82" count="1" selected="0">
            <x v="717"/>
          </reference>
          <reference field="85" count="1" selected="0">
            <x v="0"/>
          </reference>
          <reference field="87" count="1" selected="0">
            <x v="1644"/>
          </reference>
          <reference field="88" count="1" selected="0">
            <x v="503"/>
          </reference>
        </references>
      </pivotArea>
    </format>
    <format dxfId="7647">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263"/>
          </reference>
          <reference field="82" count="1" selected="0">
            <x v="718"/>
          </reference>
          <reference field="85" count="1" selected="0">
            <x v="0"/>
          </reference>
          <reference field="87" count="1" selected="0">
            <x v="1645"/>
          </reference>
          <reference field="88" count="1" selected="0">
            <x v="504"/>
          </reference>
        </references>
      </pivotArea>
    </format>
    <format dxfId="764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264"/>
          </reference>
          <reference field="82" count="1" selected="0">
            <x v="719"/>
          </reference>
          <reference field="85" count="1" selected="0">
            <x v="0"/>
          </reference>
          <reference field="87" count="1" selected="0">
            <x v="1646"/>
          </reference>
          <reference field="88" count="1" selected="0">
            <x v="505"/>
          </reference>
        </references>
      </pivotArea>
    </format>
    <format dxfId="7645">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38"/>
          </reference>
          <reference field="82" count="1" selected="0">
            <x v="793"/>
          </reference>
          <reference field="85" count="1" selected="0">
            <x v="7"/>
          </reference>
          <reference field="87" count="1" selected="0">
            <x v="1720"/>
          </reference>
          <reference field="88" count="1" selected="0">
            <x v="579"/>
          </reference>
        </references>
      </pivotArea>
    </format>
    <format dxfId="7644">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271"/>
          </reference>
          <reference field="82" count="1" selected="0">
            <x v="726"/>
          </reference>
          <reference field="85" count="1" selected="0">
            <x v="0"/>
          </reference>
          <reference field="87" count="1" selected="0">
            <x v="1653"/>
          </reference>
          <reference field="88" count="1" selected="0">
            <x v="512"/>
          </reference>
        </references>
      </pivotArea>
    </format>
    <format dxfId="7643">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272"/>
          </reference>
          <reference field="82" count="1" selected="0">
            <x v="727"/>
          </reference>
          <reference field="85" count="1" selected="0">
            <x v="0"/>
          </reference>
          <reference field="87" count="1" selected="0">
            <x v="1654"/>
          </reference>
          <reference field="88" count="1" selected="0">
            <x v="513"/>
          </reference>
        </references>
      </pivotArea>
    </format>
    <format dxfId="764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273"/>
          </reference>
          <reference field="82" count="1" selected="0">
            <x v="728"/>
          </reference>
          <reference field="85" count="1" selected="0">
            <x v="0"/>
          </reference>
          <reference field="87" count="1" selected="0">
            <x v="1655"/>
          </reference>
          <reference field="88" count="1" selected="0">
            <x v="514"/>
          </reference>
        </references>
      </pivotArea>
    </format>
    <format dxfId="7641">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150"/>
          </reference>
          <reference field="82" count="1" selected="0">
            <x v="602"/>
          </reference>
          <reference field="85" count="1" selected="0">
            <x v="7"/>
          </reference>
          <reference field="87" count="1" selected="0">
            <x v="1531"/>
          </reference>
          <reference field="88" count="1" selected="0">
            <x v="387"/>
          </reference>
        </references>
      </pivotArea>
    </format>
    <format dxfId="7640">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51"/>
          </reference>
          <reference field="82" count="1" selected="0">
            <x v="603"/>
          </reference>
          <reference field="85" count="1" selected="0">
            <x v="7"/>
          </reference>
          <reference field="87" count="1" selected="0">
            <x v="1532"/>
          </reference>
          <reference field="88" count="1" selected="0">
            <x v="388"/>
          </reference>
        </references>
      </pivotArea>
    </format>
    <format dxfId="7639">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211"/>
          </reference>
          <reference field="82" count="1" selected="0">
            <x v="665"/>
          </reference>
          <reference field="85" count="1" selected="0">
            <x v="4"/>
          </reference>
          <reference field="87" count="1" selected="0">
            <x v="1593"/>
          </reference>
          <reference field="88" count="1" selected="0">
            <x v="451"/>
          </reference>
        </references>
      </pivotArea>
    </format>
    <format dxfId="7638">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212"/>
          </reference>
          <reference field="82" count="1" selected="0">
            <x v="666"/>
          </reference>
          <reference field="85" count="1" selected="0">
            <x v="4"/>
          </reference>
          <reference field="87" count="1" selected="0">
            <x v="1594"/>
          </reference>
          <reference field="88" count="1" selected="0">
            <x v="452"/>
          </reference>
        </references>
      </pivotArea>
    </format>
    <format dxfId="763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209"/>
          </reference>
          <reference field="82" count="1" selected="0">
            <x v="663"/>
          </reference>
          <reference field="85" count="1" selected="0">
            <x v="4"/>
          </reference>
          <reference field="87" count="1" selected="0">
            <x v="1591"/>
          </reference>
          <reference field="88" count="1" selected="0">
            <x v="449"/>
          </reference>
        </references>
      </pivotArea>
    </format>
    <format dxfId="763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210"/>
          </reference>
          <reference field="82" count="1" selected="0">
            <x v="664"/>
          </reference>
          <reference field="85" count="1" selected="0">
            <x v="4"/>
          </reference>
          <reference field="87" count="1" selected="0">
            <x v="1592"/>
          </reference>
          <reference field="88" count="1" selected="0">
            <x v="450"/>
          </reference>
        </references>
      </pivotArea>
    </format>
    <format dxfId="7635">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268"/>
          </reference>
          <reference field="82" count="1" selected="0">
            <x v="723"/>
          </reference>
          <reference field="85" count="1" selected="0">
            <x v="0"/>
          </reference>
          <reference field="87" count="1" selected="0">
            <x v="1650"/>
          </reference>
          <reference field="88" count="1" selected="0">
            <x v="509"/>
          </reference>
        </references>
      </pivotArea>
    </format>
    <format dxfId="7634">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269"/>
          </reference>
          <reference field="82" count="1" selected="0">
            <x v="724"/>
          </reference>
          <reference field="85" count="1" selected="0">
            <x v="0"/>
          </reference>
          <reference field="87" count="1" selected="0">
            <x v="1651"/>
          </reference>
          <reference field="88" count="1" selected="0">
            <x v="510"/>
          </reference>
        </references>
      </pivotArea>
    </format>
    <format dxfId="763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270"/>
          </reference>
          <reference field="82" count="1" selected="0">
            <x v="725"/>
          </reference>
          <reference field="85" count="1" selected="0">
            <x v="0"/>
          </reference>
          <reference field="87" count="1" selected="0">
            <x v="1652"/>
          </reference>
          <reference field="88" count="1" selected="0">
            <x v="511"/>
          </reference>
        </references>
      </pivotArea>
    </format>
    <format dxfId="7632">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73" count="1">
            <x v="51"/>
          </reference>
          <reference field="81" count="1" selected="0">
            <x v="2352"/>
          </reference>
          <reference field="82" count="1" selected="0">
            <x v="807"/>
          </reference>
          <reference field="85" count="1" selected="0">
            <x v="7"/>
          </reference>
          <reference field="87" count="1" selected="0">
            <x v="1734"/>
          </reference>
          <reference field="88" count="1" selected="0">
            <x v="593"/>
          </reference>
        </references>
      </pivotArea>
    </format>
    <format dxfId="7631">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166"/>
          </reference>
          <reference field="82" count="1" selected="0">
            <x v="618"/>
          </reference>
          <reference field="85" count="1" selected="0">
            <x v="7"/>
          </reference>
          <reference field="87" count="1" selected="0">
            <x v="1547"/>
          </reference>
          <reference field="88" count="1" selected="0">
            <x v="403"/>
          </reference>
        </references>
      </pivotArea>
    </format>
    <format dxfId="7630">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234"/>
          </reference>
          <reference field="82" count="1" selected="0">
            <x v="689"/>
          </reference>
          <reference field="85" count="1" selected="0">
            <x v="0"/>
          </reference>
          <reference field="87" count="1" selected="0">
            <x v="1616"/>
          </reference>
          <reference field="88" count="1" selected="0">
            <x v="475"/>
          </reference>
        </references>
      </pivotArea>
    </format>
    <format dxfId="7629">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233"/>
          </reference>
          <reference field="82" count="1" selected="0">
            <x v="688"/>
          </reference>
          <reference field="85" count="1" selected="0">
            <x v="0"/>
          </reference>
          <reference field="87" count="1" selected="0">
            <x v="1615"/>
          </reference>
          <reference field="88" count="1" selected="0">
            <x v="474"/>
          </reference>
        </references>
      </pivotArea>
    </format>
    <format dxfId="762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235"/>
          </reference>
          <reference field="82" count="1" selected="0">
            <x v="690"/>
          </reference>
          <reference field="85" count="1" selected="0">
            <x v="0"/>
          </reference>
          <reference field="87" count="1" selected="0">
            <x v="1617"/>
          </reference>
          <reference field="88" count="1" selected="0">
            <x v="476"/>
          </reference>
        </references>
      </pivotArea>
    </format>
    <format dxfId="7627">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174"/>
          </reference>
          <reference field="82" count="1" selected="0">
            <x v="627"/>
          </reference>
          <reference field="85" count="1" selected="0">
            <x v="7"/>
          </reference>
          <reference field="87" count="1" selected="0">
            <x v="1555"/>
          </reference>
          <reference field="88" count="1" selected="0">
            <x v="412"/>
          </reference>
        </references>
      </pivotArea>
    </format>
    <format dxfId="7626">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165"/>
          </reference>
          <reference field="82" count="1" selected="0">
            <x v="617"/>
          </reference>
          <reference field="85" count="1" selected="0">
            <x v="7"/>
          </reference>
          <reference field="87" count="1" selected="0">
            <x v="1546"/>
          </reference>
          <reference field="88" count="1" selected="0">
            <x v="402"/>
          </reference>
        </references>
      </pivotArea>
    </format>
    <format dxfId="7625">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215"/>
          </reference>
          <reference field="82" count="1" selected="0">
            <x v="669"/>
          </reference>
          <reference field="85" count="1" selected="0">
            <x v="4"/>
          </reference>
          <reference field="87" count="1" selected="0">
            <x v="1597"/>
          </reference>
          <reference field="88" count="1" selected="0">
            <x v="455"/>
          </reference>
        </references>
      </pivotArea>
    </format>
    <format dxfId="7624">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216"/>
          </reference>
          <reference field="82" count="1" selected="0">
            <x v="670"/>
          </reference>
          <reference field="85" count="1" selected="0">
            <x v="4"/>
          </reference>
          <reference field="87" count="1" selected="0">
            <x v="1598"/>
          </reference>
          <reference field="88" count="1" selected="0">
            <x v="456"/>
          </reference>
        </references>
      </pivotArea>
    </format>
    <format dxfId="762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213"/>
          </reference>
          <reference field="82" count="1" selected="0">
            <x v="667"/>
          </reference>
          <reference field="85" count="1" selected="0">
            <x v="4"/>
          </reference>
          <reference field="87" count="1" selected="0">
            <x v="1595"/>
          </reference>
          <reference field="88" count="1" selected="0">
            <x v="453"/>
          </reference>
        </references>
      </pivotArea>
    </format>
    <format dxfId="762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214"/>
          </reference>
          <reference field="82" count="1" selected="0">
            <x v="668"/>
          </reference>
          <reference field="85" count="1" selected="0">
            <x v="4"/>
          </reference>
          <reference field="87" count="1" selected="0">
            <x v="1596"/>
          </reference>
          <reference field="88" count="1" selected="0">
            <x v="454"/>
          </reference>
        </references>
      </pivotArea>
    </format>
    <format dxfId="7621">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230"/>
          </reference>
          <reference field="82" count="1" selected="0">
            <x v="685"/>
          </reference>
          <reference field="85" count="1" selected="0">
            <x v="0"/>
          </reference>
          <reference field="87" count="1" selected="0">
            <x v="1612"/>
          </reference>
          <reference field="88" count="1" selected="0">
            <x v="471"/>
          </reference>
        </references>
      </pivotArea>
    </format>
    <format dxfId="7620">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231"/>
          </reference>
          <reference field="82" count="1" selected="0">
            <x v="686"/>
          </reference>
          <reference field="85" count="1" selected="0">
            <x v="0"/>
          </reference>
          <reference field="87" count="1" selected="0">
            <x v="1613"/>
          </reference>
          <reference field="88" count="1" selected="0">
            <x v="472"/>
          </reference>
        </references>
      </pivotArea>
    </format>
    <format dxfId="7619">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232"/>
          </reference>
          <reference field="82" count="1" selected="0">
            <x v="687"/>
          </reference>
          <reference field="85" count="1" selected="0">
            <x v="0"/>
          </reference>
          <reference field="87" count="1" selected="0">
            <x v="1614"/>
          </reference>
          <reference field="88" count="1" selected="0">
            <x v="473"/>
          </reference>
        </references>
      </pivotArea>
    </format>
    <format dxfId="7618">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344"/>
          </reference>
          <reference field="82" count="1" selected="0">
            <x v="799"/>
          </reference>
          <reference field="85" count="1" selected="0">
            <x v="7"/>
          </reference>
          <reference field="87" count="1" selected="0">
            <x v="1726"/>
          </reference>
          <reference field="88" count="1" selected="0">
            <x v="585"/>
          </reference>
        </references>
      </pivotArea>
    </format>
    <format dxfId="7617">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236"/>
          </reference>
          <reference field="82" count="1" selected="0">
            <x v="691"/>
          </reference>
          <reference field="85" count="1" selected="0">
            <x v="0"/>
          </reference>
          <reference field="87" count="1" selected="0">
            <x v="1618"/>
          </reference>
          <reference field="88" count="1" selected="0">
            <x v="477"/>
          </reference>
        </references>
      </pivotArea>
    </format>
    <format dxfId="7616">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237"/>
          </reference>
          <reference field="82" count="1" selected="0">
            <x v="692"/>
          </reference>
          <reference field="85" count="1" selected="0">
            <x v="0"/>
          </reference>
          <reference field="87" count="1" selected="0">
            <x v="1619"/>
          </reference>
          <reference field="88" count="1" selected="0">
            <x v="478"/>
          </reference>
        </references>
      </pivotArea>
    </format>
    <format dxfId="761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238"/>
          </reference>
          <reference field="82" count="1" selected="0">
            <x v="693"/>
          </reference>
          <reference field="85" count="1" selected="0">
            <x v="0"/>
          </reference>
          <reference field="87" count="1" selected="0">
            <x v="1620"/>
          </reference>
          <reference field="88" count="1" selected="0">
            <x v="479"/>
          </reference>
        </references>
      </pivotArea>
    </format>
    <format dxfId="7614">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159"/>
          </reference>
          <reference field="82" count="1" selected="0">
            <x v="611"/>
          </reference>
          <reference field="85" count="1" selected="0">
            <x v="7"/>
          </reference>
          <reference field="87" count="1" selected="0">
            <x v="1540"/>
          </reference>
          <reference field="88" count="1" selected="0">
            <x v="396"/>
          </reference>
        </references>
      </pivotArea>
    </format>
    <format dxfId="7613">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60"/>
          </reference>
          <reference field="82" count="1" selected="0">
            <x v="612"/>
          </reference>
          <reference field="85" count="1" selected="0">
            <x v="7"/>
          </reference>
          <reference field="87" count="1" selected="0">
            <x v="1541"/>
          </reference>
          <reference field="88" count="1" selected="0">
            <x v="397"/>
          </reference>
        </references>
      </pivotArea>
    </format>
    <format dxfId="7612">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239"/>
          </reference>
          <reference field="82" count="1" selected="0">
            <x v="694"/>
          </reference>
          <reference field="85" count="1" selected="0">
            <x v="0"/>
          </reference>
          <reference field="87" count="1" selected="0">
            <x v="1621"/>
          </reference>
          <reference field="88" count="1" selected="0">
            <x v="480"/>
          </reference>
        </references>
      </pivotArea>
    </format>
    <format dxfId="7611">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240"/>
          </reference>
          <reference field="82" count="1" selected="0">
            <x v="695"/>
          </reference>
          <reference field="85" count="1" selected="0">
            <x v="0"/>
          </reference>
          <reference field="87" count="1" selected="0">
            <x v="1622"/>
          </reference>
          <reference field="88" count="1" selected="0">
            <x v="481"/>
          </reference>
        </references>
      </pivotArea>
    </format>
    <format dxfId="761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241"/>
          </reference>
          <reference field="82" count="1" selected="0">
            <x v="696"/>
          </reference>
          <reference field="85" count="1" selected="0">
            <x v="0"/>
          </reference>
          <reference field="87" count="1" selected="0">
            <x v="1623"/>
          </reference>
          <reference field="88" count="1" selected="0">
            <x v="482"/>
          </reference>
        </references>
      </pivotArea>
    </format>
    <format dxfId="7609">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298"/>
          </reference>
          <reference field="82" count="1" selected="0">
            <x v="753"/>
          </reference>
          <reference field="85" count="1" selected="0">
            <x v="2"/>
          </reference>
          <reference field="87" count="1" selected="0">
            <x v="1680"/>
          </reference>
          <reference field="88" count="1" selected="0">
            <x v="539"/>
          </reference>
        </references>
      </pivotArea>
    </format>
    <format dxfId="7608">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297"/>
          </reference>
          <reference field="82" count="1" selected="0">
            <x v="752"/>
          </reference>
          <reference field="85" count="1" selected="0">
            <x v="2"/>
          </reference>
          <reference field="87" count="1" selected="0">
            <x v="1679"/>
          </reference>
          <reference field="88" count="1" selected="0">
            <x v="538"/>
          </reference>
        </references>
      </pivotArea>
    </format>
    <format dxfId="760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299"/>
          </reference>
          <reference field="82" count="1" selected="0">
            <x v="754"/>
          </reference>
          <reference field="85" count="1" selected="0">
            <x v="2"/>
          </reference>
          <reference field="87" count="1" selected="0">
            <x v="1681"/>
          </reference>
          <reference field="88" count="1" selected="0">
            <x v="540"/>
          </reference>
        </references>
      </pivotArea>
    </format>
    <format dxfId="7606">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242"/>
          </reference>
          <reference field="82" count="1" selected="0">
            <x v="697"/>
          </reference>
          <reference field="85" count="1" selected="0">
            <x v="0"/>
          </reference>
          <reference field="87" count="1" selected="0">
            <x v="1624"/>
          </reference>
          <reference field="88" count="1" selected="0">
            <x v="483"/>
          </reference>
        </references>
      </pivotArea>
    </format>
    <format dxfId="7605">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003"/>
          </reference>
          <reference field="82" count="1" selected="0">
            <x v="538"/>
          </reference>
          <reference field="85" count="1" selected="0">
            <x v="0"/>
          </reference>
          <reference field="87" count="1" selected="0">
            <x v="1472"/>
          </reference>
          <reference field="88" count="1" selected="0">
            <x v="322"/>
          </reference>
        </references>
      </pivotArea>
    </format>
    <format dxfId="7604">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243"/>
          </reference>
          <reference field="82" count="1" selected="0">
            <x v="698"/>
          </reference>
          <reference field="85" count="1" selected="0">
            <x v="0"/>
          </reference>
          <reference field="87" count="1" selected="0">
            <x v="1625"/>
          </reference>
          <reference field="88" count="1" selected="0">
            <x v="484"/>
          </reference>
        </references>
      </pivotArea>
    </format>
    <format dxfId="7603">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335"/>
          </reference>
          <reference field="82" count="1" selected="0">
            <x v="790"/>
          </reference>
          <reference field="85" count="1" selected="0">
            <x v="7"/>
          </reference>
          <reference field="87" count="1" selected="0">
            <x v="1717"/>
          </reference>
          <reference field="88" count="1" selected="0">
            <x v="576"/>
          </reference>
        </references>
      </pivotArea>
    </format>
    <format dxfId="7602">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38"/>
          </reference>
          <reference field="82" count="1" selected="0">
            <x v="893"/>
          </reference>
          <reference field="85" count="1" selected="0">
            <x v="4"/>
          </reference>
          <reference field="87" count="1" selected="0">
            <x v="1820"/>
          </reference>
          <reference field="88" count="1" selected="0">
            <x v="679"/>
          </reference>
        </references>
      </pivotArea>
    </format>
    <format dxfId="760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39"/>
          </reference>
          <reference field="82" count="1" selected="0">
            <x v="894"/>
          </reference>
          <reference field="85" count="1" selected="0">
            <x v="4"/>
          </reference>
          <reference field="87" count="1" selected="0">
            <x v="1821"/>
          </reference>
          <reference field="88" count="1" selected="0">
            <x v="680"/>
          </reference>
        </references>
      </pivotArea>
    </format>
    <format dxfId="760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40"/>
          </reference>
          <reference field="82" count="1" selected="0">
            <x v="895"/>
          </reference>
          <reference field="85" count="1" selected="0">
            <x v="4"/>
          </reference>
          <reference field="87" count="1" selected="0">
            <x v="1822"/>
          </reference>
          <reference field="88" count="1" selected="0">
            <x v="681"/>
          </reference>
        </references>
      </pivotArea>
    </format>
    <format dxfId="759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41"/>
          </reference>
          <reference field="82" count="1" selected="0">
            <x v="896"/>
          </reference>
          <reference field="85" count="1" selected="0">
            <x v="4"/>
          </reference>
          <reference field="87" count="1" selected="0">
            <x v="1823"/>
          </reference>
          <reference field="88" count="1" selected="0">
            <x v="682"/>
          </reference>
        </references>
      </pivotArea>
    </format>
    <format dxfId="7598">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62"/>
          </reference>
          <reference field="82" count="1" selected="0">
            <x v="817"/>
          </reference>
          <reference field="85" count="1" selected="0">
            <x v="4"/>
          </reference>
          <reference field="87" count="1" selected="0">
            <x v="1744"/>
          </reference>
          <reference field="88" count="1" selected="0">
            <x v="603"/>
          </reference>
        </references>
      </pivotArea>
    </format>
    <format dxfId="759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63"/>
          </reference>
          <reference field="82" count="1" selected="0">
            <x v="818"/>
          </reference>
          <reference field="85" count="1" selected="0">
            <x v="4"/>
          </reference>
          <reference field="87" count="1" selected="0">
            <x v="1745"/>
          </reference>
          <reference field="88" count="1" selected="0">
            <x v="604"/>
          </reference>
        </references>
      </pivotArea>
    </format>
    <format dxfId="759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64"/>
          </reference>
          <reference field="82" count="1" selected="0">
            <x v="819"/>
          </reference>
          <reference field="85" count="1" selected="0">
            <x v="4"/>
          </reference>
          <reference field="87" count="1" selected="0">
            <x v="1746"/>
          </reference>
          <reference field="88" count="1" selected="0">
            <x v="605"/>
          </reference>
        </references>
      </pivotArea>
    </format>
    <format dxfId="759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65"/>
          </reference>
          <reference field="82" count="1" selected="0">
            <x v="820"/>
          </reference>
          <reference field="85" count="1" selected="0">
            <x v="4"/>
          </reference>
          <reference field="87" count="1" selected="0">
            <x v="1747"/>
          </reference>
          <reference field="88" count="1" selected="0">
            <x v="606"/>
          </reference>
        </references>
      </pivotArea>
    </format>
    <format dxfId="7594">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139"/>
          </reference>
          <reference field="82" count="1" selected="0">
            <x v="591"/>
          </reference>
          <reference field="85" count="1" selected="0">
            <x v="3"/>
          </reference>
          <reference field="87" count="1" selected="0">
            <x v="1520"/>
          </reference>
          <reference field="88" count="1" selected="0">
            <x v="376"/>
          </reference>
        </references>
      </pivotArea>
    </format>
    <format dxfId="7593">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138"/>
          </reference>
          <reference field="82" count="1" selected="0">
            <x v="590"/>
          </reference>
          <reference field="85" count="1" selected="0">
            <x v="3"/>
          </reference>
          <reference field="87" count="1" selected="0">
            <x v="1519"/>
          </reference>
          <reference field="88" count="1" selected="0">
            <x v="375"/>
          </reference>
        </references>
      </pivotArea>
    </format>
    <format dxfId="759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58"/>
          </reference>
          <reference field="82" count="1" selected="0">
            <x v="813"/>
          </reference>
          <reference field="85" count="1" selected="0">
            <x v="4"/>
          </reference>
          <reference field="87" count="1" selected="0">
            <x v="1740"/>
          </reference>
          <reference field="88" count="1" selected="0">
            <x v="599"/>
          </reference>
        </references>
      </pivotArea>
    </format>
    <format dxfId="759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59"/>
          </reference>
          <reference field="82" count="1" selected="0">
            <x v="814"/>
          </reference>
          <reference field="85" count="1" selected="0">
            <x v="4"/>
          </reference>
          <reference field="87" count="1" selected="0">
            <x v="1741"/>
          </reference>
          <reference field="88" count="1" selected="0">
            <x v="600"/>
          </reference>
        </references>
      </pivotArea>
    </format>
    <format dxfId="759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60"/>
          </reference>
          <reference field="82" count="1" selected="0">
            <x v="815"/>
          </reference>
          <reference field="85" count="1" selected="0">
            <x v="4"/>
          </reference>
          <reference field="87" count="1" selected="0">
            <x v="1742"/>
          </reference>
          <reference field="88" count="1" selected="0">
            <x v="601"/>
          </reference>
        </references>
      </pivotArea>
    </format>
    <format dxfId="758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61"/>
          </reference>
          <reference field="82" count="1" selected="0">
            <x v="816"/>
          </reference>
          <reference field="85" count="1" selected="0">
            <x v="4"/>
          </reference>
          <reference field="87" count="1" selected="0">
            <x v="1743"/>
          </reference>
          <reference field="88" count="1" selected="0">
            <x v="602"/>
          </reference>
        </references>
      </pivotArea>
    </format>
    <format dxfId="758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54"/>
          </reference>
          <reference field="82" count="1" selected="0">
            <x v="809"/>
          </reference>
          <reference field="85" count="1" selected="0">
            <x v="4"/>
          </reference>
          <reference field="87" count="1" selected="0">
            <x v="1736"/>
          </reference>
          <reference field="88" count="1" selected="0">
            <x v="595"/>
          </reference>
        </references>
      </pivotArea>
    </format>
    <format dxfId="758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55"/>
          </reference>
          <reference field="82" count="1" selected="0">
            <x v="810"/>
          </reference>
          <reference field="85" count="1" selected="0">
            <x v="4"/>
          </reference>
          <reference field="87" count="1" selected="0">
            <x v="1737"/>
          </reference>
          <reference field="88" count="1" selected="0">
            <x v="596"/>
          </reference>
        </references>
      </pivotArea>
    </format>
    <format dxfId="758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56"/>
          </reference>
          <reference field="82" count="1" selected="0">
            <x v="811"/>
          </reference>
          <reference field="85" count="1" selected="0">
            <x v="4"/>
          </reference>
          <reference field="87" count="1" selected="0">
            <x v="1738"/>
          </reference>
          <reference field="88" count="1" selected="0">
            <x v="597"/>
          </reference>
        </references>
      </pivotArea>
    </format>
    <format dxfId="758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57"/>
          </reference>
          <reference field="82" count="1" selected="0">
            <x v="812"/>
          </reference>
          <reference field="85" count="1" selected="0">
            <x v="4"/>
          </reference>
          <reference field="87" count="1" selected="0">
            <x v="1739"/>
          </reference>
          <reference field="88" count="1" selected="0">
            <x v="598"/>
          </reference>
        </references>
      </pivotArea>
    </format>
    <format dxfId="7584">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275"/>
          </reference>
          <reference field="82" count="1" selected="0">
            <x v="730"/>
          </reference>
          <reference field="85" count="1" selected="0">
            <x v="0"/>
          </reference>
          <reference field="87" count="1" selected="0">
            <x v="1657"/>
          </reference>
          <reference field="88" count="1" selected="0">
            <x v="516"/>
          </reference>
        </references>
      </pivotArea>
    </format>
    <format dxfId="758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276"/>
          </reference>
          <reference field="82" count="1" selected="0">
            <x v="731"/>
          </reference>
          <reference field="85" count="1" selected="0">
            <x v="0"/>
          </reference>
          <reference field="87" count="1" selected="0">
            <x v="1658"/>
          </reference>
          <reference field="88" count="1" selected="0">
            <x v="517"/>
          </reference>
        </references>
      </pivotArea>
    </format>
    <format dxfId="758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274"/>
          </reference>
          <reference field="82" count="1" selected="0">
            <x v="729"/>
          </reference>
          <reference field="85" count="1" selected="0">
            <x v="0"/>
          </reference>
          <reference field="87" count="1" selected="0">
            <x v="1656"/>
          </reference>
          <reference field="88" count="1" selected="0">
            <x v="515"/>
          </reference>
        </references>
      </pivotArea>
    </format>
    <format dxfId="758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52"/>
          </reference>
          <reference field="82" count="1" selected="0">
            <x v="604"/>
          </reference>
          <reference field="85" count="1" selected="0">
            <x v="7"/>
          </reference>
          <reference field="87" count="1" selected="0">
            <x v="1533"/>
          </reference>
          <reference field="88" count="1" selected="0">
            <x v="389"/>
          </reference>
        </references>
      </pivotArea>
    </format>
    <format dxfId="758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153"/>
          </reference>
          <reference field="82" count="1" selected="0">
            <x v="605"/>
          </reference>
          <reference field="85" count="1" selected="0">
            <x v="7"/>
          </reference>
          <reference field="87" count="1" selected="0">
            <x v="1534"/>
          </reference>
          <reference field="88" count="1" selected="0">
            <x v="390"/>
          </reference>
        </references>
      </pivotArea>
    </format>
    <format dxfId="7579">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54"/>
          </reference>
          <reference field="82" count="1" selected="0">
            <x v="606"/>
          </reference>
          <reference field="85" count="1" selected="0">
            <x v="7"/>
          </reference>
          <reference field="87" count="1" selected="0">
            <x v="1535"/>
          </reference>
          <reference field="88" count="1" selected="0">
            <x v="391"/>
          </reference>
        </references>
      </pivotArea>
    </format>
    <format dxfId="757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205"/>
          </reference>
          <reference field="82" count="1" selected="0">
            <x v="659"/>
          </reference>
          <reference field="85" count="1" selected="0">
            <x v="4"/>
          </reference>
          <reference field="87" count="1" selected="0">
            <x v="1587"/>
          </reference>
          <reference field="88" count="1" selected="0">
            <x v="445"/>
          </reference>
        </references>
      </pivotArea>
    </format>
    <format dxfId="757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206"/>
          </reference>
          <reference field="82" count="1" selected="0">
            <x v="660"/>
          </reference>
          <reference field="85" count="1" selected="0">
            <x v="4"/>
          </reference>
          <reference field="87" count="1" selected="0">
            <x v="1588"/>
          </reference>
          <reference field="88" count="1" selected="0">
            <x v="446"/>
          </reference>
        </references>
      </pivotArea>
    </format>
    <format dxfId="757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207"/>
          </reference>
          <reference field="82" count="1" selected="0">
            <x v="661"/>
          </reference>
          <reference field="85" count="1" selected="0">
            <x v="4"/>
          </reference>
          <reference field="87" count="1" selected="0">
            <x v="1589"/>
          </reference>
          <reference field="88" count="1" selected="0">
            <x v="447"/>
          </reference>
        </references>
      </pivotArea>
    </format>
    <format dxfId="757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208"/>
          </reference>
          <reference field="82" count="1" selected="0">
            <x v="662"/>
          </reference>
          <reference field="85" count="1" selected="0">
            <x v="4"/>
          </reference>
          <reference field="87" count="1" selected="0">
            <x v="1590"/>
          </reference>
          <reference field="88" count="1" selected="0">
            <x v="448"/>
          </reference>
        </references>
      </pivotArea>
    </format>
    <format dxfId="7574">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286"/>
          </reference>
          <reference field="82" count="1" selected="0">
            <x v="741"/>
          </reference>
          <reference field="85" count="1" selected="0">
            <x v="0"/>
          </reference>
          <reference field="87" count="1" selected="0">
            <x v="1668"/>
          </reference>
          <reference field="88" count="1" selected="0">
            <x v="527"/>
          </reference>
        </references>
      </pivotArea>
    </format>
    <format dxfId="757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287"/>
          </reference>
          <reference field="82" count="1" selected="0">
            <x v="742"/>
          </reference>
          <reference field="85" count="1" selected="0">
            <x v="0"/>
          </reference>
          <reference field="87" count="1" selected="0">
            <x v="1669"/>
          </reference>
          <reference field="88" count="1" selected="0">
            <x v="528"/>
          </reference>
        </references>
      </pivotArea>
    </format>
    <format dxfId="757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288"/>
          </reference>
          <reference field="82" count="1" selected="0">
            <x v="743"/>
          </reference>
          <reference field="85" count="1" selected="0">
            <x v="0"/>
          </reference>
          <reference field="87" count="1" selected="0">
            <x v="1670"/>
          </reference>
          <reference field="88" count="1" selected="0">
            <x v="529"/>
          </reference>
        </references>
      </pivotArea>
    </format>
    <format dxfId="7571">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350"/>
          </reference>
          <reference field="82" count="1" selected="0">
            <x v="805"/>
          </reference>
          <reference field="85" count="1" selected="0">
            <x v="7"/>
          </reference>
          <reference field="87" count="1" selected="0">
            <x v="1732"/>
          </reference>
          <reference field="88" count="1" selected="0">
            <x v="591"/>
          </reference>
        </references>
      </pivotArea>
    </format>
    <format dxfId="757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351"/>
          </reference>
          <reference field="82" count="1" selected="0">
            <x v="806"/>
          </reference>
          <reference field="85" count="1" selected="0">
            <x v="7"/>
          </reference>
          <reference field="87" count="1" selected="0">
            <x v="1733"/>
          </reference>
          <reference field="88" count="1" selected="0">
            <x v="592"/>
          </reference>
        </references>
      </pivotArea>
    </format>
    <format dxfId="7569">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148"/>
          </reference>
          <reference field="82" count="1" selected="0">
            <x v="600"/>
          </reference>
          <reference field="85" count="1" selected="0">
            <x v="3"/>
          </reference>
          <reference field="87" count="1" selected="0">
            <x v="1529"/>
          </reference>
          <reference field="88" count="1" selected="0">
            <x v="385"/>
          </reference>
        </references>
      </pivotArea>
    </format>
    <format dxfId="7568">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61"/>
          </reference>
          <reference field="82" count="1" selected="0">
            <x v="613"/>
          </reference>
          <reference field="85" count="1" selected="0">
            <x v="7"/>
          </reference>
          <reference field="87" count="1" selected="0">
            <x v="1542"/>
          </reference>
          <reference field="88" count="1" selected="0">
            <x v="398"/>
          </reference>
        </references>
      </pivotArea>
    </format>
    <format dxfId="756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162"/>
          </reference>
          <reference field="82" count="1" selected="0">
            <x v="614"/>
          </reference>
          <reference field="85" count="1" selected="0">
            <x v="7"/>
          </reference>
          <reference field="87" count="1" selected="0">
            <x v="1543"/>
          </reference>
          <reference field="88" count="1" selected="0">
            <x v="399"/>
          </reference>
        </references>
      </pivotArea>
    </format>
    <format dxfId="7566">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55"/>
          </reference>
          <reference field="82" count="1" selected="0">
            <x v="607"/>
          </reference>
          <reference field="85" count="1" selected="0">
            <x v="7"/>
          </reference>
          <reference field="87" count="1" selected="0">
            <x v="1536"/>
          </reference>
          <reference field="88" count="1" selected="0">
            <x v="392"/>
          </reference>
        </references>
      </pivotArea>
    </format>
    <format dxfId="756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156"/>
          </reference>
          <reference field="82" count="1" selected="0">
            <x v="608"/>
          </reference>
          <reference field="85" count="1" selected="0">
            <x v="7"/>
          </reference>
          <reference field="87" count="1" selected="0">
            <x v="1537"/>
          </reference>
          <reference field="88" count="1" selected="0">
            <x v="393"/>
          </reference>
        </references>
      </pivotArea>
    </format>
    <format dxfId="756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54"/>
          </reference>
          <reference field="82" count="1" selected="0">
            <x v="606"/>
          </reference>
          <reference field="85" count="1" selected="0">
            <x v="7"/>
          </reference>
          <reference field="87" count="1" selected="0">
            <x v="1535"/>
          </reference>
          <reference field="88" count="1" selected="0">
            <x v="391"/>
          </reference>
        </references>
      </pivotArea>
    </format>
    <format dxfId="7563">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202"/>
          </reference>
          <reference field="82" count="1" selected="0">
            <x v="655"/>
          </reference>
          <reference field="85" count="1" selected="0">
            <x v="4"/>
          </reference>
          <reference field="87" count="1" selected="0">
            <x v="1584"/>
          </reference>
          <reference field="88" count="1" selected="0">
            <x v="441"/>
          </reference>
        </references>
      </pivotArea>
    </format>
    <format dxfId="756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200"/>
          </reference>
          <reference field="82" count="1" selected="0">
            <x v="656"/>
          </reference>
          <reference field="85" count="1" selected="0">
            <x v="4"/>
          </reference>
          <reference field="87" count="1" selected="0">
            <x v="1582"/>
          </reference>
          <reference field="88" count="1" selected="0">
            <x v="442"/>
          </reference>
        </references>
      </pivotArea>
    </format>
    <format dxfId="756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203"/>
          </reference>
          <reference field="82" count="1" selected="0">
            <x v="657"/>
          </reference>
          <reference field="85" count="1" selected="0">
            <x v="4"/>
          </reference>
          <reference field="87" count="1" selected="0">
            <x v="1585"/>
          </reference>
          <reference field="88" count="1" selected="0">
            <x v="443"/>
          </reference>
        </references>
      </pivotArea>
    </format>
    <format dxfId="756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204"/>
          </reference>
          <reference field="82" count="1" selected="0">
            <x v="658"/>
          </reference>
          <reference field="85" count="1" selected="0">
            <x v="4"/>
          </reference>
          <reference field="87" count="1" selected="0">
            <x v="1586"/>
          </reference>
          <reference field="88" count="1" selected="0">
            <x v="444"/>
          </reference>
        </references>
      </pivotArea>
    </format>
    <format dxfId="7559">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283"/>
          </reference>
          <reference field="82" count="1" selected="0">
            <x v="738"/>
          </reference>
          <reference field="85" count="1" selected="0">
            <x v="0"/>
          </reference>
          <reference field="87" count="1" selected="0">
            <x v="1665"/>
          </reference>
          <reference field="88" count="1" selected="0">
            <x v="524"/>
          </reference>
        </references>
      </pivotArea>
    </format>
    <format dxfId="755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284"/>
          </reference>
          <reference field="82" count="1" selected="0">
            <x v="739"/>
          </reference>
          <reference field="85" count="1" selected="0">
            <x v="0"/>
          </reference>
          <reference field="87" count="1" selected="0">
            <x v="1666"/>
          </reference>
          <reference field="88" count="1" selected="0">
            <x v="525"/>
          </reference>
        </references>
      </pivotArea>
    </format>
    <format dxfId="755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285"/>
          </reference>
          <reference field="82" count="1" selected="0">
            <x v="740"/>
          </reference>
          <reference field="85" count="1" selected="0">
            <x v="0"/>
          </reference>
          <reference field="87" count="1" selected="0">
            <x v="1667"/>
          </reference>
          <reference field="88" count="1" selected="0">
            <x v="526"/>
          </reference>
        </references>
      </pivotArea>
    </format>
    <format dxfId="7556">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349"/>
          </reference>
          <reference field="82" count="1" selected="0">
            <x v="804"/>
          </reference>
          <reference field="85" count="1" selected="0">
            <x v="7"/>
          </reference>
          <reference field="87" count="1" selected="0">
            <x v="1731"/>
          </reference>
          <reference field="88" count="1" selected="0">
            <x v="590"/>
          </reference>
        </references>
      </pivotArea>
    </format>
    <format dxfId="7555">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149"/>
          </reference>
          <reference field="82" count="1" selected="0">
            <x v="601"/>
          </reference>
          <reference field="85" count="1" selected="0">
            <x v="3"/>
          </reference>
          <reference field="87" count="1" selected="0">
            <x v="1530"/>
          </reference>
          <reference field="88" count="1" selected="0">
            <x v="386"/>
          </reference>
        </references>
      </pivotArea>
    </format>
    <format dxfId="7554">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63"/>
          </reference>
          <reference field="82" count="1" selected="0">
            <x v="615"/>
          </reference>
          <reference field="85" count="1" selected="0">
            <x v="7"/>
          </reference>
          <reference field="87" count="1" selected="0">
            <x v="1544"/>
          </reference>
          <reference field="88" count="1" selected="0">
            <x v="400"/>
          </reference>
        </references>
      </pivotArea>
    </format>
    <format dxfId="755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164"/>
          </reference>
          <reference field="82" count="1" selected="0">
            <x v="616"/>
          </reference>
          <reference field="85" count="1" selected="0">
            <x v="7"/>
          </reference>
          <reference field="87" count="1" selected="0">
            <x v="1545"/>
          </reference>
          <reference field="88" count="1" selected="0">
            <x v="401"/>
          </reference>
        </references>
      </pivotArea>
    </format>
    <format dxfId="7552">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143"/>
          </reference>
          <reference field="82" count="1" selected="0">
            <x v="595"/>
          </reference>
          <reference field="85" count="1" selected="0">
            <x v="3"/>
          </reference>
          <reference field="87" count="1" selected="0">
            <x v="1524"/>
          </reference>
          <reference field="88" count="1" selected="0">
            <x v="380"/>
          </reference>
        </references>
      </pivotArea>
    </format>
    <format dxfId="755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142"/>
          </reference>
          <reference field="82" count="1" selected="0">
            <x v="594"/>
          </reference>
          <reference field="85" count="1" selected="0">
            <x v="3"/>
          </reference>
          <reference field="87" count="1" selected="0">
            <x v="1523"/>
          </reference>
          <reference field="88" count="1" selected="0">
            <x v="379"/>
          </reference>
        </references>
      </pivotArea>
    </format>
    <format dxfId="755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140"/>
          </reference>
          <reference field="82" count="1" selected="0">
            <x v="592"/>
          </reference>
          <reference field="85" count="1" selected="0">
            <x v="3"/>
          </reference>
          <reference field="87" count="1" selected="0">
            <x v="1521"/>
          </reference>
          <reference field="88" count="1" selected="0">
            <x v="377"/>
          </reference>
        </references>
      </pivotArea>
    </format>
    <format dxfId="754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141"/>
          </reference>
          <reference field="82" count="1" selected="0">
            <x v="593"/>
          </reference>
          <reference field="85" count="1" selected="0">
            <x v="3"/>
          </reference>
          <reference field="87" count="1" selected="0">
            <x v="1522"/>
          </reference>
          <reference field="88" count="1" selected="0">
            <x v="378"/>
          </reference>
        </references>
      </pivotArea>
    </format>
    <format dxfId="7548">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217"/>
          </reference>
          <reference field="82" count="1" selected="0">
            <x v="671"/>
          </reference>
          <reference field="85" count="1" selected="0">
            <x v="4"/>
          </reference>
          <reference field="87" count="1" selected="0">
            <x v="1599"/>
          </reference>
          <reference field="88" count="1" selected="0">
            <x v="457"/>
          </reference>
        </references>
      </pivotArea>
    </format>
    <format dxfId="7547">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277"/>
          </reference>
          <reference field="82" count="1" selected="0">
            <x v="732"/>
          </reference>
          <reference field="85" count="1" selected="0">
            <x v="0"/>
          </reference>
          <reference field="87" count="1" selected="0">
            <x v="1659"/>
          </reference>
          <reference field="88" count="1" selected="0">
            <x v="518"/>
          </reference>
        </references>
      </pivotArea>
    </format>
    <format dxfId="754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278"/>
          </reference>
          <reference field="82" count="1" selected="0">
            <x v="733"/>
          </reference>
          <reference field="85" count="1" selected="0">
            <x v="0"/>
          </reference>
          <reference field="87" count="1" selected="0">
            <x v="1660"/>
          </reference>
          <reference field="88" count="1" selected="0">
            <x v="519"/>
          </reference>
        </references>
      </pivotArea>
    </format>
    <format dxfId="754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279"/>
          </reference>
          <reference field="82" count="1" selected="0">
            <x v="734"/>
          </reference>
          <reference field="85" count="1" selected="0">
            <x v="0"/>
          </reference>
          <reference field="87" count="1" selected="0">
            <x v="1661"/>
          </reference>
          <reference field="88" count="1" selected="0">
            <x v="520"/>
          </reference>
        </references>
      </pivotArea>
    </format>
    <format dxfId="7544">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290"/>
          </reference>
          <reference field="82" count="1" selected="0">
            <x v="745"/>
          </reference>
          <reference field="85" count="1" selected="0">
            <x v="2"/>
          </reference>
          <reference field="87" count="1" selected="0">
            <x v="1672"/>
          </reference>
          <reference field="88" count="1" selected="0">
            <x v="531"/>
          </reference>
        </references>
      </pivotArea>
    </format>
    <format dxfId="754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291"/>
          </reference>
          <reference field="82" count="1" selected="0">
            <x v="746"/>
          </reference>
          <reference field="85" count="1" selected="0">
            <x v="2"/>
          </reference>
          <reference field="87" count="1" selected="0">
            <x v="1673"/>
          </reference>
          <reference field="88" count="1" selected="0">
            <x v="532"/>
          </reference>
        </references>
      </pivotArea>
    </format>
    <format dxfId="754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289"/>
          </reference>
          <reference field="82" count="1" selected="0">
            <x v="744"/>
          </reference>
          <reference field="85" count="1" selected="0">
            <x v="2"/>
          </reference>
          <reference field="87" count="1" selected="0">
            <x v="1671"/>
          </reference>
          <reference field="88" count="1" selected="0">
            <x v="530"/>
          </reference>
        </references>
      </pivotArea>
    </format>
    <format dxfId="7541">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218"/>
          </reference>
          <reference field="82" count="1" selected="0">
            <x v="672"/>
          </reference>
          <reference field="85" count="1" selected="0">
            <x v="4"/>
          </reference>
          <reference field="87" count="1" selected="0">
            <x v="1600"/>
          </reference>
          <reference field="88" count="1" selected="0">
            <x v="458"/>
          </reference>
        </references>
      </pivotArea>
    </format>
    <format dxfId="7540">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280"/>
          </reference>
          <reference field="82" count="1" selected="0">
            <x v="735"/>
          </reference>
          <reference field="85" count="1" selected="0">
            <x v="0"/>
          </reference>
          <reference field="87" count="1" selected="0">
            <x v="1662"/>
          </reference>
          <reference field="88" count="1" selected="0">
            <x v="521"/>
          </reference>
        </references>
      </pivotArea>
    </format>
    <format dxfId="753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281"/>
          </reference>
          <reference field="82" count="1" selected="0">
            <x v="736"/>
          </reference>
          <reference field="85" count="1" selected="0">
            <x v="0"/>
          </reference>
          <reference field="87" count="1" selected="0">
            <x v="1663"/>
          </reference>
          <reference field="88" count="1" selected="0">
            <x v="522"/>
          </reference>
        </references>
      </pivotArea>
    </format>
    <format dxfId="753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282"/>
          </reference>
          <reference field="82" count="1" selected="0">
            <x v="737"/>
          </reference>
          <reference field="85" count="1" selected="0">
            <x v="0"/>
          </reference>
          <reference field="87" count="1" selected="0">
            <x v="1664"/>
          </reference>
          <reference field="88" count="1" selected="0">
            <x v="523"/>
          </reference>
        </references>
      </pivotArea>
    </format>
    <format dxfId="7537">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293"/>
          </reference>
          <reference field="82" count="1" selected="0">
            <x v="748"/>
          </reference>
          <reference field="85" count="1" selected="0">
            <x v="2"/>
          </reference>
          <reference field="87" count="1" selected="0">
            <x v="1675"/>
          </reference>
          <reference field="88" count="1" selected="0">
            <x v="534"/>
          </reference>
        </references>
      </pivotArea>
    </format>
    <format dxfId="753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294"/>
          </reference>
          <reference field="82" count="1" selected="0">
            <x v="749"/>
          </reference>
          <reference field="85" count="1" selected="0">
            <x v="2"/>
          </reference>
          <reference field="87" count="1" selected="0">
            <x v="1676"/>
          </reference>
          <reference field="88" count="1" selected="0">
            <x v="535"/>
          </reference>
        </references>
      </pivotArea>
    </format>
    <format dxfId="753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295"/>
          </reference>
          <reference field="82" count="1" selected="0">
            <x v="750"/>
          </reference>
          <reference field="85" count="1" selected="0">
            <x v="2"/>
          </reference>
          <reference field="87" count="1" selected="0">
            <x v="1677"/>
          </reference>
          <reference field="88" count="1" selected="0">
            <x v="536"/>
          </reference>
        </references>
      </pivotArea>
    </format>
    <format dxfId="753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292"/>
          </reference>
          <reference field="82" count="1" selected="0">
            <x v="747"/>
          </reference>
          <reference field="85" count="1" selected="0">
            <x v="2"/>
          </reference>
          <reference field="87" count="1" selected="0">
            <x v="1674"/>
          </reference>
          <reference field="88" count="1" selected="0">
            <x v="533"/>
          </reference>
        </references>
      </pivotArea>
    </format>
    <format dxfId="753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296"/>
          </reference>
          <reference field="82" count="1" selected="0">
            <x v="751"/>
          </reference>
          <reference field="85" count="1" selected="0">
            <x v="2"/>
          </reference>
          <reference field="87" count="1" selected="0">
            <x v="1678"/>
          </reference>
          <reference field="88" count="1" selected="0">
            <x v="537"/>
          </reference>
        </references>
      </pivotArea>
    </format>
    <format dxfId="7532">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347"/>
          </reference>
          <reference field="82" count="1" selected="0">
            <x v="802"/>
          </reference>
          <reference field="85" count="1" selected="0">
            <x v="7"/>
          </reference>
          <reference field="87" count="1" selected="0">
            <x v="1729"/>
          </reference>
          <reference field="88" count="1" selected="0">
            <x v="588"/>
          </reference>
        </references>
      </pivotArea>
    </format>
    <format dxfId="7531">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348"/>
          </reference>
          <reference field="82" count="1" selected="0">
            <x v="803"/>
          </reference>
          <reference field="85" count="1" selected="0">
            <x v="7"/>
          </reference>
          <reference field="87" count="1" selected="0">
            <x v="1730"/>
          </reference>
          <reference field="88" count="1" selected="0">
            <x v="589"/>
          </reference>
        </references>
      </pivotArea>
    </format>
    <format dxfId="7530">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417"/>
          </reference>
          <reference field="82" count="1" selected="0">
            <x v="872"/>
          </reference>
          <reference field="85" count="1" selected="0">
            <x v="4"/>
          </reference>
          <reference field="87" count="1" selected="0">
            <x v="1799"/>
          </reference>
          <reference field="88" count="1" selected="0">
            <x v="658"/>
          </reference>
        </references>
      </pivotArea>
    </format>
    <format dxfId="7529">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418"/>
          </reference>
          <reference field="82" count="1" selected="0">
            <x v="873"/>
          </reference>
          <reference field="85" count="1" selected="0">
            <x v="4"/>
          </reference>
          <reference field="87" count="1" selected="0">
            <x v="1800"/>
          </reference>
          <reference field="88" count="1" selected="0">
            <x v="659"/>
          </reference>
        </references>
      </pivotArea>
    </format>
    <format dxfId="7528">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419"/>
          </reference>
          <reference field="82" count="1" selected="0">
            <x v="874"/>
          </reference>
          <reference field="85" count="1" selected="0">
            <x v="4"/>
          </reference>
          <reference field="87" count="1" selected="0">
            <x v="1801"/>
          </reference>
          <reference field="88" count="1" selected="0">
            <x v="660"/>
          </reference>
        </references>
      </pivotArea>
    </format>
    <format dxfId="752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416"/>
          </reference>
          <reference field="82" count="1" selected="0">
            <x v="871"/>
          </reference>
          <reference field="85" count="1" selected="0">
            <x v="4"/>
          </reference>
          <reference field="87" count="1" selected="0">
            <x v="1798"/>
          </reference>
          <reference field="88" count="1" selected="0">
            <x v="657"/>
          </reference>
        </references>
      </pivotArea>
    </format>
    <format dxfId="7526">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425"/>
          </reference>
          <reference field="82" count="1" selected="0">
            <x v="880"/>
          </reference>
          <reference field="85" count="1" selected="0">
            <x v="4"/>
          </reference>
          <reference field="87" count="1" selected="0">
            <x v="1807"/>
          </reference>
          <reference field="88" count="1" selected="0">
            <x v="666"/>
          </reference>
        </references>
      </pivotArea>
    </format>
    <format dxfId="752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426"/>
          </reference>
          <reference field="82" count="1" selected="0">
            <x v="881"/>
          </reference>
          <reference field="85" count="1" selected="0">
            <x v="4"/>
          </reference>
          <reference field="87" count="1" selected="0">
            <x v="1808"/>
          </reference>
          <reference field="88" count="1" selected="0">
            <x v="667"/>
          </reference>
        </references>
      </pivotArea>
    </format>
    <format dxfId="752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427"/>
          </reference>
          <reference field="82" count="1" selected="0">
            <x v="882"/>
          </reference>
          <reference field="85" count="1" selected="0">
            <x v="4"/>
          </reference>
          <reference field="87" count="1" selected="0">
            <x v="1809"/>
          </reference>
          <reference field="88" count="1" selected="0">
            <x v="668"/>
          </reference>
        </references>
      </pivotArea>
    </format>
    <format dxfId="752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424"/>
          </reference>
          <reference field="82" count="1" selected="0">
            <x v="879"/>
          </reference>
          <reference field="85" count="1" selected="0">
            <x v="4"/>
          </reference>
          <reference field="87" count="1" selected="0">
            <x v="1806"/>
          </reference>
          <reference field="88" count="1" selected="0">
            <x v="665"/>
          </reference>
        </references>
      </pivotArea>
    </format>
    <format dxfId="7522">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422"/>
          </reference>
          <reference field="82" count="1" selected="0">
            <x v="877"/>
          </reference>
          <reference field="85" count="1" selected="0">
            <x v="4"/>
          </reference>
          <reference field="87" count="1" selected="0">
            <x v="1804"/>
          </reference>
          <reference field="88" count="1" selected="0">
            <x v="663"/>
          </reference>
        </references>
      </pivotArea>
    </format>
    <format dxfId="752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423"/>
          </reference>
          <reference field="82" count="1" selected="0">
            <x v="878"/>
          </reference>
          <reference field="85" count="1" selected="0">
            <x v="4"/>
          </reference>
          <reference field="87" count="1" selected="0">
            <x v="1805"/>
          </reference>
          <reference field="88" count="1" selected="0">
            <x v="664"/>
          </reference>
        </references>
      </pivotArea>
    </format>
    <format dxfId="7520">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421"/>
          </reference>
          <reference field="82" count="1" selected="0">
            <x v="876"/>
          </reference>
          <reference field="85" count="1" selected="0">
            <x v="4"/>
          </reference>
          <reference field="87" count="1" selected="0">
            <x v="1803"/>
          </reference>
          <reference field="88" count="1" selected="0">
            <x v="662"/>
          </reference>
        </references>
      </pivotArea>
    </format>
    <format dxfId="751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420"/>
          </reference>
          <reference field="82" count="1" selected="0">
            <x v="875"/>
          </reference>
          <reference field="85" count="1" selected="0">
            <x v="4"/>
          </reference>
          <reference field="87" count="1" selected="0">
            <x v="1802"/>
          </reference>
          <reference field="88" count="1" selected="0">
            <x v="661"/>
          </reference>
        </references>
      </pivotArea>
    </format>
    <format dxfId="7518">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169"/>
          </reference>
          <reference field="82" count="1" selected="0">
            <x v="622"/>
          </reference>
          <reference field="85" count="1" selected="0">
            <x v="7"/>
          </reference>
          <reference field="87" count="1" selected="0">
            <x v="1550"/>
          </reference>
          <reference field="88" count="1" selected="0">
            <x v="407"/>
          </reference>
        </references>
      </pivotArea>
    </format>
    <format dxfId="7517">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170"/>
          </reference>
          <reference field="82" count="1" selected="0">
            <x v="623"/>
          </reference>
          <reference field="85" count="1" selected="0">
            <x v="7"/>
          </reference>
          <reference field="87" count="1" selected="0">
            <x v="1551"/>
          </reference>
          <reference field="88" count="1" selected="0">
            <x v="408"/>
          </reference>
        </references>
      </pivotArea>
    </format>
    <format dxfId="7516">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318"/>
          </reference>
          <reference field="82" count="1" selected="0">
            <x v="773"/>
          </reference>
          <reference field="85" count="1" selected="0">
            <x v="2"/>
          </reference>
          <reference field="87" count="1" selected="0">
            <x v="1700"/>
          </reference>
          <reference field="88" count="1" selected="0">
            <x v="559"/>
          </reference>
        </references>
      </pivotArea>
    </format>
    <format dxfId="7515">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434"/>
          </reference>
          <reference field="82" count="1" selected="0">
            <x v="889"/>
          </reference>
          <reference field="85" count="1" selected="0">
            <x v="4"/>
          </reference>
          <reference field="87" count="1" selected="0">
            <x v="1816"/>
          </reference>
          <reference field="88" count="1" selected="0">
            <x v="675"/>
          </reference>
        </references>
      </pivotArea>
    </format>
    <format dxfId="7514">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435"/>
          </reference>
          <reference field="82" count="1" selected="0">
            <x v="890"/>
          </reference>
          <reference field="85" count="1" selected="0">
            <x v="4"/>
          </reference>
          <reference field="87" count="1" selected="0">
            <x v="1817"/>
          </reference>
          <reference field="88" count="1" selected="0">
            <x v="676"/>
          </reference>
        </references>
      </pivotArea>
    </format>
    <format dxfId="7513">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437"/>
          </reference>
          <reference field="82" count="1" selected="0">
            <x v="892"/>
          </reference>
          <reference field="85" count="1" selected="0">
            <x v="4"/>
          </reference>
          <reference field="87" count="1" selected="0">
            <x v="1819"/>
          </reference>
          <reference field="88" count="1" selected="0">
            <x v="678"/>
          </reference>
        </references>
      </pivotArea>
    </format>
    <format dxfId="751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188"/>
          </reference>
          <reference field="82" count="1" selected="0">
            <x v="641"/>
          </reference>
          <reference field="85" count="1" selected="0">
            <x v="4"/>
          </reference>
          <reference field="87" count="1" selected="0">
            <x v="1569"/>
          </reference>
          <reference field="88" count="1" selected="0">
            <x v="426"/>
          </reference>
        </references>
      </pivotArea>
    </format>
    <format dxfId="751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91"/>
          </reference>
          <reference field="82" count="1" selected="0">
            <x v="644"/>
          </reference>
          <reference field="85" count="1" selected="0">
            <x v="4"/>
          </reference>
          <reference field="87" count="1" selected="0">
            <x v="1572"/>
          </reference>
          <reference field="88" count="1" selected="0">
            <x v="429"/>
          </reference>
        </references>
      </pivotArea>
    </format>
    <format dxfId="751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89"/>
          </reference>
          <reference field="82" count="1" selected="0">
            <x v="642"/>
          </reference>
          <reference field="85" count="1" selected="0">
            <x v="4"/>
          </reference>
          <reference field="87" count="1" selected="0">
            <x v="1570"/>
          </reference>
          <reference field="88" count="1" selected="0">
            <x v="427"/>
          </reference>
        </references>
      </pivotArea>
    </format>
    <format dxfId="750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90"/>
          </reference>
          <reference field="82" count="1" selected="0">
            <x v="643"/>
          </reference>
          <reference field="85" count="1" selected="0">
            <x v="4"/>
          </reference>
          <reference field="87" count="1" selected="0">
            <x v="1571"/>
          </reference>
          <reference field="88" count="1" selected="0">
            <x v="428"/>
          </reference>
        </references>
      </pivotArea>
    </format>
    <format dxfId="750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84"/>
          </reference>
          <reference field="82" count="1" selected="0">
            <x v="839"/>
          </reference>
          <reference field="85" count="1" selected="0">
            <x v="4"/>
          </reference>
          <reference field="87" count="1" selected="0">
            <x v="1766"/>
          </reference>
          <reference field="88" count="1" selected="0">
            <x v="625"/>
          </reference>
        </references>
      </pivotArea>
    </format>
    <format dxfId="750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80"/>
          </reference>
          <reference field="82" count="1" selected="0">
            <x v="835"/>
          </reference>
          <reference field="85" count="1" selected="0">
            <x v="4"/>
          </reference>
          <reference field="87" count="1" selected="0">
            <x v="1762"/>
          </reference>
          <reference field="88" count="1" selected="0">
            <x v="621"/>
          </reference>
        </references>
      </pivotArea>
    </format>
    <format dxfId="750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81"/>
          </reference>
          <reference field="82" count="1" selected="0">
            <x v="836"/>
          </reference>
          <reference field="85" count="1" selected="0">
            <x v="4"/>
          </reference>
          <reference field="87" count="1" selected="0">
            <x v="1763"/>
          </reference>
          <reference field="88" count="1" selected="0">
            <x v="622"/>
          </reference>
        </references>
      </pivotArea>
    </format>
    <format dxfId="750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82"/>
          </reference>
          <reference field="82" count="1" selected="0">
            <x v="837"/>
          </reference>
          <reference field="85" count="1" selected="0">
            <x v="4"/>
          </reference>
          <reference field="87" count="1" selected="0">
            <x v="1764"/>
          </reference>
          <reference field="88" count="1" selected="0">
            <x v="623"/>
          </reference>
        </references>
      </pivotArea>
    </format>
    <format dxfId="750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83"/>
          </reference>
          <reference field="82" count="1" selected="0">
            <x v="838"/>
          </reference>
          <reference field="85" count="1" selected="0">
            <x v="4"/>
          </reference>
          <reference field="87" count="1" selected="0">
            <x v="1765"/>
          </reference>
          <reference field="88" count="1" selected="0">
            <x v="624"/>
          </reference>
        </references>
      </pivotArea>
    </format>
    <format dxfId="750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184"/>
          </reference>
          <reference field="82" count="1" selected="0">
            <x v="637"/>
          </reference>
          <reference field="85" count="1" selected="0">
            <x v="4"/>
          </reference>
          <reference field="87" count="1" selected="0">
            <x v="1565"/>
          </reference>
          <reference field="88" count="1" selected="0">
            <x v="422"/>
          </reference>
        </references>
      </pivotArea>
    </format>
    <format dxfId="750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87"/>
          </reference>
          <reference field="82" count="1" selected="0">
            <x v="640"/>
          </reference>
          <reference field="85" count="1" selected="0">
            <x v="4"/>
          </reference>
          <reference field="87" count="1" selected="0">
            <x v="1568"/>
          </reference>
          <reference field="88" count="1" selected="0">
            <x v="425"/>
          </reference>
        </references>
      </pivotArea>
    </format>
    <format dxfId="750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85"/>
          </reference>
          <reference field="82" count="1" selected="0">
            <x v="638"/>
          </reference>
          <reference field="85" count="1" selected="0">
            <x v="4"/>
          </reference>
          <reference field="87" count="1" selected="0">
            <x v="1566"/>
          </reference>
          <reference field="88" count="1" selected="0">
            <x v="423"/>
          </reference>
        </references>
      </pivotArea>
    </format>
    <format dxfId="750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86"/>
          </reference>
          <reference field="82" count="1" selected="0">
            <x v="639"/>
          </reference>
          <reference field="85" count="1" selected="0">
            <x v="4"/>
          </reference>
          <reference field="87" count="1" selected="0">
            <x v="1567"/>
          </reference>
          <reference field="88" count="1" selected="0">
            <x v="424"/>
          </reference>
        </references>
      </pivotArea>
    </format>
    <format dxfId="749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79"/>
          </reference>
          <reference field="82" count="1" selected="0">
            <x v="834"/>
          </reference>
          <reference field="85" count="1" selected="0">
            <x v="4"/>
          </reference>
          <reference field="87" count="1" selected="0">
            <x v="1761"/>
          </reference>
          <reference field="88" count="1" selected="0">
            <x v="620"/>
          </reference>
        </references>
      </pivotArea>
    </format>
    <format dxfId="749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75"/>
          </reference>
          <reference field="82" count="1" selected="0">
            <x v="830"/>
          </reference>
          <reference field="85" count="1" selected="0">
            <x v="4"/>
          </reference>
          <reference field="87" count="1" selected="0">
            <x v="1757"/>
          </reference>
          <reference field="88" count="1" selected="0">
            <x v="616"/>
          </reference>
        </references>
      </pivotArea>
    </format>
    <format dxfId="749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76"/>
          </reference>
          <reference field="82" count="1" selected="0">
            <x v="831"/>
          </reference>
          <reference field="85" count="1" selected="0">
            <x v="4"/>
          </reference>
          <reference field="87" count="1" selected="0">
            <x v="1758"/>
          </reference>
          <reference field="88" count="1" selected="0">
            <x v="617"/>
          </reference>
        </references>
      </pivotArea>
    </format>
    <format dxfId="749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77"/>
          </reference>
          <reference field="82" count="1" selected="0">
            <x v="832"/>
          </reference>
          <reference field="85" count="1" selected="0">
            <x v="4"/>
          </reference>
          <reference field="87" count="1" selected="0">
            <x v="1759"/>
          </reference>
          <reference field="88" count="1" selected="0">
            <x v="618"/>
          </reference>
        </references>
      </pivotArea>
    </format>
    <format dxfId="749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78"/>
          </reference>
          <reference field="82" count="1" selected="0">
            <x v="833"/>
          </reference>
          <reference field="85" count="1" selected="0">
            <x v="4"/>
          </reference>
          <reference field="87" count="1" selected="0">
            <x v="1760"/>
          </reference>
          <reference field="88" count="1" selected="0">
            <x v="619"/>
          </reference>
        </references>
      </pivotArea>
    </format>
    <format dxfId="7494">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227"/>
          </reference>
          <reference field="82" count="1" selected="0">
            <x v="681"/>
          </reference>
          <reference field="85" count="1" selected="0">
            <x v="4"/>
          </reference>
          <reference field="87" count="1" selected="0">
            <x v="1609"/>
          </reference>
          <reference field="88" count="1" selected="0">
            <x v="467"/>
          </reference>
        </references>
      </pivotArea>
    </format>
    <format dxfId="749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222"/>
          </reference>
          <reference field="82" count="1" selected="0">
            <x v="684"/>
          </reference>
          <reference field="85" count="1" selected="0">
            <x v="4"/>
          </reference>
          <reference field="87" count="1" selected="0">
            <x v="1604"/>
          </reference>
          <reference field="88" count="1" selected="0">
            <x v="470"/>
          </reference>
        </references>
      </pivotArea>
    </format>
    <format dxfId="749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228"/>
          </reference>
          <reference field="82" count="1" selected="0">
            <x v="682"/>
          </reference>
          <reference field="85" count="1" selected="0">
            <x v="4"/>
          </reference>
          <reference field="87" count="1" selected="0">
            <x v="1610"/>
          </reference>
          <reference field="88" count="1" selected="0">
            <x v="468"/>
          </reference>
        </references>
      </pivotArea>
    </format>
    <format dxfId="749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229"/>
          </reference>
          <reference field="82" count="1" selected="0">
            <x v="683"/>
          </reference>
          <reference field="85" count="1" selected="0">
            <x v="4"/>
          </reference>
          <reference field="87" count="1" selected="0">
            <x v="1611"/>
          </reference>
          <reference field="88" count="1" selected="0">
            <x v="469"/>
          </reference>
        </references>
      </pivotArea>
    </format>
    <format dxfId="749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74"/>
          </reference>
          <reference field="82" count="1" selected="0">
            <x v="829"/>
          </reference>
          <reference field="85" count="1" selected="0">
            <x v="4"/>
          </reference>
          <reference field="87" count="1" selected="0">
            <x v="1756"/>
          </reference>
          <reference field="88" count="1" selected="0">
            <x v="615"/>
          </reference>
        </references>
      </pivotArea>
    </format>
    <format dxfId="748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70"/>
          </reference>
          <reference field="82" count="1" selected="0">
            <x v="825"/>
          </reference>
          <reference field="85" count="1" selected="0">
            <x v="4"/>
          </reference>
          <reference field="87" count="1" selected="0">
            <x v="1752"/>
          </reference>
          <reference field="88" count="1" selected="0">
            <x v="611"/>
          </reference>
        </references>
      </pivotArea>
    </format>
    <format dxfId="748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71"/>
          </reference>
          <reference field="82" count="1" selected="0">
            <x v="826"/>
          </reference>
          <reference field="85" count="1" selected="0">
            <x v="4"/>
          </reference>
          <reference field="87" count="1" selected="0">
            <x v="1753"/>
          </reference>
          <reference field="88" count="1" selected="0">
            <x v="612"/>
          </reference>
        </references>
      </pivotArea>
    </format>
    <format dxfId="748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72"/>
          </reference>
          <reference field="82" count="1" selected="0">
            <x v="827"/>
          </reference>
          <reference field="85" count="1" selected="0">
            <x v="4"/>
          </reference>
          <reference field="87" count="1" selected="0">
            <x v="1754"/>
          </reference>
          <reference field="88" count="1" selected="0">
            <x v="613"/>
          </reference>
        </references>
      </pivotArea>
    </format>
    <format dxfId="748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73"/>
          </reference>
          <reference field="82" count="1" selected="0">
            <x v="828"/>
          </reference>
          <reference field="85" count="1" selected="0">
            <x v="4"/>
          </reference>
          <reference field="87" count="1" selected="0">
            <x v="1755"/>
          </reference>
          <reference field="88" count="1" selected="0">
            <x v="614"/>
          </reference>
        </references>
      </pivotArea>
    </format>
    <format dxfId="748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430"/>
          </reference>
          <reference field="82" count="1" selected="0">
            <x v="885"/>
          </reference>
          <reference field="85" count="1" selected="0">
            <x v="4"/>
          </reference>
          <reference field="87" count="1" selected="0">
            <x v="1812"/>
          </reference>
          <reference field="88" count="1" selected="0">
            <x v="671"/>
          </reference>
        </references>
      </pivotArea>
    </format>
    <format dxfId="748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433"/>
          </reference>
          <reference field="82" count="1" selected="0">
            <x v="888"/>
          </reference>
          <reference field="85" count="1" selected="0">
            <x v="4"/>
          </reference>
          <reference field="87" count="1" selected="0">
            <x v="1815"/>
          </reference>
          <reference field="88" count="1" selected="0">
            <x v="674"/>
          </reference>
        </references>
      </pivotArea>
    </format>
    <format dxfId="7483">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431"/>
          </reference>
          <reference field="82" count="1" selected="0">
            <x v="886"/>
          </reference>
          <reference field="85" count="1" selected="0">
            <x v="4"/>
          </reference>
          <reference field="87" count="1" selected="0">
            <x v="1813"/>
          </reference>
          <reference field="88" count="1" selected="0">
            <x v="672"/>
          </reference>
        </references>
      </pivotArea>
    </format>
    <format dxfId="748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432"/>
          </reference>
          <reference field="82" count="1" selected="0">
            <x v="887"/>
          </reference>
          <reference field="85" count="1" selected="0">
            <x v="4"/>
          </reference>
          <reference field="87" count="1" selected="0">
            <x v="1814"/>
          </reference>
          <reference field="88" count="1" selected="0">
            <x v="673"/>
          </reference>
        </references>
      </pivotArea>
    </format>
    <format dxfId="748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93"/>
          </reference>
          <reference field="82" count="1" selected="0">
            <x v="848"/>
          </reference>
          <reference field="85" count="1" selected="0">
            <x v="4"/>
          </reference>
          <reference field="87" count="1" selected="0">
            <x v="1775"/>
          </reference>
          <reference field="88" count="1" selected="0">
            <x v="634"/>
          </reference>
        </references>
      </pivotArea>
    </format>
    <format dxfId="748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94"/>
          </reference>
          <reference field="82" count="1" selected="0">
            <x v="849"/>
          </reference>
          <reference field="85" count="1" selected="0">
            <x v="4"/>
          </reference>
          <reference field="87" count="1" selected="0">
            <x v="1776"/>
          </reference>
          <reference field="88" count="1" selected="0">
            <x v="635"/>
          </reference>
        </references>
      </pivotArea>
    </format>
    <format dxfId="7479">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95"/>
          </reference>
          <reference field="82" count="1" selected="0">
            <x v="850"/>
          </reference>
          <reference field="85" count="1" selected="0">
            <x v="4"/>
          </reference>
          <reference field="87" count="1" selected="0">
            <x v="1777"/>
          </reference>
          <reference field="88" count="1" selected="0">
            <x v="636"/>
          </reference>
        </references>
      </pivotArea>
    </format>
    <format dxfId="747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396"/>
          </reference>
          <reference field="82" count="1" selected="0">
            <x v="851"/>
          </reference>
          <reference field="85" count="1" selected="0">
            <x v="4"/>
          </reference>
          <reference field="87" count="1" selected="0">
            <x v="1778"/>
          </reference>
          <reference field="88" count="1" selected="0">
            <x v="637"/>
          </reference>
        </references>
      </pivotArea>
    </format>
    <format dxfId="747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97"/>
          </reference>
          <reference field="82" count="1" selected="0">
            <x v="852"/>
          </reference>
          <reference field="85" count="1" selected="0">
            <x v="4"/>
          </reference>
          <reference field="87" count="1" selected="0">
            <x v="1779"/>
          </reference>
          <reference field="88" count="1" selected="0">
            <x v="638"/>
          </reference>
        </references>
      </pivotArea>
    </format>
    <format dxfId="747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98"/>
          </reference>
          <reference field="82" count="1" selected="0">
            <x v="853"/>
          </reference>
          <reference field="85" count="1" selected="0">
            <x v="4"/>
          </reference>
          <reference field="87" count="1" selected="0">
            <x v="1780"/>
          </reference>
          <reference field="88" count="1" selected="0">
            <x v="639"/>
          </reference>
        </references>
      </pivotArea>
    </format>
    <format dxfId="7475">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99"/>
          </reference>
          <reference field="82" count="1" selected="0">
            <x v="854"/>
          </reference>
          <reference field="85" count="1" selected="0">
            <x v="4"/>
          </reference>
          <reference field="87" count="1" selected="0">
            <x v="1781"/>
          </reference>
          <reference field="88" count="1" selected="0">
            <x v="640"/>
          </reference>
        </references>
      </pivotArea>
    </format>
    <format dxfId="747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400"/>
          </reference>
          <reference field="82" count="1" selected="0">
            <x v="855"/>
          </reference>
          <reference field="85" count="1" selected="0">
            <x v="4"/>
          </reference>
          <reference field="87" count="1" selected="0">
            <x v="1782"/>
          </reference>
          <reference field="88" count="1" selected="0">
            <x v="641"/>
          </reference>
        </references>
      </pivotArea>
    </format>
    <format dxfId="747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366"/>
          </reference>
          <reference field="82" count="1" selected="0">
            <x v="821"/>
          </reference>
          <reference field="85" count="1" selected="0">
            <x v="4"/>
          </reference>
          <reference field="87" count="1" selected="0">
            <x v="1748"/>
          </reference>
          <reference field="88" count="1" selected="0">
            <x v="607"/>
          </reference>
        </references>
      </pivotArea>
    </format>
    <format dxfId="747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368"/>
          </reference>
          <reference field="82" count="1" selected="0">
            <x v="823"/>
          </reference>
          <reference field="85" count="1" selected="0">
            <x v="4"/>
          </reference>
          <reference field="87" count="1" selected="0">
            <x v="1750"/>
          </reference>
          <reference field="88" count="1" selected="0">
            <x v="609"/>
          </reference>
        </references>
      </pivotArea>
    </format>
    <format dxfId="747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369"/>
          </reference>
          <reference field="82" count="1" selected="0">
            <x v="824"/>
          </reference>
          <reference field="85" count="1" selected="0">
            <x v="4"/>
          </reference>
          <reference field="87" count="1" selected="0">
            <x v="1751"/>
          </reference>
          <reference field="88" count="1" selected="0">
            <x v="610"/>
          </reference>
        </references>
      </pivotArea>
    </format>
    <format dxfId="747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367"/>
          </reference>
          <reference field="82" count="1" selected="0">
            <x v="822"/>
          </reference>
          <reference field="85" count="1" selected="0">
            <x v="4"/>
          </reference>
          <reference field="87" count="1" selected="0">
            <x v="1749"/>
          </reference>
          <reference field="88" count="1" selected="0">
            <x v="608"/>
          </reference>
        </references>
      </pivotArea>
    </format>
    <format dxfId="7469">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316"/>
          </reference>
          <reference field="82" count="1" selected="0">
            <x v="771"/>
          </reference>
          <reference field="85" count="1" selected="0">
            <x v="2"/>
          </reference>
          <reference field="87" count="1" selected="0">
            <x v="1698"/>
          </reference>
          <reference field="88" count="1" selected="0">
            <x v="557"/>
          </reference>
        </references>
      </pivotArea>
    </format>
    <format dxfId="746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317"/>
          </reference>
          <reference field="82" count="1" selected="0">
            <x v="772"/>
          </reference>
          <reference field="85" count="1" selected="0">
            <x v="2"/>
          </reference>
          <reference field="87" count="1" selected="0">
            <x v="1699"/>
          </reference>
          <reference field="88" count="1" selected="0">
            <x v="558"/>
          </reference>
        </references>
      </pivotArea>
    </format>
    <format dxfId="746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315"/>
          </reference>
          <reference field="82" count="1" selected="0">
            <x v="770"/>
          </reference>
          <reference field="85" count="1" selected="0">
            <x v="2"/>
          </reference>
          <reference field="87" count="1" selected="0">
            <x v="1697"/>
          </reference>
          <reference field="88" count="1" selected="0">
            <x v="556"/>
          </reference>
        </references>
      </pivotArea>
    </format>
    <format dxfId="7466">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26"/>
          </reference>
          <reference field="82" count="1" selected="0">
            <x v="437"/>
          </reference>
          <reference field="85" count="1" selected="0">
            <x v="4"/>
          </reference>
          <reference field="87" count="1" selected="0">
            <x v="1573"/>
          </reference>
          <reference field="88" count="1" selected="0">
            <x v="430"/>
          </reference>
        </references>
      </pivotArea>
    </format>
    <format dxfId="746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94"/>
          </reference>
          <reference field="82" count="1" selected="0">
            <x v="647"/>
          </reference>
          <reference field="85" count="1" selected="0">
            <x v="4"/>
          </reference>
          <reference field="87" count="1" selected="0">
            <x v="1576"/>
          </reference>
          <reference field="88" count="1" selected="0">
            <x v="433"/>
          </reference>
        </references>
      </pivotArea>
    </format>
    <format dxfId="746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92"/>
          </reference>
          <reference field="82" count="1" selected="0">
            <x v="645"/>
          </reference>
          <reference field="85" count="1" selected="0">
            <x v="4"/>
          </reference>
          <reference field="87" count="1" selected="0">
            <x v="1574"/>
          </reference>
          <reference field="88" count="1" selected="0">
            <x v="431"/>
          </reference>
        </references>
      </pivotArea>
    </format>
    <format dxfId="746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93"/>
          </reference>
          <reference field="82" count="1" selected="0">
            <x v="646"/>
          </reference>
          <reference field="85" count="1" selected="0">
            <x v="4"/>
          </reference>
          <reference field="87" count="1" selected="0">
            <x v="1575"/>
          </reference>
          <reference field="88" count="1" selected="0">
            <x v="432"/>
          </reference>
        </references>
      </pivotArea>
    </format>
    <format dxfId="7462">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85"/>
          </reference>
          <reference field="82" count="1" selected="0">
            <x v="840"/>
          </reference>
          <reference field="85" count="1" selected="0">
            <x v="4"/>
          </reference>
          <reference field="87" count="1" selected="0">
            <x v="1767"/>
          </reference>
          <reference field="88" count="1" selected="0">
            <x v="626"/>
          </reference>
        </references>
      </pivotArea>
    </format>
    <format dxfId="746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86"/>
          </reference>
          <reference field="82" count="1" selected="0">
            <x v="841"/>
          </reference>
          <reference field="85" count="1" selected="0">
            <x v="4"/>
          </reference>
          <reference field="87" count="1" selected="0">
            <x v="1768"/>
          </reference>
          <reference field="88" count="1" selected="0">
            <x v="627"/>
          </reference>
        </references>
      </pivotArea>
    </format>
    <format dxfId="746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87"/>
          </reference>
          <reference field="82" count="1" selected="0">
            <x v="842"/>
          </reference>
          <reference field="85" count="1" selected="0">
            <x v="4"/>
          </reference>
          <reference field="87" count="1" selected="0">
            <x v="1769"/>
          </reference>
          <reference field="88" count="1" selected="0">
            <x v="628"/>
          </reference>
        </references>
      </pivotArea>
    </format>
    <format dxfId="745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88"/>
          </reference>
          <reference field="82" count="1" selected="0">
            <x v="843"/>
          </reference>
          <reference field="85" count="1" selected="0">
            <x v="4"/>
          </reference>
          <reference field="87" count="1" selected="0">
            <x v="1770"/>
          </reference>
          <reference field="88" count="1" selected="0">
            <x v="629"/>
          </reference>
        </references>
      </pivotArea>
    </format>
    <format dxfId="7458">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89"/>
          </reference>
          <reference field="82" count="1" selected="0">
            <x v="844"/>
          </reference>
          <reference field="85" count="1" selected="0">
            <x v="4"/>
          </reference>
          <reference field="87" count="1" selected="0">
            <x v="1771"/>
          </reference>
          <reference field="88" count="1" selected="0">
            <x v="630"/>
          </reference>
        </references>
      </pivotArea>
    </format>
    <format dxfId="74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90"/>
          </reference>
          <reference field="82" count="1" selected="0">
            <x v="845"/>
          </reference>
          <reference field="85" count="1" selected="0">
            <x v="4"/>
          </reference>
          <reference field="87" count="1" selected="0">
            <x v="1772"/>
          </reference>
          <reference field="88" count="1" selected="0">
            <x v="631"/>
          </reference>
        </references>
      </pivotArea>
    </format>
    <format dxfId="74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91"/>
          </reference>
          <reference field="82" count="1" selected="0">
            <x v="846"/>
          </reference>
          <reference field="85" count="1" selected="0">
            <x v="4"/>
          </reference>
          <reference field="87" count="1" selected="0">
            <x v="1773"/>
          </reference>
          <reference field="88" count="1" selected="0">
            <x v="632"/>
          </reference>
        </references>
      </pivotArea>
    </format>
    <format dxfId="745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92"/>
          </reference>
          <reference field="82" count="1" selected="0">
            <x v="847"/>
          </reference>
          <reference field="85" count="1" selected="0">
            <x v="4"/>
          </reference>
          <reference field="87" count="1" selected="0">
            <x v="1774"/>
          </reference>
          <reference field="88" count="1" selected="0">
            <x v="633"/>
          </reference>
        </references>
      </pivotArea>
    </format>
    <format dxfId="7454">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145"/>
          </reference>
          <reference field="82" count="1" selected="0">
            <x v="597"/>
          </reference>
          <reference field="85" count="1" selected="0">
            <x v="3"/>
          </reference>
          <reference field="87" count="1" selected="0">
            <x v="1526"/>
          </reference>
          <reference field="88" count="1" selected="0">
            <x v="382"/>
          </reference>
        </references>
      </pivotArea>
    </format>
    <format dxfId="7453">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442"/>
          </reference>
          <reference field="82" count="1" selected="0">
            <x v="897"/>
          </reference>
          <reference field="85" count="1" selected="0">
            <x v="4"/>
          </reference>
          <reference field="87" count="1" selected="0">
            <x v="1824"/>
          </reference>
          <reference field="88" count="1" selected="0">
            <x v="683"/>
          </reference>
        </references>
      </pivotArea>
    </format>
    <format dxfId="7452">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182"/>
          </reference>
          <reference field="82" count="1" selected="0">
            <x v="635"/>
          </reference>
          <reference field="85" count="1" selected="0">
            <x v="7"/>
          </reference>
          <reference field="87" count="1" selected="0">
            <x v="1563"/>
          </reference>
          <reference field="88" count="1" selected="0">
            <x v="420"/>
          </reference>
        </references>
      </pivotArea>
    </format>
    <format dxfId="7451">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146"/>
          </reference>
          <reference field="82" count="1" selected="0">
            <x v="598"/>
          </reference>
          <reference field="85" count="1" selected="0">
            <x v="3"/>
          </reference>
          <reference field="87" count="1" selected="0">
            <x v="1527"/>
          </reference>
          <reference field="88" count="1" selected="0">
            <x v="383"/>
          </reference>
        </references>
      </pivotArea>
    </format>
    <format dxfId="7450">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183"/>
          </reference>
          <reference field="82" count="1" selected="0">
            <x v="636"/>
          </reference>
          <reference field="85" count="1" selected="0">
            <x v="7"/>
          </reference>
          <reference field="87" count="1" selected="0">
            <x v="1564"/>
          </reference>
          <reference field="88" count="1" selected="0">
            <x v="421"/>
          </reference>
        </references>
      </pivotArea>
    </format>
    <format dxfId="7449">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444"/>
          </reference>
          <reference field="82" count="1" selected="0">
            <x v="899"/>
          </reference>
          <reference field="85" count="1" selected="0">
            <x v="7"/>
          </reference>
          <reference field="87" count="1" selected="0">
            <x v="1826"/>
          </reference>
          <reference field="88" count="1" selected="0">
            <x v="685"/>
          </reference>
        </references>
      </pivotArea>
    </format>
    <format dxfId="7448">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46"/>
          </reference>
          <reference field="82" count="1" selected="0">
            <x v="901"/>
          </reference>
          <reference field="85" count="1" selected="0">
            <x v="7"/>
          </reference>
          <reference field="87" count="1" selected="0">
            <x v="1828"/>
          </reference>
          <reference field="88" count="1" selected="0">
            <x v="687"/>
          </reference>
        </references>
      </pivotArea>
    </format>
    <format dxfId="7447">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445"/>
          </reference>
          <reference field="82" count="1" selected="0">
            <x v="900"/>
          </reference>
          <reference field="85" count="1" selected="0">
            <x v="7"/>
          </reference>
          <reference field="87" count="1" selected="0">
            <x v="1827"/>
          </reference>
          <reference field="88" count="1" selected="0">
            <x v="686"/>
          </reference>
        </references>
      </pivotArea>
    </format>
    <format dxfId="7446">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175"/>
          </reference>
          <reference field="82" count="1" selected="0">
            <x v="628"/>
          </reference>
          <reference field="85" count="1" selected="0">
            <x v="2"/>
          </reference>
          <reference field="87" count="1" selected="0">
            <x v="1556"/>
          </reference>
          <reference field="88" count="1" selected="0">
            <x v="413"/>
          </reference>
        </references>
      </pivotArea>
    </format>
    <format dxfId="7445">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47"/>
          </reference>
          <reference field="82" count="1" selected="0">
            <x v="902"/>
          </reference>
          <reference field="85" count="1" selected="0">
            <x v="7"/>
          </reference>
          <reference field="87" count="1" selected="0">
            <x v="1829"/>
          </reference>
          <reference field="88" count="1" selected="0">
            <x v="688"/>
          </reference>
        </references>
      </pivotArea>
    </format>
    <format dxfId="7444">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144"/>
          </reference>
          <reference field="82" count="1" selected="0">
            <x v="596"/>
          </reference>
          <reference field="85" count="1" selected="0">
            <x v="3"/>
          </reference>
          <reference field="87" count="1" selected="0">
            <x v="1525"/>
          </reference>
          <reference field="88" count="1" selected="0">
            <x v="381"/>
          </reference>
        </references>
      </pivotArea>
    </format>
    <format dxfId="7443">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436"/>
          </reference>
          <reference field="82" count="1" selected="0">
            <x v="891"/>
          </reference>
          <reference field="85" count="1" selected="0">
            <x v="4"/>
          </reference>
          <reference field="87" count="1" selected="0">
            <x v="1818"/>
          </reference>
          <reference field="88" count="1" selected="0">
            <x v="677"/>
          </reference>
        </references>
      </pivotArea>
    </format>
    <format dxfId="744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01"/>
          </reference>
          <reference field="82" count="1" selected="0">
            <x v="756"/>
          </reference>
          <reference field="85" count="1" selected="0">
            <x v="2"/>
          </reference>
          <reference field="87" count="1" selected="0">
            <x v="1683"/>
          </reference>
          <reference field="88" count="1" selected="0">
            <x v="542"/>
          </reference>
        </references>
      </pivotArea>
    </format>
    <format dxfId="744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04"/>
          </reference>
          <reference field="82" count="1" selected="0">
            <x v="759"/>
          </reference>
          <reference field="85" count="1" selected="0">
            <x v="2"/>
          </reference>
          <reference field="87" count="1" selected="0">
            <x v="1686"/>
          </reference>
          <reference field="88" count="1" selected="0">
            <x v="545"/>
          </reference>
        </references>
      </pivotArea>
    </format>
    <format dxfId="744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302"/>
          </reference>
          <reference field="82" count="1" selected="0">
            <x v="757"/>
          </reference>
          <reference field="85" count="1" selected="0">
            <x v="2"/>
          </reference>
          <reference field="87" count="1" selected="0">
            <x v="1684"/>
          </reference>
          <reference field="88" count="1" selected="0">
            <x v="543"/>
          </reference>
        </references>
      </pivotArea>
    </format>
    <format dxfId="743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305"/>
          </reference>
          <reference field="82" count="1" selected="0">
            <x v="760"/>
          </reference>
          <reference field="85" count="1" selected="0">
            <x v="2"/>
          </reference>
          <reference field="87" count="1" selected="0">
            <x v="1687"/>
          </reference>
          <reference field="88" count="1" selected="0">
            <x v="546"/>
          </reference>
        </references>
      </pivotArea>
    </format>
    <format dxfId="743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310"/>
          </reference>
          <reference field="82" count="1" selected="0">
            <x v="765"/>
          </reference>
          <reference field="85" count="1" selected="0">
            <x v="2"/>
          </reference>
          <reference field="87" count="1" selected="0">
            <x v="1692"/>
          </reference>
          <reference field="88" count="1" selected="0">
            <x v="551"/>
          </reference>
        </references>
      </pivotArea>
    </format>
    <format dxfId="743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308"/>
          </reference>
          <reference field="82" count="1" selected="0">
            <x v="763"/>
          </reference>
          <reference field="85" count="1" selected="0">
            <x v="2"/>
          </reference>
          <reference field="87" count="1" selected="0">
            <x v="1690"/>
          </reference>
          <reference field="88" count="1" selected="0">
            <x v="549"/>
          </reference>
        </references>
      </pivotArea>
    </format>
    <format dxfId="743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307"/>
          </reference>
          <reference field="82" count="1" selected="0">
            <x v="762"/>
          </reference>
          <reference field="85" count="1" selected="0">
            <x v="2"/>
          </reference>
          <reference field="87" count="1" selected="0">
            <x v="1689"/>
          </reference>
          <reference field="88" count="1" selected="0">
            <x v="548"/>
          </reference>
        </references>
      </pivotArea>
    </format>
    <format dxfId="743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306"/>
          </reference>
          <reference field="82" count="1" selected="0">
            <x v="761"/>
          </reference>
          <reference field="85" count="1" selected="0">
            <x v="2"/>
          </reference>
          <reference field="87" count="1" selected="0">
            <x v="1688"/>
          </reference>
          <reference field="88" count="1" selected="0">
            <x v="547"/>
          </reference>
        </references>
      </pivotArea>
    </format>
    <format dxfId="74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00"/>
          </reference>
          <reference field="82" count="1" selected="0">
            <x v="755"/>
          </reference>
          <reference field="85" count="1" selected="0">
            <x v="2"/>
          </reference>
          <reference field="87" count="1" selected="0">
            <x v="1682"/>
          </reference>
          <reference field="88" count="1" selected="0">
            <x v="541"/>
          </reference>
        </references>
      </pivotArea>
    </format>
    <format dxfId="743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03"/>
          </reference>
          <reference field="82" count="1" selected="0">
            <x v="758"/>
          </reference>
          <reference field="85" count="1" selected="0">
            <x v="2"/>
          </reference>
          <reference field="87" count="1" selected="0">
            <x v="1685"/>
          </reference>
          <reference field="88" count="1" selected="0">
            <x v="544"/>
          </reference>
        </references>
      </pivotArea>
    </format>
    <format dxfId="743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309"/>
          </reference>
          <reference field="82" count="1" selected="0">
            <x v="764"/>
          </reference>
          <reference field="85" count="1" selected="0">
            <x v="2"/>
          </reference>
          <reference field="87" count="1" selected="0">
            <x v="1691"/>
          </reference>
          <reference field="88" count="1" selected="0">
            <x v="550"/>
          </reference>
        </references>
      </pivotArea>
    </format>
    <format dxfId="7431">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443"/>
          </reference>
          <reference field="82" count="1" selected="0">
            <x v="898"/>
          </reference>
          <reference field="85" count="1" selected="0">
            <x v="4"/>
          </reference>
          <reference field="87" count="1" selected="0">
            <x v="1825"/>
          </reference>
          <reference field="88" count="1" selected="0">
            <x v="684"/>
          </reference>
        </references>
      </pivotArea>
    </format>
    <format dxfId="7430">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181"/>
          </reference>
          <reference field="82" count="1" selected="0">
            <x v="634"/>
          </reference>
          <reference field="85" count="1" selected="0">
            <x v="2"/>
          </reference>
          <reference field="87" count="1" selected="0">
            <x v="1562"/>
          </reference>
          <reference field="88" count="1" selected="0">
            <x v="419"/>
          </reference>
        </references>
      </pivotArea>
    </format>
    <format dxfId="7429">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79"/>
          </reference>
          <reference field="82" count="1" selected="0">
            <x v="632"/>
          </reference>
          <reference field="85" count="1" selected="0">
            <x v="7"/>
          </reference>
          <reference field="87" count="1" selected="0">
            <x v="1560"/>
          </reference>
          <reference field="88" count="1" selected="0">
            <x v="417"/>
          </reference>
        </references>
      </pivotArea>
    </format>
    <format dxfId="7428">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12"/>
          </reference>
          <reference field="82" count="1" selected="0">
            <x v="767"/>
          </reference>
          <reference field="85" count="1" selected="0">
            <x v="2"/>
          </reference>
          <reference field="87" count="1" selected="0">
            <x v="1694"/>
          </reference>
          <reference field="88" count="1" selected="0">
            <x v="553"/>
          </reference>
        </references>
      </pivotArea>
    </format>
    <format dxfId="7427">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314"/>
          </reference>
          <reference field="82" count="1" selected="0">
            <x v="769"/>
          </reference>
          <reference field="85" count="1" selected="0">
            <x v="2"/>
          </reference>
          <reference field="87" count="1" selected="0">
            <x v="1696"/>
          </reference>
          <reference field="88" count="1" selected="0">
            <x v="555"/>
          </reference>
        </references>
      </pivotArea>
    </format>
    <format dxfId="7426">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11"/>
          </reference>
          <reference field="82" count="1" selected="0">
            <x v="766"/>
          </reference>
          <reference field="85" count="1" selected="0">
            <x v="2"/>
          </reference>
          <reference field="87" count="1" selected="0">
            <x v="1693"/>
          </reference>
          <reference field="88" count="1" selected="0">
            <x v="552"/>
          </reference>
        </references>
      </pivotArea>
    </format>
    <format dxfId="7425">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313"/>
          </reference>
          <reference field="82" count="1" selected="0">
            <x v="768"/>
          </reference>
          <reference field="85" count="1" selected="0">
            <x v="2"/>
          </reference>
          <reference field="87" count="1" selected="0">
            <x v="1695"/>
          </reference>
          <reference field="88" count="1" selected="0">
            <x v="554"/>
          </reference>
        </references>
      </pivotArea>
    </format>
    <format dxfId="7424">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80"/>
          </reference>
          <reference field="82" count="1" selected="0">
            <x v="633"/>
          </reference>
          <reference field="85" count="1" selected="0">
            <x v="7"/>
          </reference>
          <reference field="87" count="1" selected="0">
            <x v="1561"/>
          </reference>
          <reference field="88" count="1" selected="0">
            <x v="418"/>
          </reference>
        </references>
      </pivotArea>
    </format>
    <format dxfId="7423">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428"/>
          </reference>
          <reference field="82" count="1" selected="0">
            <x v="883"/>
          </reference>
          <reference field="85" count="1" selected="0">
            <x v="4"/>
          </reference>
          <reference field="87" count="1" selected="0">
            <x v="1810"/>
          </reference>
          <reference field="88" count="1" selected="0">
            <x v="669"/>
          </reference>
        </references>
      </pivotArea>
    </format>
    <format dxfId="7422">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429"/>
          </reference>
          <reference field="82" count="1" selected="0">
            <x v="884"/>
          </reference>
          <reference field="85" count="1" selected="0">
            <x v="4"/>
          </reference>
          <reference field="87" count="1" selected="0">
            <x v="1811"/>
          </reference>
          <reference field="88" count="1" selected="0">
            <x v="670"/>
          </reference>
        </references>
      </pivotArea>
    </format>
    <format dxfId="7421">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337"/>
          </reference>
          <reference field="82" count="1" selected="0">
            <x v="792"/>
          </reference>
          <reference field="85" count="1" selected="0">
            <x v="7"/>
          </reference>
          <reference field="87" count="1" selected="0">
            <x v="1719"/>
          </reference>
          <reference field="88" count="1" selected="0">
            <x v="578"/>
          </reference>
        </references>
      </pivotArea>
    </format>
    <format dxfId="7420">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343"/>
          </reference>
          <reference field="82" count="1" selected="0">
            <x v="798"/>
          </reference>
          <reference field="85" count="1" selected="0">
            <x v="7"/>
          </reference>
          <reference field="87" count="1" selected="0">
            <x v="1725"/>
          </reference>
          <reference field="88" count="1" selected="0">
            <x v="584"/>
          </reference>
        </references>
      </pivotArea>
    </format>
    <format dxfId="7419">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172"/>
          </reference>
          <reference field="82" count="1" selected="0">
            <x v="625"/>
          </reference>
          <reference field="85" count="1" selected="0">
            <x v="7"/>
          </reference>
          <reference field="87" count="1" selected="0">
            <x v="1553"/>
          </reference>
          <reference field="88" count="1" selected="0">
            <x v="410"/>
          </reference>
        </references>
      </pivotArea>
    </format>
    <format dxfId="7418">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171"/>
          </reference>
          <reference field="82" count="1" selected="0">
            <x v="624"/>
          </reference>
          <reference field="85" count="1" selected="0">
            <x v="7"/>
          </reference>
          <reference field="87" count="1" selected="0">
            <x v="1552"/>
          </reference>
          <reference field="88" count="1" selected="0">
            <x v="409"/>
          </reference>
        </references>
      </pivotArea>
    </format>
    <format dxfId="7417">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200"/>
          </reference>
          <reference field="82" count="1" selected="0">
            <x v="653"/>
          </reference>
          <reference field="85" count="1" selected="0">
            <x v="4"/>
          </reference>
          <reference field="87" count="1" selected="0">
            <x v="1582"/>
          </reference>
          <reference field="88" count="1" selected="0">
            <x v="439"/>
          </reference>
        </references>
      </pivotArea>
    </format>
    <format dxfId="7416">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201"/>
          </reference>
          <reference field="82" count="1" selected="0">
            <x v="654"/>
          </reference>
          <reference field="85" count="1" selected="0">
            <x v="4"/>
          </reference>
          <reference field="87" count="1" selected="0">
            <x v="1583"/>
          </reference>
          <reference field="88" count="1" selected="0">
            <x v="440"/>
          </reference>
        </references>
      </pivotArea>
    </format>
    <format dxfId="7415">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198"/>
          </reference>
          <reference field="82" count="1" selected="0">
            <x v="651"/>
          </reference>
          <reference field="85" count="1" selected="0">
            <x v="4"/>
          </reference>
          <reference field="87" count="1" selected="0">
            <x v="1580"/>
          </reference>
          <reference field="88" count="1" selected="0">
            <x v="437"/>
          </reference>
        </references>
      </pivotArea>
    </format>
    <format dxfId="7414">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199"/>
          </reference>
          <reference field="82" count="1" selected="0">
            <x v="652"/>
          </reference>
          <reference field="85" count="1" selected="0">
            <x v="4"/>
          </reference>
          <reference field="87" count="1" selected="0">
            <x v="1581"/>
          </reference>
          <reference field="88" count="1" selected="0">
            <x v="438"/>
          </reference>
        </references>
      </pivotArea>
    </format>
    <format dxfId="7413">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195"/>
          </reference>
          <reference field="82" count="1" selected="0">
            <x v="648"/>
          </reference>
          <reference field="85" count="1" selected="0">
            <x v="4"/>
          </reference>
          <reference field="87" count="1" selected="0">
            <x v="1577"/>
          </reference>
          <reference field="88" count="1" selected="0">
            <x v="434"/>
          </reference>
        </references>
      </pivotArea>
    </format>
    <format dxfId="7412">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196"/>
          </reference>
          <reference field="82" count="1" selected="0">
            <x v="649"/>
          </reference>
          <reference field="85" count="1" selected="0">
            <x v="4"/>
          </reference>
          <reference field="87" count="1" selected="0">
            <x v="1578"/>
          </reference>
          <reference field="88" count="1" selected="0">
            <x v="435"/>
          </reference>
        </references>
      </pivotArea>
    </format>
    <format dxfId="7411">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197"/>
          </reference>
          <reference field="82" count="1" selected="0">
            <x v="650"/>
          </reference>
          <reference field="85" count="1" selected="0">
            <x v="4"/>
          </reference>
          <reference field="87" count="1" selected="0">
            <x v="1579"/>
          </reference>
          <reference field="88" count="1" selected="0">
            <x v="436"/>
          </reference>
        </references>
      </pivotArea>
    </format>
    <format dxfId="7410">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047"/>
          </reference>
          <reference field="82" count="1" selected="0">
            <x v="462"/>
          </reference>
          <reference field="85" count="1" selected="0">
            <x v="4"/>
          </reference>
          <reference field="87" count="1" selected="0">
            <x v="1410"/>
          </reference>
          <reference field="88" count="1" selected="0">
            <x v="245"/>
          </reference>
        </references>
      </pivotArea>
    </format>
    <format dxfId="740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413"/>
          </reference>
          <reference field="82" count="1" selected="0">
            <x v="868"/>
          </reference>
          <reference field="85" count="1" selected="0">
            <x v="4"/>
          </reference>
          <reference field="87" count="1" selected="0">
            <x v="1795"/>
          </reference>
          <reference field="88" count="1" selected="0">
            <x v="654"/>
          </reference>
        </references>
      </pivotArea>
    </format>
    <format dxfId="7408">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414"/>
          </reference>
          <reference field="82" count="1" selected="0">
            <x v="869"/>
          </reference>
          <reference field="85" count="1" selected="0">
            <x v="4"/>
          </reference>
          <reference field="87" count="1" selected="0">
            <x v="1796"/>
          </reference>
          <reference field="88" count="1" selected="0">
            <x v="655"/>
          </reference>
        </references>
      </pivotArea>
    </format>
    <format dxfId="740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415"/>
          </reference>
          <reference field="82" count="1" selected="0">
            <x v="870"/>
          </reference>
          <reference field="85" count="1" selected="0">
            <x v="4"/>
          </reference>
          <reference field="87" count="1" selected="0">
            <x v="1797"/>
          </reference>
          <reference field="88" count="1" selected="0">
            <x v="656"/>
          </reference>
        </references>
      </pivotArea>
    </format>
    <format dxfId="740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013"/>
          </reference>
          <reference field="82" count="1" selected="0">
            <x v="415"/>
          </reference>
          <reference field="85" count="1" selected="0">
            <x v="4"/>
          </reference>
          <reference field="87" count="1" selected="0">
            <x v="1372"/>
          </reference>
          <reference field="88" count="1" selected="0">
            <x v="197"/>
          </reference>
        </references>
      </pivotArea>
    </format>
    <format dxfId="7405">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38"/>
          </reference>
          <reference field="82" count="1" selected="0">
            <x v="793"/>
          </reference>
          <reference field="85" count="1" selected="0">
            <x v="7"/>
          </reference>
          <reference field="87" count="1" selected="0">
            <x v="1720"/>
          </reference>
          <reference field="88" count="1" selected="0">
            <x v="579"/>
          </reference>
        </references>
      </pivotArea>
    </format>
    <format dxfId="7404">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53"/>
          </reference>
          <reference field="82" count="1" selected="0">
            <x v="808"/>
          </reference>
          <reference field="85" count="1" selected="0">
            <x v="7"/>
          </reference>
          <reference field="87" count="1" selected="0">
            <x v="1735"/>
          </reference>
          <reference field="88" count="1" selected="0">
            <x v="594"/>
          </reference>
        </references>
      </pivotArea>
    </format>
    <format dxfId="7403">
      <pivotArea field="72" type="button" dataOnly="0" labelOnly="1" outline="0" axis="axisRow" fieldPosition="5"/>
    </format>
    <format dxfId="7402">
      <pivotArea field="81" type="button" dataOnly="0" labelOnly="1" outline="0" axis="axisRow" fieldPosition="8"/>
    </format>
    <format dxfId="740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3"/>
          </reference>
        </references>
      </pivotArea>
    </format>
    <format dxfId="740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324"/>
          </reference>
        </references>
      </pivotArea>
    </format>
    <format dxfId="739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9"/>
          </reference>
        </references>
      </pivotArea>
    </format>
    <format dxfId="739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10"/>
          </reference>
        </references>
      </pivotArea>
    </format>
    <format dxfId="739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11"/>
          </reference>
        </references>
      </pivotArea>
    </format>
    <format dxfId="739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12"/>
          </reference>
        </references>
      </pivotArea>
    </format>
    <format dxfId="739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9"/>
          </reference>
        </references>
      </pivotArea>
    </format>
    <format dxfId="739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328"/>
          </reference>
        </references>
      </pivotArea>
    </format>
    <format dxfId="739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56"/>
          </reference>
        </references>
      </pivotArea>
    </format>
    <format dxfId="739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57"/>
          </reference>
        </references>
      </pivotArea>
    </format>
    <format dxfId="739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54"/>
          </reference>
        </references>
      </pivotArea>
    </format>
    <format dxfId="739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55"/>
          </reference>
        </references>
      </pivotArea>
    </format>
    <format dxfId="738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9"/>
          </reference>
        </references>
      </pivotArea>
    </format>
    <format dxfId="738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328"/>
          </reference>
        </references>
      </pivotArea>
    </format>
    <format dxfId="738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51"/>
          </reference>
        </references>
      </pivotArea>
    </format>
    <format dxfId="738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52"/>
          </reference>
        </references>
      </pivotArea>
    </format>
    <format dxfId="738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54"/>
          </reference>
        </references>
      </pivotArea>
    </format>
    <format dxfId="738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50"/>
          </reference>
        </references>
      </pivotArea>
    </format>
    <format dxfId="738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7"/>
          </reference>
        </references>
      </pivotArea>
    </format>
    <format dxfId="738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328"/>
          </reference>
        </references>
      </pivotArea>
    </format>
    <format dxfId="738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167"/>
          </reference>
        </references>
      </pivotArea>
    </format>
    <format dxfId="738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68"/>
          </reference>
        </references>
      </pivotArea>
    </format>
    <format dxfId="737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244"/>
          </reference>
        </references>
      </pivotArea>
    </format>
    <format dxfId="73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247"/>
          </reference>
        </references>
      </pivotArea>
    </format>
    <format dxfId="737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245"/>
          </reference>
        </references>
      </pivotArea>
    </format>
    <format dxfId="737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246"/>
          </reference>
        </references>
      </pivotArea>
    </format>
    <format dxfId="737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19"/>
          </reference>
        </references>
      </pivotArea>
    </format>
    <format dxfId="737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320"/>
          </reference>
        </references>
      </pivotArea>
    </format>
    <format dxfId="737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1"/>
          </reference>
        </references>
      </pivotArea>
    </format>
    <format dxfId="737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2"/>
          </reference>
        </references>
      </pivotArea>
    </format>
    <format dxfId="737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03"/>
          </reference>
        </references>
      </pivotArea>
    </format>
    <format dxfId="737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04"/>
          </reference>
        </references>
      </pivotArea>
    </format>
    <format dxfId="736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77"/>
          </reference>
        </references>
      </pivotArea>
    </format>
    <format dxfId="7368">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167"/>
          </reference>
        </references>
      </pivotArea>
    </format>
    <format dxfId="736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220"/>
          </reference>
        </references>
      </pivotArea>
    </format>
    <format dxfId="73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222"/>
          </reference>
        </references>
      </pivotArea>
    </format>
    <format dxfId="736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223"/>
          </reference>
        </references>
      </pivotArea>
    </format>
    <format dxfId="73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219"/>
          </reference>
        </references>
      </pivotArea>
    </format>
    <format dxfId="73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224"/>
          </reference>
        </references>
      </pivotArea>
    </format>
    <format dxfId="73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225"/>
          </reference>
        </references>
      </pivotArea>
    </format>
    <format dxfId="736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226"/>
          </reference>
        </references>
      </pivotArea>
    </format>
    <format dxfId="73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221"/>
          </reference>
        </references>
      </pivotArea>
    </format>
    <format dxfId="735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51"/>
          </reference>
        </references>
      </pivotArea>
    </format>
    <format dxfId="735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52"/>
          </reference>
        </references>
      </pivotArea>
    </format>
    <format dxfId="735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53"/>
          </reference>
        </references>
      </pivotArea>
    </format>
    <format dxfId="735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50"/>
          </reference>
        </references>
      </pivotArea>
    </format>
    <format dxfId="735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76"/>
          </reference>
        </references>
      </pivotArea>
    </format>
    <format dxfId="735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1"/>
          </reference>
        </references>
      </pivotArea>
    </format>
    <format dxfId="735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322"/>
          </reference>
        </references>
      </pivotArea>
    </format>
    <format dxfId="735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001"/>
          </reference>
        </references>
      </pivotArea>
    </format>
    <format dxfId="735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248"/>
          </reference>
        </references>
      </pivotArea>
    </format>
    <format dxfId="735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249"/>
          </reference>
        </references>
      </pivotArea>
    </format>
    <format dxfId="734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5"/>
          </reference>
        </references>
      </pivotArea>
    </format>
    <format dxfId="734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326"/>
          </reference>
        </references>
      </pivotArea>
    </format>
    <format dxfId="734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5"/>
          </reference>
        </references>
      </pivotArea>
    </format>
    <format dxfId="734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6"/>
          </reference>
        </references>
      </pivotArea>
    </format>
    <format dxfId="734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07"/>
          </reference>
        </references>
      </pivotArea>
    </format>
    <format dxfId="734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08"/>
          </reference>
        </references>
      </pivotArea>
    </format>
    <format dxfId="734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329"/>
          </reference>
        </references>
      </pivotArea>
    </format>
    <format dxfId="734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330"/>
          </reference>
        </references>
      </pivotArea>
    </format>
    <format dxfId="734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58"/>
          </reference>
        </references>
      </pivotArea>
    </format>
    <format dxfId="734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265"/>
          </reference>
        </references>
      </pivotArea>
    </format>
    <format dxfId="733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266"/>
          </reference>
        </references>
      </pivotArea>
    </format>
    <format dxfId="733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267"/>
          </reference>
        </references>
      </pivotArea>
    </format>
    <format dxfId="733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173"/>
          </reference>
        </references>
      </pivotArea>
    </format>
    <format dxfId="733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157"/>
          </reference>
        </references>
      </pivotArea>
    </format>
    <format dxfId="733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158"/>
          </reference>
        </references>
      </pivotArea>
    </format>
    <format dxfId="733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259"/>
          </reference>
        </references>
      </pivotArea>
    </format>
    <format dxfId="733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260"/>
          </reference>
        </references>
      </pivotArea>
    </format>
    <format dxfId="733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261"/>
          </reference>
        </references>
      </pivotArea>
    </format>
    <format dxfId="733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31"/>
          </reference>
        </references>
      </pivotArea>
    </format>
    <format dxfId="733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332"/>
          </reference>
        </references>
      </pivotArea>
    </format>
    <format dxfId="732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178"/>
          </reference>
        </references>
      </pivotArea>
    </format>
    <format dxfId="732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262"/>
          </reference>
        </references>
      </pivotArea>
    </format>
    <format dxfId="732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263"/>
          </reference>
        </references>
      </pivotArea>
    </format>
    <format dxfId="732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264"/>
          </reference>
        </references>
      </pivotArea>
    </format>
    <format dxfId="7325">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38"/>
          </reference>
        </references>
      </pivotArea>
    </format>
    <format dxfId="732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271"/>
          </reference>
        </references>
      </pivotArea>
    </format>
    <format dxfId="732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272"/>
          </reference>
        </references>
      </pivotArea>
    </format>
    <format dxfId="732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273"/>
          </reference>
        </references>
      </pivotArea>
    </format>
    <format dxfId="732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150"/>
          </reference>
        </references>
      </pivotArea>
    </format>
    <format dxfId="732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51"/>
          </reference>
        </references>
      </pivotArea>
    </format>
    <format dxfId="731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211"/>
          </reference>
        </references>
      </pivotArea>
    </format>
    <format dxfId="731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212"/>
          </reference>
        </references>
      </pivotArea>
    </format>
    <format dxfId="731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209"/>
          </reference>
        </references>
      </pivotArea>
    </format>
    <format dxfId="731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210"/>
          </reference>
        </references>
      </pivotArea>
    </format>
    <format dxfId="731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268"/>
          </reference>
        </references>
      </pivotArea>
    </format>
    <format dxfId="731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269"/>
          </reference>
        </references>
      </pivotArea>
    </format>
    <format dxfId="731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270"/>
          </reference>
        </references>
      </pivotArea>
    </format>
    <format dxfId="731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2352"/>
          </reference>
        </references>
      </pivotArea>
    </format>
    <format dxfId="731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166"/>
          </reference>
        </references>
      </pivotArea>
    </format>
    <format dxfId="731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234"/>
          </reference>
        </references>
      </pivotArea>
    </format>
    <format dxfId="730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233"/>
          </reference>
        </references>
      </pivotArea>
    </format>
    <format dxfId="730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235"/>
          </reference>
        </references>
      </pivotArea>
    </format>
    <format dxfId="730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174"/>
          </reference>
        </references>
      </pivotArea>
    </format>
    <format dxfId="730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165"/>
          </reference>
        </references>
      </pivotArea>
    </format>
    <format dxfId="730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215"/>
          </reference>
        </references>
      </pivotArea>
    </format>
    <format dxfId="730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216"/>
          </reference>
        </references>
      </pivotArea>
    </format>
    <format dxfId="730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213"/>
          </reference>
        </references>
      </pivotArea>
    </format>
    <format dxfId="730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214"/>
          </reference>
        </references>
      </pivotArea>
    </format>
    <format dxfId="730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230"/>
          </reference>
        </references>
      </pivotArea>
    </format>
    <format dxfId="730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231"/>
          </reference>
        </references>
      </pivotArea>
    </format>
    <format dxfId="729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232"/>
          </reference>
        </references>
      </pivotArea>
    </format>
    <format dxfId="7298">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344"/>
          </reference>
        </references>
      </pivotArea>
    </format>
    <format dxfId="729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236"/>
          </reference>
        </references>
      </pivotArea>
    </format>
    <format dxfId="729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237"/>
          </reference>
        </references>
      </pivotArea>
    </format>
    <format dxfId="729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238"/>
          </reference>
        </references>
      </pivotArea>
    </format>
    <format dxfId="729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159"/>
          </reference>
        </references>
      </pivotArea>
    </format>
    <format dxfId="729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60"/>
          </reference>
        </references>
      </pivotArea>
    </format>
    <format dxfId="729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239"/>
          </reference>
        </references>
      </pivotArea>
    </format>
    <format dxfId="729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240"/>
          </reference>
        </references>
      </pivotArea>
    </format>
    <format dxfId="729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241"/>
          </reference>
        </references>
      </pivotArea>
    </format>
    <format dxfId="728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298"/>
          </reference>
        </references>
      </pivotArea>
    </format>
    <format dxfId="728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297"/>
          </reference>
        </references>
      </pivotArea>
    </format>
    <format dxfId="728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299"/>
          </reference>
        </references>
      </pivotArea>
    </format>
    <format dxfId="728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242"/>
          </reference>
        </references>
      </pivotArea>
    </format>
    <format dxfId="728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003"/>
          </reference>
        </references>
      </pivotArea>
    </format>
    <format dxfId="728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243"/>
          </reference>
        </references>
      </pivotArea>
    </format>
    <format dxfId="728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335"/>
          </reference>
        </references>
      </pivotArea>
    </format>
    <format dxfId="728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38"/>
          </reference>
        </references>
      </pivotArea>
    </format>
    <format dxfId="728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39"/>
          </reference>
        </references>
      </pivotArea>
    </format>
    <format dxfId="728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40"/>
          </reference>
        </references>
      </pivotArea>
    </format>
    <format dxfId="727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41"/>
          </reference>
        </references>
      </pivotArea>
    </format>
    <format dxfId="727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62"/>
          </reference>
        </references>
      </pivotArea>
    </format>
    <format dxfId="727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63"/>
          </reference>
        </references>
      </pivotArea>
    </format>
    <format dxfId="727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64"/>
          </reference>
        </references>
      </pivotArea>
    </format>
    <format dxfId="727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65"/>
          </reference>
        </references>
      </pivotArea>
    </format>
    <format dxfId="727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139"/>
          </reference>
        </references>
      </pivotArea>
    </format>
    <format dxfId="727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138"/>
          </reference>
        </references>
      </pivotArea>
    </format>
    <format dxfId="727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58"/>
          </reference>
        </references>
      </pivotArea>
    </format>
    <format dxfId="727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59"/>
          </reference>
        </references>
      </pivotArea>
    </format>
    <format dxfId="727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60"/>
          </reference>
        </references>
      </pivotArea>
    </format>
    <format dxfId="726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61"/>
          </reference>
        </references>
      </pivotArea>
    </format>
    <format dxfId="726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54"/>
          </reference>
        </references>
      </pivotArea>
    </format>
    <format dxfId="726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55"/>
          </reference>
        </references>
      </pivotArea>
    </format>
    <format dxfId="726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56"/>
          </reference>
        </references>
      </pivotArea>
    </format>
    <format dxfId="726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57"/>
          </reference>
        </references>
      </pivotArea>
    </format>
    <format dxfId="726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275"/>
          </reference>
        </references>
      </pivotArea>
    </format>
    <format dxfId="726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276"/>
          </reference>
        </references>
      </pivotArea>
    </format>
    <format dxfId="726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274"/>
          </reference>
        </references>
      </pivotArea>
    </format>
    <format dxfId="726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52"/>
          </reference>
        </references>
      </pivotArea>
    </format>
    <format dxfId="726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153"/>
          </reference>
        </references>
      </pivotArea>
    </format>
    <format dxfId="725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54"/>
          </reference>
        </references>
      </pivotArea>
    </format>
    <format dxfId="725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205"/>
          </reference>
        </references>
      </pivotArea>
    </format>
    <format dxfId="725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206"/>
          </reference>
        </references>
      </pivotArea>
    </format>
    <format dxfId="725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207"/>
          </reference>
        </references>
      </pivotArea>
    </format>
    <format dxfId="725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208"/>
          </reference>
        </references>
      </pivotArea>
    </format>
    <format dxfId="725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286"/>
          </reference>
        </references>
      </pivotArea>
    </format>
    <format dxfId="725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287"/>
          </reference>
        </references>
      </pivotArea>
    </format>
    <format dxfId="725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288"/>
          </reference>
        </references>
      </pivotArea>
    </format>
    <format dxfId="725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350"/>
          </reference>
        </references>
      </pivotArea>
    </format>
    <format dxfId="725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351"/>
          </reference>
        </references>
      </pivotArea>
    </format>
    <format dxfId="724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148"/>
          </reference>
        </references>
      </pivotArea>
    </format>
    <format dxfId="724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61"/>
          </reference>
        </references>
      </pivotArea>
    </format>
    <format dxfId="724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162"/>
          </reference>
        </references>
      </pivotArea>
    </format>
    <format dxfId="724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55"/>
          </reference>
        </references>
      </pivotArea>
    </format>
    <format dxfId="724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156"/>
          </reference>
        </references>
      </pivotArea>
    </format>
    <format dxfId="724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54"/>
          </reference>
        </references>
      </pivotArea>
    </format>
    <format dxfId="724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202"/>
          </reference>
        </references>
      </pivotArea>
    </format>
    <format dxfId="724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200"/>
          </reference>
        </references>
      </pivotArea>
    </format>
    <format dxfId="724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203"/>
          </reference>
        </references>
      </pivotArea>
    </format>
    <format dxfId="724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204"/>
          </reference>
        </references>
      </pivotArea>
    </format>
    <format dxfId="723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283"/>
          </reference>
        </references>
      </pivotArea>
    </format>
    <format dxfId="723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284"/>
          </reference>
        </references>
      </pivotArea>
    </format>
    <format dxfId="723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285"/>
          </reference>
        </references>
      </pivotArea>
    </format>
    <format dxfId="723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349"/>
          </reference>
        </references>
      </pivotArea>
    </format>
    <format dxfId="723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149"/>
          </reference>
        </references>
      </pivotArea>
    </format>
    <format dxfId="723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63"/>
          </reference>
        </references>
      </pivotArea>
    </format>
    <format dxfId="723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164"/>
          </reference>
        </references>
      </pivotArea>
    </format>
    <format dxfId="723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143"/>
          </reference>
        </references>
      </pivotArea>
    </format>
    <format dxfId="723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142"/>
          </reference>
        </references>
      </pivotArea>
    </format>
    <format dxfId="723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140"/>
          </reference>
        </references>
      </pivotArea>
    </format>
    <format dxfId="722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141"/>
          </reference>
        </references>
      </pivotArea>
    </format>
    <format dxfId="722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217"/>
          </reference>
        </references>
      </pivotArea>
    </format>
    <format dxfId="722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277"/>
          </reference>
        </references>
      </pivotArea>
    </format>
    <format dxfId="722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278"/>
          </reference>
        </references>
      </pivotArea>
    </format>
    <format dxfId="722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279"/>
          </reference>
        </references>
      </pivotArea>
    </format>
    <format dxfId="722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290"/>
          </reference>
        </references>
      </pivotArea>
    </format>
    <format dxfId="722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291"/>
          </reference>
        </references>
      </pivotArea>
    </format>
    <format dxfId="722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289"/>
          </reference>
        </references>
      </pivotArea>
    </format>
    <format dxfId="722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218"/>
          </reference>
        </references>
      </pivotArea>
    </format>
    <format dxfId="722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280"/>
          </reference>
        </references>
      </pivotArea>
    </format>
    <format dxfId="721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281"/>
          </reference>
        </references>
      </pivotArea>
    </format>
    <format dxfId="721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282"/>
          </reference>
        </references>
      </pivotArea>
    </format>
    <format dxfId="721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293"/>
          </reference>
        </references>
      </pivotArea>
    </format>
    <format dxfId="721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294"/>
          </reference>
        </references>
      </pivotArea>
    </format>
    <format dxfId="721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295"/>
          </reference>
        </references>
      </pivotArea>
    </format>
    <format dxfId="721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292"/>
          </reference>
        </references>
      </pivotArea>
    </format>
    <format dxfId="721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296"/>
          </reference>
        </references>
      </pivotArea>
    </format>
    <format dxfId="721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347"/>
          </reference>
        </references>
      </pivotArea>
    </format>
    <format dxfId="721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348"/>
          </reference>
        </references>
      </pivotArea>
    </format>
    <format dxfId="721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417"/>
          </reference>
        </references>
      </pivotArea>
    </format>
    <format dxfId="720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418"/>
          </reference>
        </references>
      </pivotArea>
    </format>
    <format dxfId="720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419"/>
          </reference>
        </references>
      </pivotArea>
    </format>
    <format dxfId="720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416"/>
          </reference>
        </references>
      </pivotArea>
    </format>
    <format dxfId="720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425"/>
          </reference>
        </references>
      </pivotArea>
    </format>
    <format dxfId="720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426"/>
          </reference>
        </references>
      </pivotArea>
    </format>
    <format dxfId="720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427"/>
          </reference>
        </references>
      </pivotArea>
    </format>
    <format dxfId="720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424"/>
          </reference>
        </references>
      </pivotArea>
    </format>
    <format dxfId="720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422"/>
          </reference>
        </references>
      </pivotArea>
    </format>
    <format dxfId="720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423"/>
          </reference>
        </references>
      </pivotArea>
    </format>
    <format dxfId="720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421"/>
          </reference>
        </references>
      </pivotArea>
    </format>
    <format dxfId="719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420"/>
          </reference>
        </references>
      </pivotArea>
    </format>
    <format dxfId="719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169"/>
          </reference>
        </references>
      </pivotArea>
    </format>
    <format dxfId="719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170"/>
          </reference>
        </references>
      </pivotArea>
    </format>
    <format dxfId="719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318"/>
          </reference>
        </references>
      </pivotArea>
    </format>
    <format dxfId="719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434"/>
          </reference>
        </references>
      </pivotArea>
    </format>
    <format dxfId="719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435"/>
          </reference>
        </references>
      </pivotArea>
    </format>
    <format dxfId="719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437"/>
          </reference>
        </references>
      </pivotArea>
    </format>
    <format dxfId="719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188"/>
          </reference>
        </references>
      </pivotArea>
    </format>
    <format dxfId="719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91"/>
          </reference>
        </references>
      </pivotArea>
    </format>
    <format dxfId="719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89"/>
          </reference>
        </references>
      </pivotArea>
    </format>
    <format dxfId="718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90"/>
          </reference>
        </references>
      </pivotArea>
    </format>
    <format dxfId="718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84"/>
          </reference>
        </references>
      </pivotArea>
    </format>
    <format dxfId="718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80"/>
          </reference>
        </references>
      </pivotArea>
    </format>
    <format dxfId="718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81"/>
          </reference>
        </references>
      </pivotArea>
    </format>
    <format dxfId="718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82"/>
          </reference>
        </references>
      </pivotArea>
    </format>
    <format dxfId="718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83"/>
          </reference>
        </references>
      </pivotArea>
    </format>
    <format dxfId="718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184"/>
          </reference>
        </references>
      </pivotArea>
    </format>
    <format dxfId="718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87"/>
          </reference>
        </references>
      </pivotArea>
    </format>
    <format dxfId="718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85"/>
          </reference>
        </references>
      </pivotArea>
    </format>
    <format dxfId="718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86"/>
          </reference>
        </references>
      </pivotArea>
    </format>
    <format dxfId="717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79"/>
          </reference>
        </references>
      </pivotArea>
    </format>
    <format dxfId="717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75"/>
          </reference>
        </references>
      </pivotArea>
    </format>
    <format dxfId="71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76"/>
          </reference>
        </references>
      </pivotArea>
    </format>
    <format dxfId="717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77"/>
          </reference>
        </references>
      </pivotArea>
    </format>
    <format dxfId="717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78"/>
          </reference>
        </references>
      </pivotArea>
    </format>
    <format dxfId="717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227"/>
          </reference>
        </references>
      </pivotArea>
    </format>
    <format dxfId="717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222"/>
          </reference>
        </references>
      </pivotArea>
    </format>
    <format dxfId="717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228"/>
          </reference>
        </references>
      </pivotArea>
    </format>
    <format dxfId="717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229"/>
          </reference>
        </references>
      </pivotArea>
    </format>
    <format dxfId="717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74"/>
          </reference>
        </references>
      </pivotArea>
    </format>
    <format dxfId="716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70"/>
          </reference>
        </references>
      </pivotArea>
    </format>
    <format dxfId="716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71"/>
          </reference>
        </references>
      </pivotArea>
    </format>
    <format dxfId="716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72"/>
          </reference>
        </references>
      </pivotArea>
    </format>
    <format dxfId="716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73"/>
          </reference>
        </references>
      </pivotArea>
    </format>
    <format dxfId="716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430"/>
          </reference>
        </references>
      </pivotArea>
    </format>
    <format dxfId="716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433"/>
          </reference>
        </references>
      </pivotArea>
    </format>
    <format dxfId="716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431"/>
          </reference>
        </references>
      </pivotArea>
    </format>
    <format dxfId="716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432"/>
          </reference>
        </references>
      </pivotArea>
    </format>
    <format dxfId="716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93"/>
          </reference>
        </references>
      </pivotArea>
    </format>
    <format dxfId="716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94"/>
          </reference>
        </references>
      </pivotArea>
    </format>
    <format dxfId="715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95"/>
          </reference>
        </references>
      </pivotArea>
    </format>
    <format dxfId="715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396"/>
          </reference>
        </references>
      </pivotArea>
    </format>
    <format dxfId="715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97"/>
          </reference>
        </references>
      </pivotArea>
    </format>
    <format dxfId="715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98"/>
          </reference>
        </references>
      </pivotArea>
    </format>
    <format dxfId="715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99"/>
          </reference>
        </references>
      </pivotArea>
    </format>
    <format dxfId="715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400"/>
          </reference>
        </references>
      </pivotArea>
    </format>
    <format dxfId="715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366"/>
          </reference>
        </references>
      </pivotArea>
    </format>
    <format dxfId="715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368"/>
          </reference>
        </references>
      </pivotArea>
    </format>
    <format dxfId="715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369"/>
          </reference>
        </references>
      </pivotArea>
    </format>
    <format dxfId="715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367"/>
          </reference>
        </references>
      </pivotArea>
    </format>
    <format dxfId="714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316"/>
          </reference>
        </references>
      </pivotArea>
    </format>
    <format dxfId="714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317"/>
          </reference>
        </references>
      </pivotArea>
    </format>
    <format dxfId="714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315"/>
          </reference>
        </references>
      </pivotArea>
    </format>
    <format dxfId="714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26"/>
          </reference>
        </references>
      </pivotArea>
    </format>
    <format dxfId="714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94"/>
          </reference>
        </references>
      </pivotArea>
    </format>
    <format dxfId="714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92"/>
          </reference>
        </references>
      </pivotArea>
    </format>
    <format dxfId="714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93"/>
          </reference>
        </references>
      </pivotArea>
    </format>
    <format dxfId="714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85"/>
          </reference>
        </references>
      </pivotArea>
    </format>
    <format dxfId="714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86"/>
          </reference>
        </references>
      </pivotArea>
    </format>
    <format dxfId="714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87"/>
          </reference>
        </references>
      </pivotArea>
    </format>
    <format dxfId="713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88"/>
          </reference>
        </references>
      </pivotArea>
    </format>
    <format dxfId="713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89"/>
          </reference>
        </references>
      </pivotArea>
    </format>
    <format dxfId="713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90"/>
          </reference>
        </references>
      </pivotArea>
    </format>
    <format dxfId="713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91"/>
          </reference>
        </references>
      </pivotArea>
    </format>
    <format dxfId="713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92"/>
          </reference>
        </references>
      </pivotArea>
    </format>
    <format dxfId="713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145"/>
          </reference>
        </references>
      </pivotArea>
    </format>
    <format dxfId="713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442"/>
          </reference>
        </references>
      </pivotArea>
    </format>
    <format dxfId="713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82"/>
          </reference>
        </references>
      </pivotArea>
    </format>
    <format dxfId="713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146"/>
          </reference>
        </references>
      </pivotArea>
    </format>
    <format dxfId="713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83"/>
          </reference>
        </references>
      </pivotArea>
    </format>
    <format dxfId="7129">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444"/>
          </reference>
        </references>
      </pivotArea>
    </format>
    <format dxfId="7128">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46"/>
          </reference>
        </references>
      </pivotArea>
    </format>
    <format dxfId="712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445"/>
          </reference>
        </references>
      </pivotArea>
    </format>
    <format dxfId="7126">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175"/>
          </reference>
        </references>
      </pivotArea>
    </format>
    <format dxfId="7125">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47"/>
          </reference>
        </references>
      </pivotArea>
    </format>
    <format dxfId="7124">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144"/>
          </reference>
        </references>
      </pivotArea>
    </format>
    <format dxfId="7123">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436"/>
          </reference>
        </references>
      </pivotArea>
    </format>
    <format dxfId="712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301"/>
            <x v="2304"/>
          </reference>
        </references>
      </pivotArea>
    </format>
    <format dxfId="712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302"/>
            <x v="2305"/>
          </reference>
        </references>
      </pivotArea>
    </format>
    <format dxfId="712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310"/>
          </reference>
        </references>
      </pivotArea>
    </format>
    <format dxfId="711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308"/>
          </reference>
        </references>
      </pivotArea>
    </format>
    <format dxfId="711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307"/>
          </reference>
        </references>
      </pivotArea>
    </format>
    <format dxfId="711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306"/>
          </reference>
        </references>
      </pivotArea>
    </format>
    <format dxfId="711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300"/>
            <x v="2303"/>
          </reference>
        </references>
      </pivotArea>
    </format>
    <format dxfId="711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309"/>
          </reference>
        </references>
      </pivotArea>
    </format>
    <format dxfId="7114">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443"/>
          </reference>
        </references>
      </pivotArea>
    </format>
    <format dxfId="7113">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181"/>
          </reference>
        </references>
      </pivotArea>
    </format>
    <format dxfId="711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79"/>
          </reference>
        </references>
      </pivotArea>
    </format>
    <format dxfId="711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312"/>
            <x v="2314"/>
          </reference>
        </references>
      </pivotArea>
    </format>
    <format dxfId="711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311"/>
            <x v="2313"/>
          </reference>
        </references>
      </pivotArea>
    </format>
    <format dxfId="7109">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80"/>
          </reference>
        </references>
      </pivotArea>
    </format>
    <format dxfId="7108">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428"/>
          </reference>
        </references>
      </pivotArea>
    </format>
    <format dxfId="7107">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429"/>
          </reference>
        </references>
      </pivotArea>
    </format>
    <format dxfId="710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337"/>
          </reference>
        </references>
      </pivotArea>
    </format>
    <format dxfId="710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343"/>
          </reference>
        </references>
      </pivotArea>
    </format>
    <format dxfId="710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172"/>
          </reference>
        </references>
      </pivotArea>
    </format>
    <format dxfId="710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171"/>
          </reference>
        </references>
      </pivotArea>
    </format>
    <format dxfId="710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200"/>
          </reference>
        </references>
      </pivotArea>
    </format>
    <format dxfId="710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201"/>
          </reference>
        </references>
      </pivotArea>
    </format>
    <format dxfId="710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198"/>
          </reference>
        </references>
      </pivotArea>
    </format>
    <format dxfId="709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199"/>
          </reference>
        </references>
      </pivotArea>
    </format>
    <format dxfId="709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195"/>
          </reference>
        </references>
      </pivotArea>
    </format>
    <format dxfId="709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196"/>
          </reference>
        </references>
      </pivotArea>
    </format>
    <format dxfId="709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197"/>
          </reference>
        </references>
      </pivotArea>
    </format>
    <format dxfId="709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047"/>
          </reference>
        </references>
      </pivotArea>
    </format>
    <format dxfId="709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413"/>
          </reference>
        </references>
      </pivotArea>
    </format>
    <format dxfId="709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414"/>
          </reference>
        </references>
      </pivotArea>
    </format>
    <format dxfId="709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415"/>
          </reference>
        </references>
      </pivotArea>
    </format>
    <format dxfId="709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013"/>
          </reference>
        </references>
      </pivotArea>
    </format>
    <format dxfId="7090">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38"/>
          </reference>
        </references>
      </pivotArea>
    </format>
    <format dxfId="7089">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53"/>
          </reference>
        </references>
      </pivotArea>
    </format>
    <format dxfId="7088">
      <pivotArea field="82" type="button" dataOnly="0" labelOnly="1" outline="0" axis="axisRow" fieldPosition="9"/>
    </format>
    <format dxfId="708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3"/>
          </reference>
          <reference field="82" count="1">
            <x v="778"/>
          </reference>
        </references>
      </pivotArea>
    </format>
    <format dxfId="708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324"/>
          </reference>
          <reference field="82" count="1">
            <x v="779"/>
          </reference>
        </references>
      </pivotArea>
    </format>
    <format dxfId="708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9"/>
          </reference>
          <reference field="82" count="1">
            <x v="864"/>
          </reference>
        </references>
      </pivotArea>
    </format>
    <format dxfId="708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10"/>
          </reference>
          <reference field="82" count="1">
            <x v="865"/>
          </reference>
        </references>
      </pivotArea>
    </format>
    <format dxfId="708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11"/>
          </reference>
          <reference field="82" count="1">
            <x v="866"/>
          </reference>
        </references>
      </pivotArea>
    </format>
    <format dxfId="708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12"/>
          </reference>
          <reference field="82" count="1">
            <x v="867"/>
          </reference>
        </references>
      </pivotArea>
    </format>
    <format dxfId="708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x v="784"/>
          </reference>
        </references>
      </pivotArea>
    </format>
    <format dxfId="708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x v="783"/>
          </reference>
        </references>
      </pivotArea>
    </format>
    <format dxfId="707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56"/>
          </reference>
          <reference field="82" count="1">
            <x v="711"/>
          </reference>
        </references>
      </pivotArea>
    </format>
    <format dxfId="707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57"/>
          </reference>
          <reference field="82" count="1">
            <x v="712"/>
          </reference>
        </references>
      </pivotArea>
    </format>
    <format dxfId="707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x v="709"/>
          </reference>
        </references>
      </pivotArea>
    </format>
    <format dxfId="707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55"/>
          </reference>
          <reference field="82" count="1">
            <x v="710"/>
          </reference>
        </references>
      </pivotArea>
    </format>
    <format dxfId="707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x v="784"/>
          </reference>
        </references>
      </pivotArea>
    </format>
    <format dxfId="7074">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x v="783"/>
          </reference>
        </references>
      </pivotArea>
    </format>
    <format dxfId="707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x v="706"/>
          </reference>
        </references>
      </pivotArea>
    </format>
    <format dxfId="707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x v="707"/>
          </reference>
        </references>
      </pivotArea>
    </format>
    <format dxfId="707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x v="709"/>
          </reference>
        </references>
      </pivotArea>
    </format>
    <format dxfId="707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x v="705"/>
          </reference>
        </references>
      </pivotArea>
    </format>
    <format dxfId="706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7"/>
          </reference>
          <reference field="82" count="1">
            <x v="782"/>
          </reference>
        </references>
      </pivotArea>
    </format>
    <format dxfId="7068">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x v="783"/>
          </reference>
        </references>
      </pivotArea>
    </format>
    <format dxfId="706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x v="619"/>
          </reference>
        </references>
      </pivotArea>
    </format>
    <format dxfId="706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68"/>
          </reference>
          <reference field="82" count="1">
            <x v="621"/>
          </reference>
        </references>
      </pivotArea>
    </format>
    <format dxfId="706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244"/>
          </reference>
          <reference field="82" count="1">
            <x v="699"/>
          </reference>
        </references>
      </pivotArea>
    </format>
    <format dxfId="706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247"/>
          </reference>
          <reference field="82" count="1">
            <x v="702"/>
          </reference>
        </references>
      </pivotArea>
    </format>
    <format dxfId="706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245"/>
          </reference>
          <reference field="82" count="1">
            <x v="700"/>
          </reference>
        </references>
      </pivotArea>
    </format>
    <format dxfId="706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246"/>
          </reference>
          <reference field="82" count="1">
            <x v="701"/>
          </reference>
        </references>
      </pivotArea>
    </format>
    <format dxfId="706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19"/>
          </reference>
          <reference field="82" count="1">
            <x v="774"/>
          </reference>
        </references>
      </pivotArea>
    </format>
    <format dxfId="706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320"/>
          </reference>
          <reference field="82" count="1">
            <x v="775"/>
          </reference>
        </references>
      </pivotArea>
    </format>
    <format dxfId="705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1"/>
          </reference>
          <reference field="82" count="1">
            <x v="856"/>
          </reference>
        </references>
      </pivotArea>
    </format>
    <format dxfId="705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2"/>
          </reference>
          <reference field="82" count="1">
            <x v="857"/>
          </reference>
        </references>
      </pivotArea>
    </format>
    <format dxfId="705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03"/>
          </reference>
          <reference field="82" count="1">
            <x v="858"/>
          </reference>
        </references>
      </pivotArea>
    </format>
    <format dxfId="705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04"/>
          </reference>
          <reference field="82" count="1">
            <x v="859"/>
          </reference>
        </references>
      </pivotArea>
    </format>
    <format dxfId="7055">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77"/>
          </reference>
          <reference field="82" count="1">
            <x v="630"/>
          </reference>
        </references>
      </pivotArea>
    </format>
    <format dxfId="7054">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x v="620"/>
          </reference>
        </references>
      </pivotArea>
    </format>
    <format dxfId="70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220"/>
          </reference>
          <reference field="82" count="1">
            <x v="674"/>
          </reference>
        </references>
      </pivotArea>
    </format>
    <format dxfId="70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222"/>
          </reference>
          <reference field="82" count="1">
            <x v="676"/>
          </reference>
        </references>
      </pivotArea>
    </format>
    <format dxfId="70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223"/>
          </reference>
          <reference field="82" count="1">
            <x v="677"/>
          </reference>
        </references>
      </pivotArea>
    </format>
    <format dxfId="70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219"/>
          </reference>
          <reference field="82" count="1">
            <x v="673"/>
          </reference>
        </references>
      </pivotArea>
    </format>
    <format dxfId="704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224"/>
          </reference>
          <reference field="82" count="1">
            <x v="678"/>
          </reference>
        </references>
      </pivotArea>
    </format>
    <format dxfId="704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225"/>
          </reference>
          <reference field="82" count="1">
            <x v="679"/>
          </reference>
        </references>
      </pivotArea>
    </format>
    <format dxfId="704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226"/>
          </reference>
          <reference field="82" count="1">
            <x v="680"/>
          </reference>
        </references>
      </pivotArea>
    </format>
    <format dxfId="704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221"/>
          </reference>
          <reference field="82" count="1">
            <x v="675"/>
          </reference>
        </references>
      </pivotArea>
    </format>
    <format dxfId="704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x v="706"/>
          </reference>
        </references>
      </pivotArea>
    </format>
    <format dxfId="704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x v="707"/>
          </reference>
        </references>
      </pivotArea>
    </format>
    <format dxfId="704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53"/>
          </reference>
          <reference field="82" count="1">
            <x v="708"/>
          </reference>
        </references>
      </pivotArea>
    </format>
    <format dxfId="704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x v="705"/>
          </reference>
        </references>
      </pivotArea>
    </format>
    <format dxfId="7041">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76"/>
          </reference>
          <reference field="82" count="1">
            <x v="629"/>
          </reference>
        </references>
      </pivotArea>
    </format>
    <format dxfId="704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1"/>
          </reference>
          <reference field="82" count="1">
            <x v="776"/>
          </reference>
        </references>
      </pivotArea>
    </format>
    <format dxfId="703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322"/>
          </reference>
          <reference field="82" count="1">
            <x v="777"/>
          </reference>
        </references>
      </pivotArea>
    </format>
    <format dxfId="703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x v="397"/>
          </reference>
        </references>
      </pivotArea>
    </format>
    <format dxfId="703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248"/>
          </reference>
          <reference field="82" count="1">
            <x v="703"/>
          </reference>
        </references>
      </pivotArea>
    </format>
    <format dxfId="703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249"/>
          </reference>
          <reference field="82" count="1">
            <x v="704"/>
          </reference>
        </references>
      </pivotArea>
    </format>
    <format dxfId="703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5"/>
          </reference>
          <reference field="82" count="1">
            <x v="780"/>
          </reference>
        </references>
      </pivotArea>
    </format>
    <format dxfId="703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326"/>
          </reference>
          <reference field="82" count="1">
            <x v="781"/>
          </reference>
        </references>
      </pivotArea>
    </format>
    <format dxfId="703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5"/>
          </reference>
          <reference field="82" count="1">
            <x v="860"/>
          </reference>
        </references>
      </pivotArea>
    </format>
    <format dxfId="703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6"/>
          </reference>
          <reference field="82" count="1">
            <x v="861"/>
          </reference>
        </references>
      </pivotArea>
    </format>
    <format dxfId="703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07"/>
          </reference>
          <reference field="82" count="1">
            <x v="862"/>
          </reference>
        </references>
      </pivotArea>
    </format>
    <format dxfId="703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08"/>
          </reference>
          <reference field="82" count="1">
            <x v="863"/>
          </reference>
        </references>
      </pivotArea>
    </format>
    <format dxfId="7029">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x v="784"/>
          </reference>
        </references>
      </pivotArea>
    </format>
    <format dxfId="7028">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330"/>
          </reference>
          <reference field="82" count="1">
            <x v="785"/>
          </reference>
        </references>
      </pivotArea>
    </format>
    <format dxfId="7027">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58"/>
          </reference>
          <reference field="82" count="1">
            <x v="713"/>
          </reference>
        </references>
      </pivotArea>
    </format>
    <format dxfId="702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265"/>
          </reference>
          <reference field="82" count="1">
            <x v="720"/>
          </reference>
        </references>
      </pivotArea>
    </format>
    <format dxfId="702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266"/>
          </reference>
          <reference field="82" count="1">
            <x v="721"/>
          </reference>
        </references>
      </pivotArea>
    </format>
    <format dxfId="702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267"/>
          </reference>
          <reference field="82" count="1">
            <x v="722"/>
          </reference>
        </references>
      </pivotArea>
    </format>
    <format dxfId="7023">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173"/>
          </reference>
          <reference field="82" count="1">
            <x v="626"/>
          </reference>
        </references>
      </pivotArea>
    </format>
    <format dxfId="7022">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157"/>
          </reference>
          <reference field="82" count="1">
            <x v="609"/>
          </reference>
        </references>
      </pivotArea>
    </format>
    <format dxfId="702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158"/>
          </reference>
          <reference field="82" count="1">
            <x v="610"/>
          </reference>
        </references>
      </pivotArea>
    </format>
    <format dxfId="702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259"/>
          </reference>
          <reference field="82" count="1">
            <x v="714"/>
          </reference>
        </references>
      </pivotArea>
    </format>
    <format dxfId="701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260"/>
          </reference>
          <reference field="82" count="1">
            <x v="715"/>
          </reference>
        </references>
      </pivotArea>
    </format>
    <format dxfId="701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261"/>
          </reference>
          <reference field="82" count="1">
            <x v="716"/>
          </reference>
        </references>
      </pivotArea>
    </format>
    <format dxfId="7017">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31"/>
          </reference>
          <reference field="82" count="1">
            <x v="786"/>
          </reference>
        </references>
      </pivotArea>
    </format>
    <format dxfId="701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332"/>
          </reference>
          <reference field="82" count="1">
            <x v="787"/>
          </reference>
        </references>
      </pivotArea>
    </format>
    <format dxfId="7015">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178"/>
          </reference>
          <reference field="82" count="1">
            <x v="631"/>
          </reference>
        </references>
      </pivotArea>
    </format>
    <format dxfId="701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262"/>
          </reference>
          <reference field="82" count="1">
            <x v="717"/>
          </reference>
        </references>
      </pivotArea>
    </format>
    <format dxfId="701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263"/>
          </reference>
          <reference field="82" count="1">
            <x v="718"/>
          </reference>
        </references>
      </pivotArea>
    </format>
    <format dxfId="701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264"/>
          </reference>
          <reference field="82" count="1">
            <x v="719"/>
          </reference>
        </references>
      </pivotArea>
    </format>
    <format dxfId="7011">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x v="793"/>
          </reference>
        </references>
      </pivotArea>
    </format>
    <format dxfId="701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271"/>
          </reference>
          <reference field="82" count="1">
            <x v="726"/>
          </reference>
        </references>
      </pivotArea>
    </format>
    <format dxfId="700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272"/>
          </reference>
          <reference field="82" count="1">
            <x v="727"/>
          </reference>
        </references>
      </pivotArea>
    </format>
    <format dxfId="700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273"/>
          </reference>
          <reference field="82" count="1">
            <x v="728"/>
          </reference>
        </references>
      </pivotArea>
    </format>
    <format dxfId="7007">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150"/>
          </reference>
          <reference field="82" count="1">
            <x v="602"/>
          </reference>
        </references>
      </pivotArea>
    </format>
    <format dxfId="700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51"/>
          </reference>
          <reference field="82" count="1">
            <x v="603"/>
          </reference>
        </references>
      </pivotArea>
    </format>
    <format dxfId="700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211"/>
          </reference>
          <reference field="82" count="1">
            <x v="665"/>
          </reference>
        </references>
      </pivotArea>
    </format>
    <format dxfId="700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212"/>
          </reference>
          <reference field="82" count="1">
            <x v="666"/>
          </reference>
        </references>
      </pivotArea>
    </format>
    <format dxfId="700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209"/>
          </reference>
          <reference field="82" count="1">
            <x v="663"/>
          </reference>
        </references>
      </pivotArea>
    </format>
    <format dxfId="700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210"/>
          </reference>
          <reference field="82" count="1">
            <x v="664"/>
          </reference>
        </references>
      </pivotArea>
    </format>
    <format dxfId="700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268"/>
          </reference>
          <reference field="82" count="1">
            <x v="723"/>
          </reference>
        </references>
      </pivotArea>
    </format>
    <format dxfId="700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269"/>
          </reference>
          <reference field="82" count="1">
            <x v="724"/>
          </reference>
        </references>
      </pivotArea>
    </format>
    <format dxfId="699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270"/>
          </reference>
          <reference field="82" count="1">
            <x v="725"/>
          </reference>
        </references>
      </pivotArea>
    </format>
    <format dxfId="6998">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selected="0">
            <x v="2352"/>
          </reference>
          <reference field="82" count="1">
            <x v="807"/>
          </reference>
        </references>
      </pivotArea>
    </format>
    <format dxfId="6997">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166"/>
          </reference>
          <reference field="82" count="1">
            <x v="618"/>
          </reference>
        </references>
      </pivotArea>
    </format>
    <format dxfId="699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234"/>
          </reference>
          <reference field="82" count="1">
            <x v="689"/>
          </reference>
        </references>
      </pivotArea>
    </format>
    <format dxfId="699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233"/>
          </reference>
          <reference field="82" count="1">
            <x v="688"/>
          </reference>
        </references>
      </pivotArea>
    </format>
    <format dxfId="699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235"/>
          </reference>
          <reference field="82" count="1">
            <x v="690"/>
          </reference>
        </references>
      </pivotArea>
    </format>
    <format dxfId="6993">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174"/>
          </reference>
          <reference field="82" count="1">
            <x v="627"/>
          </reference>
        </references>
      </pivotArea>
    </format>
    <format dxfId="699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165"/>
          </reference>
          <reference field="82" count="1">
            <x v="617"/>
          </reference>
        </references>
      </pivotArea>
    </format>
    <format dxfId="699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215"/>
          </reference>
          <reference field="82" count="1">
            <x v="669"/>
          </reference>
        </references>
      </pivotArea>
    </format>
    <format dxfId="699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216"/>
          </reference>
          <reference field="82" count="1">
            <x v="670"/>
          </reference>
        </references>
      </pivotArea>
    </format>
    <format dxfId="698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213"/>
          </reference>
          <reference field="82" count="1">
            <x v="667"/>
          </reference>
        </references>
      </pivotArea>
    </format>
    <format dxfId="698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214"/>
          </reference>
          <reference field="82" count="1">
            <x v="668"/>
          </reference>
        </references>
      </pivotArea>
    </format>
    <format dxfId="698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230"/>
          </reference>
          <reference field="82" count="1">
            <x v="685"/>
          </reference>
        </references>
      </pivotArea>
    </format>
    <format dxfId="698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231"/>
          </reference>
          <reference field="82" count="1">
            <x v="686"/>
          </reference>
        </references>
      </pivotArea>
    </format>
    <format dxfId="698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232"/>
          </reference>
          <reference field="82" count="1">
            <x v="687"/>
          </reference>
        </references>
      </pivotArea>
    </format>
    <format dxfId="6984">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344"/>
          </reference>
          <reference field="82" count="1">
            <x v="799"/>
          </reference>
        </references>
      </pivotArea>
    </format>
    <format dxfId="698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236"/>
          </reference>
          <reference field="82" count="1">
            <x v="691"/>
          </reference>
        </references>
      </pivotArea>
    </format>
    <format dxfId="698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237"/>
          </reference>
          <reference field="82" count="1">
            <x v="692"/>
          </reference>
        </references>
      </pivotArea>
    </format>
    <format dxfId="698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238"/>
          </reference>
          <reference field="82" count="1">
            <x v="693"/>
          </reference>
        </references>
      </pivotArea>
    </format>
    <format dxfId="698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159"/>
          </reference>
          <reference field="82" count="1">
            <x v="611"/>
          </reference>
        </references>
      </pivotArea>
    </format>
    <format dxfId="697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60"/>
          </reference>
          <reference field="82" count="1">
            <x v="612"/>
          </reference>
        </references>
      </pivotArea>
    </format>
    <format dxfId="697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239"/>
          </reference>
          <reference field="82" count="1">
            <x v="694"/>
          </reference>
        </references>
      </pivotArea>
    </format>
    <format dxfId="697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240"/>
          </reference>
          <reference field="82" count="1">
            <x v="695"/>
          </reference>
        </references>
      </pivotArea>
    </format>
    <format dxfId="697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241"/>
          </reference>
          <reference field="82" count="1">
            <x v="696"/>
          </reference>
        </references>
      </pivotArea>
    </format>
    <format dxfId="697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298"/>
          </reference>
          <reference field="82" count="1">
            <x v="753"/>
          </reference>
        </references>
      </pivotArea>
    </format>
    <format dxfId="697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297"/>
          </reference>
          <reference field="82" count="1">
            <x v="752"/>
          </reference>
        </references>
      </pivotArea>
    </format>
    <format dxfId="697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299"/>
          </reference>
          <reference field="82" count="1">
            <x v="754"/>
          </reference>
        </references>
      </pivotArea>
    </format>
    <format dxfId="697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242"/>
          </reference>
          <reference field="82" count="1">
            <x v="697"/>
          </reference>
        </references>
      </pivotArea>
    </format>
    <format dxfId="697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x v="538"/>
          </reference>
        </references>
      </pivotArea>
    </format>
    <format dxfId="697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243"/>
          </reference>
          <reference field="82" count="1">
            <x v="698"/>
          </reference>
        </references>
      </pivotArea>
    </format>
    <format dxfId="6969">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335"/>
          </reference>
          <reference field="82" count="1">
            <x v="790"/>
          </reference>
        </references>
      </pivotArea>
    </format>
    <format dxfId="696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38"/>
          </reference>
          <reference field="82" count="1">
            <x v="893"/>
          </reference>
        </references>
      </pivotArea>
    </format>
    <format dxfId="696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39"/>
          </reference>
          <reference field="82" count="1">
            <x v="894"/>
          </reference>
        </references>
      </pivotArea>
    </format>
    <format dxfId="696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40"/>
          </reference>
          <reference field="82" count="1">
            <x v="895"/>
          </reference>
        </references>
      </pivotArea>
    </format>
    <format dxfId="696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41"/>
          </reference>
          <reference field="82" count="1">
            <x v="896"/>
          </reference>
        </references>
      </pivotArea>
    </format>
    <format dxfId="696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62"/>
          </reference>
          <reference field="82" count="1">
            <x v="817"/>
          </reference>
        </references>
      </pivotArea>
    </format>
    <format dxfId="696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63"/>
          </reference>
          <reference field="82" count="1">
            <x v="818"/>
          </reference>
        </references>
      </pivotArea>
    </format>
    <format dxfId="696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64"/>
          </reference>
          <reference field="82" count="1">
            <x v="819"/>
          </reference>
        </references>
      </pivotArea>
    </format>
    <format dxfId="696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65"/>
          </reference>
          <reference field="82" count="1">
            <x v="820"/>
          </reference>
        </references>
      </pivotArea>
    </format>
    <format dxfId="696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139"/>
          </reference>
          <reference field="82" count="1">
            <x v="591"/>
          </reference>
        </references>
      </pivotArea>
    </format>
    <format dxfId="695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138"/>
          </reference>
          <reference field="82" count="1">
            <x v="590"/>
          </reference>
        </references>
      </pivotArea>
    </format>
    <format dxfId="695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58"/>
          </reference>
          <reference field="82" count="1">
            <x v="813"/>
          </reference>
        </references>
      </pivotArea>
    </format>
    <format dxfId="695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59"/>
          </reference>
          <reference field="82" count="1">
            <x v="814"/>
          </reference>
        </references>
      </pivotArea>
    </format>
    <format dxfId="695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60"/>
          </reference>
          <reference field="82" count="1">
            <x v="815"/>
          </reference>
        </references>
      </pivotArea>
    </format>
    <format dxfId="695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61"/>
          </reference>
          <reference field="82" count="1">
            <x v="816"/>
          </reference>
        </references>
      </pivotArea>
    </format>
    <format dxfId="695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54"/>
          </reference>
          <reference field="82" count="1">
            <x v="809"/>
          </reference>
        </references>
      </pivotArea>
    </format>
    <format dxfId="695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55"/>
          </reference>
          <reference field="82" count="1">
            <x v="810"/>
          </reference>
        </references>
      </pivotArea>
    </format>
    <format dxfId="695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56"/>
          </reference>
          <reference field="82" count="1">
            <x v="811"/>
          </reference>
        </references>
      </pivotArea>
    </format>
    <format dxfId="695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57"/>
          </reference>
          <reference field="82" count="1">
            <x v="812"/>
          </reference>
        </references>
      </pivotArea>
    </format>
    <format dxfId="695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275"/>
          </reference>
          <reference field="82" count="1">
            <x v="730"/>
          </reference>
        </references>
      </pivotArea>
    </format>
    <format dxfId="694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276"/>
          </reference>
          <reference field="82" count="1">
            <x v="731"/>
          </reference>
        </references>
      </pivotArea>
    </format>
    <format dxfId="694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274"/>
          </reference>
          <reference field="82" count="1">
            <x v="729"/>
          </reference>
        </references>
      </pivotArea>
    </format>
    <format dxfId="694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52"/>
          </reference>
          <reference field="82" count="1">
            <x v="604"/>
          </reference>
        </references>
      </pivotArea>
    </format>
    <format dxfId="694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153"/>
          </reference>
          <reference field="82" count="1">
            <x v="605"/>
          </reference>
        </references>
      </pivotArea>
    </format>
    <format dxfId="694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x v="606"/>
          </reference>
        </references>
      </pivotArea>
    </format>
    <format dxfId="694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205"/>
          </reference>
          <reference field="82" count="1">
            <x v="659"/>
          </reference>
        </references>
      </pivotArea>
    </format>
    <format dxfId="694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206"/>
          </reference>
          <reference field="82" count="1">
            <x v="660"/>
          </reference>
        </references>
      </pivotArea>
    </format>
    <format dxfId="694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207"/>
          </reference>
          <reference field="82" count="1">
            <x v="661"/>
          </reference>
        </references>
      </pivotArea>
    </format>
    <format dxfId="694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208"/>
          </reference>
          <reference field="82" count="1">
            <x v="662"/>
          </reference>
        </references>
      </pivotArea>
    </format>
    <format dxfId="694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286"/>
          </reference>
          <reference field="82" count="1">
            <x v="741"/>
          </reference>
        </references>
      </pivotArea>
    </format>
    <format dxfId="693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287"/>
          </reference>
          <reference field="82" count="1">
            <x v="742"/>
          </reference>
        </references>
      </pivotArea>
    </format>
    <format dxfId="693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288"/>
          </reference>
          <reference field="82" count="1">
            <x v="743"/>
          </reference>
        </references>
      </pivotArea>
    </format>
    <format dxfId="6937">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350"/>
          </reference>
          <reference field="82" count="1">
            <x v="805"/>
          </reference>
        </references>
      </pivotArea>
    </format>
    <format dxfId="693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351"/>
          </reference>
          <reference field="82" count="1">
            <x v="806"/>
          </reference>
        </references>
      </pivotArea>
    </format>
    <format dxfId="693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148"/>
          </reference>
          <reference field="82" count="1">
            <x v="600"/>
          </reference>
        </references>
      </pivotArea>
    </format>
    <format dxfId="693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61"/>
          </reference>
          <reference field="82" count="1">
            <x v="613"/>
          </reference>
        </references>
      </pivotArea>
    </format>
    <format dxfId="693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162"/>
          </reference>
          <reference field="82" count="1">
            <x v="614"/>
          </reference>
        </references>
      </pivotArea>
    </format>
    <format dxfId="693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55"/>
          </reference>
          <reference field="82" count="1">
            <x v="607"/>
          </reference>
        </references>
      </pivotArea>
    </format>
    <format dxfId="693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156"/>
          </reference>
          <reference field="82" count="1">
            <x v="608"/>
          </reference>
        </references>
      </pivotArea>
    </format>
    <format dxfId="693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x v="606"/>
          </reference>
        </references>
      </pivotArea>
    </format>
    <format dxfId="692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202"/>
          </reference>
          <reference field="82" count="1">
            <x v="655"/>
          </reference>
        </references>
      </pivotArea>
    </format>
    <format dxfId="692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200"/>
          </reference>
          <reference field="82" count="1">
            <x v="656"/>
          </reference>
        </references>
      </pivotArea>
    </format>
    <format dxfId="692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203"/>
          </reference>
          <reference field="82" count="1">
            <x v="657"/>
          </reference>
        </references>
      </pivotArea>
    </format>
    <format dxfId="692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204"/>
          </reference>
          <reference field="82" count="1">
            <x v="658"/>
          </reference>
        </references>
      </pivotArea>
    </format>
    <format dxfId="692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283"/>
          </reference>
          <reference field="82" count="1">
            <x v="738"/>
          </reference>
        </references>
      </pivotArea>
    </format>
    <format dxfId="692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284"/>
          </reference>
          <reference field="82" count="1">
            <x v="739"/>
          </reference>
        </references>
      </pivotArea>
    </format>
    <format dxfId="692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285"/>
          </reference>
          <reference field="82" count="1">
            <x v="740"/>
          </reference>
        </references>
      </pivotArea>
    </format>
    <format dxfId="6922">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349"/>
          </reference>
          <reference field="82" count="1">
            <x v="804"/>
          </reference>
        </references>
      </pivotArea>
    </format>
    <format dxfId="692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149"/>
          </reference>
          <reference field="82" count="1">
            <x v="601"/>
          </reference>
        </references>
      </pivotArea>
    </format>
    <format dxfId="692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63"/>
          </reference>
          <reference field="82" count="1">
            <x v="615"/>
          </reference>
        </references>
      </pivotArea>
    </format>
    <format dxfId="691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164"/>
          </reference>
          <reference field="82" count="1">
            <x v="616"/>
          </reference>
        </references>
      </pivotArea>
    </format>
    <format dxfId="691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143"/>
          </reference>
          <reference field="82" count="1">
            <x v="595"/>
          </reference>
        </references>
      </pivotArea>
    </format>
    <format dxfId="691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142"/>
          </reference>
          <reference field="82" count="1">
            <x v="594"/>
          </reference>
        </references>
      </pivotArea>
    </format>
    <format dxfId="691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140"/>
          </reference>
          <reference field="82" count="1">
            <x v="592"/>
          </reference>
        </references>
      </pivotArea>
    </format>
    <format dxfId="691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141"/>
          </reference>
          <reference field="82" count="1">
            <x v="593"/>
          </reference>
        </references>
      </pivotArea>
    </format>
    <format dxfId="6914">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217"/>
          </reference>
          <reference field="82" count="1">
            <x v="671"/>
          </reference>
        </references>
      </pivotArea>
    </format>
    <format dxfId="691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277"/>
          </reference>
          <reference field="82" count="1">
            <x v="732"/>
          </reference>
        </references>
      </pivotArea>
    </format>
    <format dxfId="691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278"/>
          </reference>
          <reference field="82" count="1">
            <x v="733"/>
          </reference>
        </references>
      </pivotArea>
    </format>
    <format dxfId="691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279"/>
          </reference>
          <reference field="82" count="1">
            <x v="734"/>
          </reference>
        </references>
      </pivotArea>
    </format>
    <format dxfId="691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290"/>
          </reference>
          <reference field="82" count="1">
            <x v="745"/>
          </reference>
        </references>
      </pivotArea>
    </format>
    <format dxfId="690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291"/>
          </reference>
          <reference field="82" count="1">
            <x v="746"/>
          </reference>
        </references>
      </pivotArea>
    </format>
    <format dxfId="690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289"/>
          </reference>
          <reference field="82" count="1">
            <x v="744"/>
          </reference>
        </references>
      </pivotArea>
    </format>
    <format dxfId="6907">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218"/>
          </reference>
          <reference field="82" count="1">
            <x v="672"/>
          </reference>
        </references>
      </pivotArea>
    </format>
    <format dxfId="6906">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280"/>
          </reference>
          <reference field="82" count="1">
            <x v="735"/>
          </reference>
        </references>
      </pivotArea>
    </format>
    <format dxfId="690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281"/>
          </reference>
          <reference field="82" count="1">
            <x v="736"/>
          </reference>
        </references>
      </pivotArea>
    </format>
    <format dxfId="690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282"/>
          </reference>
          <reference field="82" count="1">
            <x v="737"/>
          </reference>
        </references>
      </pivotArea>
    </format>
    <format dxfId="690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293"/>
          </reference>
          <reference field="82" count="1">
            <x v="748"/>
          </reference>
        </references>
      </pivotArea>
    </format>
    <format dxfId="690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294"/>
          </reference>
          <reference field="82" count="1">
            <x v="749"/>
          </reference>
        </references>
      </pivotArea>
    </format>
    <format dxfId="690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295"/>
          </reference>
          <reference field="82" count="1">
            <x v="750"/>
          </reference>
        </references>
      </pivotArea>
    </format>
    <format dxfId="690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292"/>
          </reference>
          <reference field="82" count="1">
            <x v="747"/>
          </reference>
        </references>
      </pivotArea>
    </format>
    <format dxfId="689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296"/>
          </reference>
          <reference field="82" count="1">
            <x v="751"/>
          </reference>
        </references>
      </pivotArea>
    </format>
    <format dxfId="689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347"/>
          </reference>
          <reference field="82" count="1">
            <x v="802"/>
          </reference>
        </references>
      </pivotArea>
    </format>
    <format dxfId="689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348"/>
          </reference>
          <reference field="82" count="1">
            <x v="803"/>
          </reference>
        </references>
      </pivotArea>
    </format>
    <format dxfId="689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417"/>
          </reference>
          <reference field="82" count="1">
            <x v="872"/>
          </reference>
        </references>
      </pivotArea>
    </format>
    <format dxfId="689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418"/>
          </reference>
          <reference field="82" count="1">
            <x v="873"/>
          </reference>
        </references>
      </pivotArea>
    </format>
    <format dxfId="689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419"/>
          </reference>
          <reference field="82" count="1">
            <x v="874"/>
          </reference>
        </references>
      </pivotArea>
    </format>
    <format dxfId="689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416"/>
          </reference>
          <reference field="82" count="1">
            <x v="871"/>
          </reference>
        </references>
      </pivotArea>
    </format>
    <format dxfId="689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425"/>
          </reference>
          <reference field="82" count="1">
            <x v="880"/>
          </reference>
        </references>
      </pivotArea>
    </format>
    <format dxfId="689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426"/>
          </reference>
          <reference field="82" count="1">
            <x v="881"/>
          </reference>
        </references>
      </pivotArea>
    </format>
    <format dxfId="689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427"/>
          </reference>
          <reference field="82" count="1">
            <x v="882"/>
          </reference>
        </references>
      </pivotArea>
    </format>
    <format dxfId="688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424"/>
          </reference>
          <reference field="82" count="1">
            <x v="879"/>
          </reference>
        </references>
      </pivotArea>
    </format>
    <format dxfId="688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422"/>
          </reference>
          <reference field="82" count="1">
            <x v="877"/>
          </reference>
        </references>
      </pivotArea>
    </format>
    <format dxfId="688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423"/>
          </reference>
          <reference field="82" count="1">
            <x v="878"/>
          </reference>
        </references>
      </pivotArea>
    </format>
    <format dxfId="688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421"/>
          </reference>
          <reference field="82" count="1">
            <x v="876"/>
          </reference>
        </references>
      </pivotArea>
    </format>
    <format dxfId="688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420"/>
          </reference>
          <reference field="82" count="1">
            <x v="875"/>
          </reference>
        </references>
      </pivotArea>
    </format>
    <format dxfId="688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169"/>
          </reference>
          <reference field="82" count="1">
            <x v="622"/>
          </reference>
        </references>
      </pivotArea>
    </format>
    <format dxfId="688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170"/>
          </reference>
          <reference field="82" count="1">
            <x v="623"/>
          </reference>
        </references>
      </pivotArea>
    </format>
    <format dxfId="6882">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318"/>
          </reference>
          <reference field="82" count="1">
            <x v="773"/>
          </reference>
        </references>
      </pivotArea>
    </format>
    <format dxfId="6881">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434"/>
          </reference>
          <reference field="82" count="1">
            <x v="889"/>
          </reference>
        </references>
      </pivotArea>
    </format>
    <format dxfId="6880">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435"/>
          </reference>
          <reference field="82" count="1">
            <x v="890"/>
          </reference>
        </references>
      </pivotArea>
    </format>
    <format dxfId="6879">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437"/>
          </reference>
          <reference field="82" count="1">
            <x v="892"/>
          </reference>
        </references>
      </pivotArea>
    </format>
    <format dxfId="687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188"/>
          </reference>
          <reference field="82" count="1">
            <x v="641"/>
          </reference>
        </references>
      </pivotArea>
    </format>
    <format dxfId="687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91"/>
          </reference>
          <reference field="82" count="1">
            <x v="644"/>
          </reference>
        </references>
      </pivotArea>
    </format>
    <format dxfId="687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89"/>
          </reference>
          <reference field="82" count="1">
            <x v="642"/>
          </reference>
        </references>
      </pivotArea>
    </format>
    <format dxfId="687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90"/>
          </reference>
          <reference field="82" count="1">
            <x v="643"/>
          </reference>
        </references>
      </pivotArea>
    </format>
    <format dxfId="687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84"/>
          </reference>
          <reference field="82" count="1">
            <x v="839"/>
          </reference>
        </references>
      </pivotArea>
    </format>
    <format dxfId="687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80"/>
          </reference>
          <reference field="82" count="1">
            <x v="835"/>
          </reference>
        </references>
      </pivotArea>
    </format>
    <format dxfId="687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81"/>
          </reference>
          <reference field="82" count="1">
            <x v="836"/>
          </reference>
        </references>
      </pivotArea>
    </format>
    <format dxfId="687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82"/>
          </reference>
          <reference field="82" count="1">
            <x v="837"/>
          </reference>
        </references>
      </pivotArea>
    </format>
    <format dxfId="687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83"/>
          </reference>
          <reference field="82" count="1">
            <x v="838"/>
          </reference>
        </references>
      </pivotArea>
    </format>
    <format dxfId="686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184"/>
          </reference>
          <reference field="82" count="1">
            <x v="637"/>
          </reference>
        </references>
      </pivotArea>
    </format>
    <format dxfId="686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87"/>
          </reference>
          <reference field="82" count="1">
            <x v="640"/>
          </reference>
        </references>
      </pivotArea>
    </format>
    <format dxfId="686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85"/>
          </reference>
          <reference field="82" count="1">
            <x v="638"/>
          </reference>
        </references>
      </pivotArea>
    </format>
    <format dxfId="686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86"/>
          </reference>
          <reference field="82" count="1">
            <x v="639"/>
          </reference>
        </references>
      </pivotArea>
    </format>
    <format dxfId="686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79"/>
          </reference>
          <reference field="82" count="1">
            <x v="834"/>
          </reference>
        </references>
      </pivotArea>
    </format>
    <format dxfId="686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75"/>
          </reference>
          <reference field="82" count="1">
            <x v="830"/>
          </reference>
        </references>
      </pivotArea>
    </format>
    <format dxfId="686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76"/>
          </reference>
          <reference field="82" count="1">
            <x v="831"/>
          </reference>
        </references>
      </pivotArea>
    </format>
    <format dxfId="686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77"/>
          </reference>
          <reference field="82" count="1">
            <x v="832"/>
          </reference>
        </references>
      </pivotArea>
    </format>
    <format dxfId="686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78"/>
          </reference>
          <reference field="82" count="1">
            <x v="833"/>
          </reference>
        </references>
      </pivotArea>
    </format>
    <format dxfId="686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227"/>
          </reference>
          <reference field="82" count="1">
            <x v="681"/>
          </reference>
        </references>
      </pivotArea>
    </format>
    <format dxfId="685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222"/>
          </reference>
          <reference field="82" count="1">
            <x v="684"/>
          </reference>
        </references>
      </pivotArea>
    </format>
    <format dxfId="685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228"/>
          </reference>
          <reference field="82" count="1">
            <x v="682"/>
          </reference>
        </references>
      </pivotArea>
    </format>
    <format dxfId="685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229"/>
          </reference>
          <reference field="82" count="1">
            <x v="683"/>
          </reference>
        </references>
      </pivotArea>
    </format>
    <format dxfId="685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74"/>
          </reference>
          <reference field="82" count="1">
            <x v="829"/>
          </reference>
        </references>
      </pivotArea>
    </format>
    <format dxfId="685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70"/>
          </reference>
          <reference field="82" count="1">
            <x v="825"/>
          </reference>
        </references>
      </pivotArea>
    </format>
    <format dxfId="685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71"/>
          </reference>
          <reference field="82" count="1">
            <x v="826"/>
          </reference>
        </references>
      </pivotArea>
    </format>
    <format dxfId="685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72"/>
          </reference>
          <reference field="82" count="1">
            <x v="827"/>
          </reference>
        </references>
      </pivotArea>
    </format>
    <format dxfId="685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73"/>
          </reference>
          <reference field="82" count="1">
            <x v="828"/>
          </reference>
        </references>
      </pivotArea>
    </format>
    <format dxfId="685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430"/>
          </reference>
          <reference field="82" count="1">
            <x v="885"/>
          </reference>
        </references>
      </pivotArea>
    </format>
    <format dxfId="685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433"/>
          </reference>
          <reference field="82" count="1">
            <x v="888"/>
          </reference>
        </references>
      </pivotArea>
    </format>
    <format dxfId="684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431"/>
          </reference>
          <reference field="82" count="1">
            <x v="886"/>
          </reference>
        </references>
      </pivotArea>
    </format>
    <format dxfId="684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432"/>
          </reference>
          <reference field="82" count="1">
            <x v="887"/>
          </reference>
        </references>
      </pivotArea>
    </format>
    <format dxfId="684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93"/>
          </reference>
          <reference field="82" count="1">
            <x v="848"/>
          </reference>
        </references>
      </pivotArea>
    </format>
    <format dxfId="684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94"/>
          </reference>
          <reference field="82" count="1">
            <x v="849"/>
          </reference>
        </references>
      </pivotArea>
    </format>
    <format dxfId="684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95"/>
          </reference>
          <reference field="82" count="1">
            <x v="850"/>
          </reference>
        </references>
      </pivotArea>
    </format>
    <format dxfId="684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396"/>
          </reference>
          <reference field="82" count="1">
            <x v="851"/>
          </reference>
        </references>
      </pivotArea>
    </format>
    <format dxfId="684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97"/>
          </reference>
          <reference field="82" count="1">
            <x v="852"/>
          </reference>
        </references>
      </pivotArea>
    </format>
    <format dxfId="684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98"/>
          </reference>
          <reference field="82" count="1">
            <x v="853"/>
          </reference>
        </references>
      </pivotArea>
    </format>
    <format dxfId="684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99"/>
          </reference>
          <reference field="82" count="1">
            <x v="854"/>
          </reference>
        </references>
      </pivotArea>
    </format>
    <format dxfId="684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400"/>
          </reference>
          <reference field="82" count="1">
            <x v="855"/>
          </reference>
        </references>
      </pivotArea>
    </format>
    <format dxfId="683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366"/>
          </reference>
          <reference field="82" count="1">
            <x v="821"/>
          </reference>
        </references>
      </pivotArea>
    </format>
    <format dxfId="683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368"/>
          </reference>
          <reference field="82" count="1">
            <x v="823"/>
          </reference>
        </references>
      </pivotArea>
    </format>
    <format dxfId="683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369"/>
          </reference>
          <reference field="82" count="1">
            <x v="824"/>
          </reference>
        </references>
      </pivotArea>
    </format>
    <format dxfId="683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367"/>
          </reference>
          <reference field="82" count="1">
            <x v="822"/>
          </reference>
        </references>
      </pivotArea>
    </format>
    <format dxfId="683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316"/>
          </reference>
          <reference field="82" count="1">
            <x v="771"/>
          </reference>
        </references>
      </pivotArea>
    </format>
    <format dxfId="683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317"/>
          </reference>
          <reference field="82" count="1">
            <x v="772"/>
          </reference>
        </references>
      </pivotArea>
    </format>
    <format dxfId="683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315"/>
          </reference>
          <reference field="82" count="1">
            <x v="770"/>
          </reference>
        </references>
      </pivotArea>
    </format>
    <format dxfId="683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26"/>
          </reference>
          <reference field="82" count="1">
            <x v="437"/>
          </reference>
        </references>
      </pivotArea>
    </format>
    <format dxfId="683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94"/>
          </reference>
          <reference field="82" count="1">
            <x v="647"/>
          </reference>
        </references>
      </pivotArea>
    </format>
    <format dxfId="683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x v="645"/>
          </reference>
        </references>
      </pivotArea>
    </format>
    <format dxfId="682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x v="646"/>
          </reference>
        </references>
      </pivotArea>
    </format>
    <format dxfId="682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85"/>
          </reference>
          <reference field="82" count="1">
            <x v="840"/>
          </reference>
        </references>
      </pivotArea>
    </format>
    <format dxfId="682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86"/>
          </reference>
          <reference field="82" count="1">
            <x v="841"/>
          </reference>
        </references>
      </pivotArea>
    </format>
    <format dxfId="682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87"/>
          </reference>
          <reference field="82" count="1">
            <x v="842"/>
          </reference>
        </references>
      </pivotArea>
    </format>
    <format dxfId="682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88"/>
          </reference>
          <reference field="82" count="1">
            <x v="843"/>
          </reference>
        </references>
      </pivotArea>
    </format>
    <format dxfId="682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89"/>
          </reference>
          <reference field="82" count="1">
            <x v="844"/>
          </reference>
        </references>
      </pivotArea>
    </format>
    <format dxfId="682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90"/>
          </reference>
          <reference field="82" count="1">
            <x v="845"/>
          </reference>
        </references>
      </pivotArea>
    </format>
    <format dxfId="682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91"/>
          </reference>
          <reference field="82" count="1">
            <x v="846"/>
          </reference>
        </references>
      </pivotArea>
    </format>
    <format dxfId="682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92"/>
          </reference>
          <reference field="82" count="1">
            <x v="847"/>
          </reference>
        </references>
      </pivotArea>
    </format>
    <format dxfId="6820">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145"/>
          </reference>
          <reference field="82" count="1">
            <x v="597"/>
          </reference>
        </references>
      </pivotArea>
    </format>
    <format dxfId="6819">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442"/>
          </reference>
          <reference field="82" count="1">
            <x v="897"/>
          </reference>
        </references>
      </pivotArea>
    </format>
    <format dxfId="6818">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82"/>
          </reference>
          <reference field="82" count="1">
            <x v="635"/>
          </reference>
        </references>
      </pivotArea>
    </format>
    <format dxfId="6817">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146"/>
          </reference>
          <reference field="82" count="1">
            <x v="598"/>
          </reference>
        </references>
      </pivotArea>
    </format>
    <format dxfId="6816">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83"/>
          </reference>
          <reference field="82" count="1">
            <x v="636"/>
          </reference>
        </references>
      </pivotArea>
    </format>
    <format dxfId="6815">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444"/>
          </reference>
          <reference field="82" count="1">
            <x v="899"/>
          </reference>
        </references>
      </pivotArea>
    </format>
    <format dxfId="6814">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46"/>
          </reference>
          <reference field="82" count="1">
            <x v="901"/>
          </reference>
        </references>
      </pivotArea>
    </format>
    <format dxfId="6813">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445"/>
          </reference>
          <reference field="82" count="1">
            <x v="900"/>
          </reference>
        </references>
      </pivotArea>
    </format>
    <format dxfId="6812">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175"/>
          </reference>
          <reference field="82" count="1">
            <x v="628"/>
          </reference>
        </references>
      </pivotArea>
    </format>
    <format dxfId="6811">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47"/>
          </reference>
          <reference field="82" count="1">
            <x v="902"/>
          </reference>
        </references>
      </pivotArea>
    </format>
    <format dxfId="6810">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144"/>
          </reference>
          <reference field="82" count="1">
            <x v="596"/>
          </reference>
        </references>
      </pivotArea>
    </format>
    <format dxfId="6809">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436"/>
          </reference>
          <reference field="82" count="1">
            <x v="891"/>
          </reference>
        </references>
      </pivotArea>
    </format>
    <format dxfId="680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01"/>
          </reference>
          <reference field="82" count="1">
            <x v="756"/>
          </reference>
        </references>
      </pivotArea>
    </format>
    <format dxfId="680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04"/>
          </reference>
          <reference field="82" count="1">
            <x v="759"/>
          </reference>
        </references>
      </pivotArea>
    </format>
    <format dxfId="680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302"/>
          </reference>
          <reference field="82" count="1">
            <x v="757"/>
          </reference>
        </references>
      </pivotArea>
    </format>
    <format dxfId="680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305"/>
          </reference>
          <reference field="82" count="1">
            <x v="760"/>
          </reference>
        </references>
      </pivotArea>
    </format>
    <format dxfId="680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310"/>
          </reference>
          <reference field="82" count="1">
            <x v="765"/>
          </reference>
        </references>
      </pivotArea>
    </format>
    <format dxfId="680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308"/>
          </reference>
          <reference field="82" count="1">
            <x v="763"/>
          </reference>
        </references>
      </pivotArea>
    </format>
    <format dxfId="680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307"/>
          </reference>
          <reference field="82" count="1">
            <x v="762"/>
          </reference>
        </references>
      </pivotArea>
    </format>
    <format dxfId="680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306"/>
          </reference>
          <reference field="82" count="1">
            <x v="761"/>
          </reference>
        </references>
      </pivotArea>
    </format>
    <format dxfId="680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00"/>
          </reference>
          <reference field="82" count="1">
            <x v="755"/>
          </reference>
        </references>
      </pivotArea>
    </format>
    <format dxfId="679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03"/>
          </reference>
          <reference field="82" count="1">
            <x v="758"/>
          </reference>
        </references>
      </pivotArea>
    </format>
    <format dxfId="679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309"/>
          </reference>
          <reference field="82" count="1">
            <x v="764"/>
          </reference>
        </references>
      </pivotArea>
    </format>
    <format dxfId="6797">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443"/>
          </reference>
          <reference field="82" count="1">
            <x v="898"/>
          </reference>
        </references>
      </pivotArea>
    </format>
    <format dxfId="6796">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181"/>
          </reference>
          <reference field="82" count="1">
            <x v="634"/>
          </reference>
        </references>
      </pivotArea>
    </format>
    <format dxfId="6795">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79"/>
          </reference>
          <reference field="82" count="1">
            <x v="632"/>
          </reference>
        </references>
      </pivotArea>
    </format>
    <format dxfId="679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12"/>
          </reference>
          <reference field="82" count="1">
            <x v="767"/>
          </reference>
        </references>
      </pivotArea>
    </format>
    <format dxfId="679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314"/>
          </reference>
          <reference field="82" count="1">
            <x v="769"/>
          </reference>
        </references>
      </pivotArea>
    </format>
    <format dxfId="679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11"/>
          </reference>
          <reference field="82" count="1">
            <x v="766"/>
          </reference>
        </references>
      </pivotArea>
    </format>
    <format dxfId="679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313"/>
          </reference>
          <reference field="82" count="1">
            <x v="768"/>
          </reference>
        </references>
      </pivotArea>
    </format>
    <format dxfId="6790">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80"/>
          </reference>
          <reference field="82" count="1">
            <x v="633"/>
          </reference>
        </references>
      </pivotArea>
    </format>
    <format dxfId="6789">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428"/>
          </reference>
          <reference field="82" count="1">
            <x v="883"/>
          </reference>
        </references>
      </pivotArea>
    </format>
    <format dxfId="6788">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429"/>
          </reference>
          <reference field="82" count="1">
            <x v="884"/>
          </reference>
        </references>
      </pivotArea>
    </format>
    <format dxfId="6787">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337"/>
          </reference>
          <reference field="82" count="1">
            <x v="792"/>
          </reference>
        </references>
      </pivotArea>
    </format>
    <format dxfId="6786">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343"/>
          </reference>
          <reference field="82" count="1">
            <x v="798"/>
          </reference>
        </references>
      </pivotArea>
    </format>
    <format dxfId="678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172"/>
          </reference>
          <reference field="82" count="1">
            <x v="625"/>
          </reference>
        </references>
      </pivotArea>
    </format>
    <format dxfId="6784">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171"/>
          </reference>
          <reference field="82" count="1">
            <x v="624"/>
          </reference>
        </references>
      </pivotArea>
    </format>
    <format dxfId="678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200"/>
          </reference>
          <reference field="82" count="1">
            <x v="653"/>
          </reference>
        </references>
      </pivotArea>
    </format>
    <format dxfId="678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201"/>
          </reference>
          <reference field="82" count="1">
            <x v="654"/>
          </reference>
        </references>
      </pivotArea>
    </format>
    <format dxfId="678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198"/>
          </reference>
          <reference field="82" count="1">
            <x v="651"/>
          </reference>
        </references>
      </pivotArea>
    </format>
    <format dxfId="678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199"/>
          </reference>
          <reference field="82" count="1">
            <x v="652"/>
          </reference>
        </references>
      </pivotArea>
    </format>
    <format dxfId="677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195"/>
          </reference>
          <reference field="82" count="1">
            <x v="648"/>
          </reference>
        </references>
      </pivotArea>
    </format>
    <format dxfId="677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196"/>
          </reference>
          <reference field="82" count="1">
            <x v="649"/>
          </reference>
        </references>
      </pivotArea>
    </format>
    <format dxfId="677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197"/>
          </reference>
          <reference field="82" count="1">
            <x v="650"/>
          </reference>
        </references>
      </pivotArea>
    </format>
    <format dxfId="6776">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047"/>
          </reference>
          <reference field="82" count="1">
            <x v="462"/>
          </reference>
        </references>
      </pivotArea>
    </format>
    <format dxfId="677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413"/>
          </reference>
          <reference field="82" count="1">
            <x v="868"/>
          </reference>
        </references>
      </pivotArea>
    </format>
    <format dxfId="677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414"/>
          </reference>
          <reference field="82" count="1">
            <x v="869"/>
          </reference>
        </references>
      </pivotArea>
    </format>
    <format dxfId="677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415"/>
          </reference>
          <reference field="82" count="1">
            <x v="870"/>
          </reference>
        </references>
      </pivotArea>
    </format>
    <format dxfId="677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013"/>
          </reference>
          <reference field="82" count="1">
            <x v="415"/>
          </reference>
        </references>
      </pivotArea>
    </format>
    <format dxfId="6771">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x v="793"/>
          </reference>
        </references>
      </pivotArea>
    </format>
    <format dxfId="6770">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53"/>
          </reference>
          <reference field="82" count="1">
            <x v="808"/>
          </reference>
        </references>
      </pivotArea>
    </format>
    <format dxfId="6769">
      <pivotArea field="87" type="button" dataOnly="0" labelOnly="1" outline="0" axis="axisRow" fieldPosition="12"/>
    </format>
    <format dxfId="676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3"/>
          </reference>
          <reference field="82" count="1" selected="0">
            <x v="778"/>
          </reference>
          <reference field="85" count="1" selected="0">
            <x v="7"/>
          </reference>
          <reference field="87" count="1">
            <x v="1705"/>
          </reference>
        </references>
      </pivotArea>
    </format>
    <format dxfId="6767">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4"/>
          </reference>
          <reference field="82" count="1" selected="0">
            <x v="779"/>
          </reference>
          <reference field="85" count="1" selected="0">
            <x v="7"/>
          </reference>
          <reference field="87" count="1">
            <x v="1706"/>
          </reference>
        </references>
      </pivotArea>
    </format>
    <format dxfId="676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9"/>
          </reference>
          <reference field="82" count="1" selected="0">
            <x v="864"/>
          </reference>
          <reference field="85" count="1" selected="0">
            <x v="4"/>
          </reference>
          <reference field="87" count="1">
            <x v="1791"/>
          </reference>
        </references>
      </pivotArea>
    </format>
    <format dxfId="676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10"/>
          </reference>
          <reference field="82" count="1" selected="0">
            <x v="865"/>
          </reference>
          <reference field="85" count="1" selected="0">
            <x v="4"/>
          </reference>
          <reference field="87" count="1">
            <x v="1792"/>
          </reference>
        </references>
      </pivotArea>
    </format>
    <format dxfId="676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1"/>
          </reference>
          <reference field="82" count="1" selected="0">
            <x v="866"/>
          </reference>
          <reference field="85" count="1" selected="0">
            <x v="4"/>
          </reference>
          <reference field="87" count="1">
            <x v="1793"/>
          </reference>
        </references>
      </pivotArea>
    </format>
    <format dxfId="676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2"/>
          </reference>
          <reference field="82" count="1" selected="0">
            <x v="867"/>
          </reference>
          <reference field="85" count="1" selected="0">
            <x v="4"/>
          </reference>
          <reference field="87" count="1">
            <x v="1794"/>
          </reference>
        </references>
      </pivotArea>
    </format>
    <format dxfId="676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x v="1711"/>
          </reference>
        </references>
      </pivotArea>
    </format>
    <format dxfId="6761">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x v="1710"/>
          </reference>
        </references>
      </pivotArea>
    </format>
    <format dxfId="676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6"/>
          </reference>
          <reference field="82" count="1" selected="0">
            <x v="711"/>
          </reference>
          <reference field="85" count="1" selected="0">
            <x v="0"/>
          </reference>
          <reference field="87" count="1">
            <x v="1638"/>
          </reference>
        </references>
      </pivotArea>
    </format>
    <format dxfId="675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7"/>
          </reference>
          <reference field="82" count="1" selected="0">
            <x v="712"/>
          </reference>
          <reference field="85" count="1" selected="0">
            <x v="0"/>
          </reference>
          <reference field="87" count="1">
            <x v="1639"/>
          </reference>
        </references>
      </pivotArea>
    </format>
    <format dxfId="675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selected="0">
            <x v="709"/>
          </reference>
          <reference field="85" count="1" selected="0">
            <x v="0"/>
          </reference>
          <reference field="87" count="1">
            <x v="1636"/>
          </reference>
        </references>
      </pivotArea>
    </format>
    <format dxfId="675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5"/>
          </reference>
          <reference field="82" count="1" selected="0">
            <x v="710"/>
          </reference>
          <reference field="85" count="1" selected="0">
            <x v="0"/>
          </reference>
          <reference field="87" count="1">
            <x v="1637"/>
          </reference>
        </references>
      </pivotArea>
    </format>
    <format dxfId="675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x v="1711"/>
          </reference>
        </references>
      </pivotArea>
    </format>
    <format dxfId="6755">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x v="1710"/>
          </reference>
        </references>
      </pivotArea>
    </format>
    <format dxfId="675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selected="0">
            <x v="0"/>
          </reference>
          <reference field="87" count="1">
            <x v="1633"/>
          </reference>
        </references>
      </pivotArea>
    </format>
    <format dxfId="675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selected="0">
            <x v="707"/>
          </reference>
          <reference field="85" count="1" selected="0">
            <x v="0"/>
          </reference>
          <reference field="87" count="1">
            <x v="1634"/>
          </reference>
        </references>
      </pivotArea>
    </format>
    <format dxfId="675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selected="0">
            <x v="709"/>
          </reference>
          <reference field="85" count="1" selected="0">
            <x v="0"/>
          </reference>
          <reference field="87" count="1">
            <x v="1636"/>
          </reference>
        </references>
      </pivotArea>
    </format>
    <format dxfId="675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selected="0">
            <x v="705"/>
          </reference>
          <reference field="85" count="1" selected="0">
            <x v="0"/>
          </reference>
          <reference field="87" count="1">
            <x v="1632"/>
          </reference>
        </references>
      </pivotArea>
    </format>
    <format dxfId="675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7"/>
          </reference>
          <reference field="82" count="1" selected="0">
            <x v="782"/>
          </reference>
          <reference field="85" count="1" selected="0">
            <x v="7"/>
          </reference>
          <reference field="87" count="1">
            <x v="1709"/>
          </reference>
        </references>
      </pivotArea>
    </format>
    <format dxfId="6749">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x v="1710"/>
          </reference>
        </references>
      </pivotArea>
    </format>
    <format dxfId="674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selected="0">
            <x v="619"/>
          </reference>
          <reference field="85" count="1" selected="0">
            <x v="7"/>
          </reference>
          <reference field="87" count="1">
            <x v="1548"/>
          </reference>
        </references>
      </pivotArea>
    </format>
    <format dxfId="674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68"/>
          </reference>
          <reference field="82" count="1" selected="0">
            <x v="621"/>
          </reference>
          <reference field="85" count="1" selected="0">
            <x v="7"/>
          </reference>
          <reference field="87" count="1">
            <x v="1549"/>
          </reference>
        </references>
      </pivotArea>
    </format>
    <format dxfId="674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44"/>
          </reference>
          <reference field="82" count="1" selected="0">
            <x v="699"/>
          </reference>
          <reference field="85" count="1" selected="0">
            <x v="0"/>
          </reference>
          <reference field="87" count="1">
            <x v="1626"/>
          </reference>
        </references>
      </pivotArea>
    </format>
    <format dxfId="674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247"/>
          </reference>
          <reference field="82" count="1" selected="0">
            <x v="702"/>
          </reference>
          <reference field="85" count="1" selected="0">
            <x v="0"/>
          </reference>
          <reference field="87" count="1">
            <x v="1629"/>
          </reference>
        </references>
      </pivotArea>
    </format>
    <format dxfId="674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45"/>
          </reference>
          <reference field="82" count="1" selected="0">
            <x v="700"/>
          </reference>
          <reference field="85" count="1" selected="0">
            <x v="0"/>
          </reference>
          <reference field="87" count="1">
            <x v="1627"/>
          </reference>
        </references>
      </pivotArea>
    </format>
    <format dxfId="674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46"/>
          </reference>
          <reference field="82" count="1" selected="0">
            <x v="701"/>
          </reference>
          <reference field="85" count="1" selected="0">
            <x v="0"/>
          </reference>
          <reference field="87" count="1">
            <x v="1628"/>
          </reference>
        </references>
      </pivotArea>
    </format>
    <format dxfId="674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19"/>
          </reference>
          <reference field="82" count="1" selected="0">
            <x v="774"/>
          </reference>
          <reference field="85" count="1" selected="0">
            <x v="7"/>
          </reference>
          <reference field="87" count="1">
            <x v="1701"/>
          </reference>
        </references>
      </pivotArea>
    </format>
    <format dxfId="6741">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0"/>
          </reference>
          <reference field="82" count="1" selected="0">
            <x v="775"/>
          </reference>
          <reference field="85" count="1" selected="0">
            <x v="7"/>
          </reference>
          <reference field="87" count="1">
            <x v="1702"/>
          </reference>
        </references>
      </pivotArea>
    </format>
    <format dxfId="674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1"/>
          </reference>
          <reference field="82" count="1" selected="0">
            <x v="856"/>
          </reference>
          <reference field="85" count="1" selected="0">
            <x v="4"/>
          </reference>
          <reference field="87" count="1">
            <x v="1783"/>
          </reference>
        </references>
      </pivotArea>
    </format>
    <format dxfId="673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2"/>
          </reference>
          <reference field="82" count="1" selected="0">
            <x v="857"/>
          </reference>
          <reference field="85" count="1" selected="0">
            <x v="4"/>
          </reference>
          <reference field="87" count="1">
            <x v="1784"/>
          </reference>
        </references>
      </pivotArea>
    </format>
    <format dxfId="673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3"/>
          </reference>
          <reference field="82" count="1" selected="0">
            <x v="858"/>
          </reference>
          <reference field="85" count="1" selected="0">
            <x v="4"/>
          </reference>
          <reference field="87" count="1">
            <x v="1785"/>
          </reference>
        </references>
      </pivotArea>
    </format>
    <format dxfId="673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4"/>
          </reference>
          <reference field="82" count="1" selected="0">
            <x v="859"/>
          </reference>
          <reference field="85" count="1" selected="0">
            <x v="4"/>
          </reference>
          <reference field="87" count="1">
            <x v="1786"/>
          </reference>
        </references>
      </pivotArea>
    </format>
    <format dxfId="6736">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7"/>
          </reference>
          <reference field="82" count="1" selected="0">
            <x v="630"/>
          </reference>
          <reference field="85" count="1" selected="0">
            <x v="7"/>
          </reference>
          <reference field="87" count="1">
            <x v="1558"/>
          </reference>
        </references>
      </pivotArea>
    </format>
    <format dxfId="6735">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selected="0">
            <x v="620"/>
          </reference>
          <reference field="85" count="1" selected="0">
            <x v="7"/>
          </reference>
          <reference field="87" count="1">
            <x v="1548"/>
          </reference>
        </references>
      </pivotArea>
    </format>
    <format dxfId="673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220"/>
          </reference>
          <reference field="82" count="1" selected="0">
            <x v="674"/>
          </reference>
          <reference field="85" count="1" selected="0">
            <x v="4"/>
          </reference>
          <reference field="87" count="1">
            <x v="1602"/>
          </reference>
        </references>
      </pivotArea>
    </format>
    <format dxfId="673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222"/>
          </reference>
          <reference field="82" count="1" selected="0">
            <x v="676"/>
          </reference>
          <reference field="85" count="1" selected="0">
            <x v="4"/>
          </reference>
          <reference field="87" count="1">
            <x v="1604"/>
          </reference>
        </references>
      </pivotArea>
    </format>
    <format dxfId="673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223"/>
          </reference>
          <reference field="82" count="1" selected="0">
            <x v="677"/>
          </reference>
          <reference field="85" count="1" selected="0">
            <x v="4"/>
          </reference>
          <reference field="87" count="1">
            <x v="1605"/>
          </reference>
        </references>
      </pivotArea>
    </format>
    <format dxfId="673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219"/>
          </reference>
          <reference field="82" count="1" selected="0">
            <x v="673"/>
          </reference>
          <reference field="85" count="1" selected="0">
            <x v="4"/>
          </reference>
          <reference field="87" count="1">
            <x v="1601"/>
          </reference>
        </references>
      </pivotArea>
    </format>
    <format dxfId="673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224"/>
          </reference>
          <reference field="82" count="1" selected="0">
            <x v="678"/>
          </reference>
          <reference field="85" count="1" selected="0">
            <x v="4"/>
          </reference>
          <reference field="87" count="1">
            <x v="1606"/>
          </reference>
        </references>
      </pivotArea>
    </format>
    <format dxfId="672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225"/>
          </reference>
          <reference field="82" count="1" selected="0">
            <x v="679"/>
          </reference>
          <reference field="85" count="1" selected="0">
            <x v="4"/>
          </reference>
          <reference field="87" count="1">
            <x v="1607"/>
          </reference>
        </references>
      </pivotArea>
    </format>
    <format dxfId="672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226"/>
          </reference>
          <reference field="82" count="1" selected="0">
            <x v="680"/>
          </reference>
          <reference field="85" count="1" selected="0">
            <x v="4"/>
          </reference>
          <reference field="87" count="1">
            <x v="1608"/>
          </reference>
        </references>
      </pivotArea>
    </format>
    <format dxfId="672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221"/>
          </reference>
          <reference field="82" count="1" selected="0">
            <x v="675"/>
          </reference>
          <reference field="85" count="1" selected="0">
            <x v="4"/>
          </reference>
          <reference field="87" count="1">
            <x v="1603"/>
          </reference>
        </references>
      </pivotArea>
    </format>
    <format dxfId="672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selected="0">
            <x v="0"/>
          </reference>
          <reference field="87" count="1">
            <x v="1633"/>
          </reference>
        </references>
      </pivotArea>
    </format>
    <format dxfId="672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selected="0">
            <x v="707"/>
          </reference>
          <reference field="85" count="1" selected="0">
            <x v="0"/>
          </reference>
          <reference field="87" count="1">
            <x v="1634"/>
          </reference>
        </references>
      </pivotArea>
    </format>
    <format dxfId="672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3"/>
          </reference>
          <reference field="82" count="1" selected="0">
            <x v="708"/>
          </reference>
          <reference field="85" count="1" selected="0">
            <x v="0"/>
          </reference>
          <reference field="87" count="1">
            <x v="1635"/>
          </reference>
        </references>
      </pivotArea>
    </format>
    <format dxfId="672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selected="0">
            <x v="705"/>
          </reference>
          <reference field="85" count="1" selected="0">
            <x v="0"/>
          </reference>
          <reference field="87" count="1">
            <x v="1632"/>
          </reference>
        </references>
      </pivotArea>
    </format>
    <format dxfId="6722">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6"/>
          </reference>
          <reference field="82" count="1" selected="0">
            <x v="629"/>
          </reference>
          <reference field="85" count="1" selected="0">
            <x v="7"/>
          </reference>
          <reference field="87" count="1">
            <x v="1557"/>
          </reference>
        </references>
      </pivotArea>
    </format>
    <format dxfId="672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1"/>
          </reference>
          <reference field="82" count="1" selected="0">
            <x v="776"/>
          </reference>
          <reference field="85" count="1" selected="0">
            <x v="7"/>
          </reference>
          <reference field="87" count="1">
            <x v="1703"/>
          </reference>
        </references>
      </pivotArea>
    </format>
    <format dxfId="6720">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2"/>
          </reference>
          <reference field="82" count="1" selected="0">
            <x v="777"/>
          </reference>
          <reference field="85" count="1" selected="0">
            <x v="7"/>
          </reference>
          <reference field="87" count="1">
            <x v="1704"/>
          </reference>
        </references>
      </pivotArea>
    </format>
    <format dxfId="671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 field="85" count="1" selected="0">
            <x v="0"/>
          </reference>
          <reference field="87" count="1">
            <x v="1477"/>
          </reference>
        </references>
      </pivotArea>
    </format>
    <format dxfId="671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48"/>
          </reference>
          <reference field="82" count="1" selected="0">
            <x v="703"/>
          </reference>
          <reference field="85" count="1" selected="0">
            <x v="0"/>
          </reference>
          <reference field="87" count="1">
            <x v="1630"/>
          </reference>
        </references>
      </pivotArea>
    </format>
    <format dxfId="671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49"/>
          </reference>
          <reference field="82" count="1" selected="0">
            <x v="704"/>
          </reference>
          <reference field="85" count="1" selected="0">
            <x v="0"/>
          </reference>
          <reference field="87" count="1">
            <x v="1631"/>
          </reference>
        </references>
      </pivotArea>
    </format>
    <format dxfId="671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5"/>
          </reference>
          <reference field="82" count="1" selected="0">
            <x v="780"/>
          </reference>
          <reference field="85" count="1" selected="0">
            <x v="7"/>
          </reference>
          <reference field="87" count="1">
            <x v="1707"/>
          </reference>
        </references>
      </pivotArea>
    </format>
    <format dxfId="6715">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6"/>
          </reference>
          <reference field="82" count="1" selected="0">
            <x v="781"/>
          </reference>
          <reference field="85" count="1" selected="0">
            <x v="7"/>
          </reference>
          <reference field="87" count="1">
            <x v="1708"/>
          </reference>
        </references>
      </pivotArea>
    </format>
    <format dxfId="671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5"/>
          </reference>
          <reference field="82" count="1" selected="0">
            <x v="860"/>
          </reference>
          <reference field="85" count="1" selected="0">
            <x v="4"/>
          </reference>
          <reference field="87" count="1">
            <x v="1787"/>
          </reference>
        </references>
      </pivotArea>
    </format>
    <format dxfId="671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6"/>
          </reference>
          <reference field="82" count="1" selected="0">
            <x v="861"/>
          </reference>
          <reference field="85" count="1" selected="0">
            <x v="4"/>
          </reference>
          <reference field="87" count="1">
            <x v="1788"/>
          </reference>
        </references>
      </pivotArea>
    </format>
    <format dxfId="671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7"/>
          </reference>
          <reference field="82" count="1" selected="0">
            <x v="862"/>
          </reference>
          <reference field="85" count="1" selected="0">
            <x v="4"/>
          </reference>
          <reference field="87" count="1">
            <x v="1789"/>
          </reference>
        </references>
      </pivotArea>
    </format>
    <format dxfId="671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8"/>
          </reference>
          <reference field="82" count="1" selected="0">
            <x v="863"/>
          </reference>
          <reference field="85" count="1" selected="0">
            <x v="4"/>
          </reference>
          <reference field="87" count="1">
            <x v="1790"/>
          </reference>
        </references>
      </pivotArea>
    </format>
    <format dxfId="671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x v="1711"/>
          </reference>
        </references>
      </pivotArea>
    </format>
    <format dxfId="6709">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30"/>
          </reference>
          <reference field="82" count="1" selected="0">
            <x v="785"/>
          </reference>
          <reference field="85" count="1" selected="0">
            <x v="7"/>
          </reference>
          <reference field="87" count="1">
            <x v="1712"/>
          </reference>
        </references>
      </pivotArea>
    </format>
    <format dxfId="6708">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8"/>
          </reference>
          <reference field="82" count="1" selected="0">
            <x v="713"/>
          </reference>
          <reference field="85" count="1" selected="0">
            <x v="0"/>
          </reference>
          <reference field="87" count="1">
            <x v="1640"/>
          </reference>
        </references>
      </pivotArea>
    </format>
    <format dxfId="670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265"/>
          </reference>
          <reference field="82" count="1" selected="0">
            <x v="720"/>
          </reference>
          <reference field="85" count="1" selected="0">
            <x v="0"/>
          </reference>
          <reference field="87" count="1">
            <x v="1647"/>
          </reference>
        </references>
      </pivotArea>
    </format>
    <format dxfId="670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266"/>
          </reference>
          <reference field="82" count="1" selected="0">
            <x v="721"/>
          </reference>
          <reference field="85" count="1" selected="0">
            <x v="0"/>
          </reference>
          <reference field="87" count="1">
            <x v="1648"/>
          </reference>
        </references>
      </pivotArea>
    </format>
    <format dxfId="670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267"/>
          </reference>
          <reference field="82" count="1" selected="0">
            <x v="722"/>
          </reference>
          <reference field="85" count="1" selected="0">
            <x v="0"/>
          </reference>
          <reference field="87" count="1">
            <x v="1649"/>
          </reference>
        </references>
      </pivotArea>
    </format>
    <format dxfId="6704">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73"/>
          </reference>
          <reference field="82" count="1" selected="0">
            <x v="626"/>
          </reference>
          <reference field="85" count="1" selected="0">
            <x v="7"/>
          </reference>
          <reference field="87" count="1">
            <x v="1554"/>
          </reference>
        </references>
      </pivotArea>
    </format>
    <format dxfId="670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157"/>
          </reference>
          <reference field="82" count="1" selected="0">
            <x v="609"/>
          </reference>
          <reference field="85" count="1" selected="0">
            <x v="7"/>
          </reference>
          <reference field="87" count="1">
            <x v="1538"/>
          </reference>
        </references>
      </pivotArea>
    </format>
    <format dxfId="6702">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58"/>
          </reference>
          <reference field="82" count="1" selected="0">
            <x v="610"/>
          </reference>
          <reference field="85" count="1" selected="0">
            <x v="7"/>
          </reference>
          <reference field="87" count="1">
            <x v="1539"/>
          </reference>
        </references>
      </pivotArea>
    </format>
    <format dxfId="670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59"/>
          </reference>
          <reference field="82" count="1" selected="0">
            <x v="714"/>
          </reference>
          <reference field="85" count="1" selected="0">
            <x v="0"/>
          </reference>
          <reference field="87" count="1">
            <x v="1641"/>
          </reference>
        </references>
      </pivotArea>
    </format>
    <format dxfId="670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60"/>
          </reference>
          <reference field="82" count="1" selected="0">
            <x v="715"/>
          </reference>
          <reference field="85" count="1" selected="0">
            <x v="0"/>
          </reference>
          <reference field="87" count="1">
            <x v="1642"/>
          </reference>
        </references>
      </pivotArea>
    </format>
    <format dxfId="669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61"/>
          </reference>
          <reference field="82" count="1" selected="0">
            <x v="716"/>
          </reference>
          <reference field="85" count="1" selected="0">
            <x v="0"/>
          </reference>
          <reference field="87" count="1">
            <x v="1643"/>
          </reference>
        </references>
      </pivotArea>
    </format>
    <format dxfId="669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1"/>
          </reference>
          <reference field="82" count="1" selected="0">
            <x v="786"/>
          </reference>
          <reference field="85" count="1" selected="0">
            <x v="7"/>
          </reference>
          <reference field="87" count="1">
            <x v="1713"/>
          </reference>
        </references>
      </pivotArea>
    </format>
    <format dxfId="6697">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332"/>
          </reference>
          <reference field="82" count="1" selected="0">
            <x v="787"/>
          </reference>
          <reference field="85" count="1" selected="0">
            <x v="7"/>
          </reference>
          <reference field="87" count="1">
            <x v="1714"/>
          </reference>
        </references>
      </pivotArea>
    </format>
    <format dxfId="6696">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78"/>
          </reference>
          <reference field="82" count="1" selected="0">
            <x v="631"/>
          </reference>
          <reference field="85" count="1" selected="0">
            <x v="7"/>
          </reference>
          <reference field="87" count="1">
            <x v="1559"/>
          </reference>
        </references>
      </pivotArea>
    </format>
    <format dxfId="669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62"/>
          </reference>
          <reference field="82" count="1" selected="0">
            <x v="717"/>
          </reference>
          <reference field="85" count="1" selected="0">
            <x v="0"/>
          </reference>
          <reference field="87" count="1">
            <x v="1644"/>
          </reference>
        </references>
      </pivotArea>
    </format>
    <format dxfId="669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63"/>
          </reference>
          <reference field="82" count="1" selected="0">
            <x v="718"/>
          </reference>
          <reference field="85" count="1" selected="0">
            <x v="0"/>
          </reference>
          <reference field="87" count="1">
            <x v="1645"/>
          </reference>
        </references>
      </pivotArea>
    </format>
    <format dxfId="669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64"/>
          </reference>
          <reference field="82" count="1" selected="0">
            <x v="719"/>
          </reference>
          <reference field="85" count="1" selected="0">
            <x v="0"/>
          </reference>
          <reference field="87" count="1">
            <x v="1646"/>
          </reference>
        </references>
      </pivotArea>
    </format>
    <format dxfId="6692">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 field="85" count="1" selected="0">
            <x v="7"/>
          </reference>
          <reference field="87" count="1">
            <x v="1720"/>
          </reference>
        </references>
      </pivotArea>
    </format>
    <format dxfId="669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71"/>
          </reference>
          <reference field="82" count="1" selected="0">
            <x v="726"/>
          </reference>
          <reference field="85" count="1" selected="0">
            <x v="0"/>
          </reference>
          <reference field="87" count="1">
            <x v="1653"/>
          </reference>
        </references>
      </pivotArea>
    </format>
    <format dxfId="669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272"/>
          </reference>
          <reference field="82" count="1" selected="0">
            <x v="727"/>
          </reference>
          <reference field="85" count="1" selected="0">
            <x v="0"/>
          </reference>
          <reference field="87" count="1">
            <x v="1654"/>
          </reference>
        </references>
      </pivotArea>
    </format>
    <format dxfId="668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273"/>
          </reference>
          <reference field="82" count="1" selected="0">
            <x v="728"/>
          </reference>
          <reference field="85" count="1" selected="0">
            <x v="0"/>
          </reference>
          <reference field="87" count="1">
            <x v="1655"/>
          </reference>
        </references>
      </pivotArea>
    </format>
    <format dxfId="668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50"/>
          </reference>
          <reference field="82" count="1" selected="0">
            <x v="602"/>
          </reference>
          <reference field="85" count="1" selected="0">
            <x v="7"/>
          </reference>
          <reference field="87" count="1">
            <x v="1531"/>
          </reference>
        </references>
      </pivotArea>
    </format>
    <format dxfId="6687">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1"/>
          </reference>
          <reference field="82" count="1" selected="0">
            <x v="603"/>
          </reference>
          <reference field="85" count="1" selected="0">
            <x v="7"/>
          </reference>
          <reference field="87" count="1">
            <x v="1532"/>
          </reference>
        </references>
      </pivotArea>
    </format>
    <format dxfId="668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211"/>
          </reference>
          <reference field="82" count="1" selected="0">
            <x v="665"/>
          </reference>
          <reference field="85" count="1" selected="0">
            <x v="4"/>
          </reference>
          <reference field="87" count="1">
            <x v="1593"/>
          </reference>
        </references>
      </pivotArea>
    </format>
    <format dxfId="668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212"/>
          </reference>
          <reference field="82" count="1" selected="0">
            <x v="666"/>
          </reference>
          <reference field="85" count="1" selected="0">
            <x v="4"/>
          </reference>
          <reference field="87" count="1">
            <x v="1594"/>
          </reference>
        </references>
      </pivotArea>
    </format>
    <format dxfId="668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209"/>
          </reference>
          <reference field="82" count="1" selected="0">
            <x v="663"/>
          </reference>
          <reference field="85" count="1" selected="0">
            <x v="4"/>
          </reference>
          <reference field="87" count="1">
            <x v="1591"/>
          </reference>
        </references>
      </pivotArea>
    </format>
    <format dxfId="668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210"/>
          </reference>
          <reference field="82" count="1" selected="0">
            <x v="664"/>
          </reference>
          <reference field="85" count="1" selected="0">
            <x v="4"/>
          </reference>
          <reference field="87" count="1">
            <x v="1592"/>
          </reference>
        </references>
      </pivotArea>
    </format>
    <format dxfId="668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68"/>
          </reference>
          <reference field="82" count="1" selected="0">
            <x v="723"/>
          </reference>
          <reference field="85" count="1" selected="0">
            <x v="0"/>
          </reference>
          <reference field="87" count="1">
            <x v="1650"/>
          </reference>
        </references>
      </pivotArea>
    </format>
    <format dxfId="668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269"/>
          </reference>
          <reference field="82" count="1" selected="0">
            <x v="724"/>
          </reference>
          <reference field="85" count="1" selected="0">
            <x v="0"/>
          </reference>
          <reference field="87" count="1">
            <x v="1651"/>
          </reference>
        </references>
      </pivotArea>
    </format>
    <format dxfId="668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270"/>
          </reference>
          <reference field="82" count="1" selected="0">
            <x v="725"/>
          </reference>
          <reference field="85" count="1" selected="0">
            <x v="0"/>
          </reference>
          <reference field="87" count="1">
            <x v="1652"/>
          </reference>
        </references>
      </pivotArea>
    </format>
    <format dxfId="6679">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52"/>
          </reference>
          <reference field="82" count="1" selected="0">
            <x v="807"/>
          </reference>
          <reference field="85" count="1" selected="0">
            <x v="7"/>
          </reference>
          <reference field="87" count="1">
            <x v="1734"/>
          </reference>
        </references>
      </pivotArea>
    </format>
    <format dxfId="6678">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66"/>
          </reference>
          <reference field="82" count="1" selected="0">
            <x v="618"/>
          </reference>
          <reference field="85" count="1" selected="0">
            <x v="7"/>
          </reference>
          <reference field="87" count="1">
            <x v="1547"/>
          </reference>
        </references>
      </pivotArea>
    </format>
    <format dxfId="667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234"/>
          </reference>
          <reference field="82" count="1" selected="0">
            <x v="689"/>
          </reference>
          <reference field="85" count="1" selected="0">
            <x v="0"/>
          </reference>
          <reference field="87" count="1">
            <x v="1616"/>
          </reference>
        </references>
      </pivotArea>
    </format>
    <format dxfId="667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233"/>
          </reference>
          <reference field="82" count="1" selected="0">
            <x v="688"/>
          </reference>
          <reference field="85" count="1" selected="0">
            <x v="0"/>
          </reference>
          <reference field="87" count="1">
            <x v="1615"/>
          </reference>
        </references>
      </pivotArea>
    </format>
    <format dxfId="667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235"/>
          </reference>
          <reference field="82" count="1" selected="0">
            <x v="690"/>
          </reference>
          <reference field="85" count="1" selected="0">
            <x v="0"/>
          </reference>
          <reference field="87" count="1">
            <x v="1617"/>
          </reference>
        </references>
      </pivotArea>
    </format>
    <format dxfId="667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74"/>
          </reference>
          <reference field="82" count="1" selected="0">
            <x v="627"/>
          </reference>
          <reference field="85" count="1" selected="0">
            <x v="7"/>
          </reference>
          <reference field="87" count="1">
            <x v="1555"/>
          </reference>
        </references>
      </pivotArea>
    </format>
    <format dxfId="6673">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65"/>
          </reference>
          <reference field="82" count="1" selected="0">
            <x v="617"/>
          </reference>
          <reference field="85" count="1" selected="0">
            <x v="7"/>
          </reference>
          <reference field="87" count="1">
            <x v="1546"/>
          </reference>
        </references>
      </pivotArea>
    </format>
    <format dxfId="667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215"/>
          </reference>
          <reference field="82" count="1" selected="0">
            <x v="669"/>
          </reference>
          <reference field="85" count="1" selected="0">
            <x v="4"/>
          </reference>
          <reference field="87" count="1">
            <x v="1597"/>
          </reference>
        </references>
      </pivotArea>
    </format>
    <format dxfId="667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216"/>
          </reference>
          <reference field="82" count="1" selected="0">
            <x v="670"/>
          </reference>
          <reference field="85" count="1" selected="0">
            <x v="4"/>
          </reference>
          <reference field="87" count="1">
            <x v="1598"/>
          </reference>
        </references>
      </pivotArea>
    </format>
    <format dxfId="667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213"/>
          </reference>
          <reference field="82" count="1" selected="0">
            <x v="667"/>
          </reference>
          <reference field="85" count="1" selected="0">
            <x v="4"/>
          </reference>
          <reference field="87" count="1">
            <x v="1595"/>
          </reference>
        </references>
      </pivotArea>
    </format>
    <format dxfId="666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214"/>
          </reference>
          <reference field="82" count="1" selected="0">
            <x v="668"/>
          </reference>
          <reference field="85" count="1" selected="0">
            <x v="4"/>
          </reference>
          <reference field="87" count="1">
            <x v="1596"/>
          </reference>
        </references>
      </pivotArea>
    </format>
    <format dxfId="666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0"/>
          </reference>
          <reference field="82" count="1" selected="0">
            <x v="685"/>
          </reference>
          <reference field="85" count="1" selected="0">
            <x v="0"/>
          </reference>
          <reference field="87" count="1">
            <x v="1612"/>
          </reference>
        </references>
      </pivotArea>
    </format>
    <format dxfId="666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31"/>
          </reference>
          <reference field="82" count="1" selected="0">
            <x v="686"/>
          </reference>
          <reference field="85" count="1" selected="0">
            <x v="0"/>
          </reference>
          <reference field="87" count="1">
            <x v="1613"/>
          </reference>
        </references>
      </pivotArea>
    </format>
    <format dxfId="666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32"/>
          </reference>
          <reference field="82" count="1" selected="0">
            <x v="687"/>
          </reference>
          <reference field="85" count="1" selected="0">
            <x v="0"/>
          </reference>
          <reference field="87" count="1">
            <x v="1614"/>
          </reference>
        </references>
      </pivotArea>
    </format>
    <format dxfId="6665">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44"/>
          </reference>
          <reference field="82" count="1" selected="0">
            <x v="799"/>
          </reference>
          <reference field="85" count="1" selected="0">
            <x v="7"/>
          </reference>
          <reference field="87" count="1">
            <x v="1726"/>
          </reference>
        </references>
      </pivotArea>
    </format>
    <format dxfId="666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6"/>
          </reference>
          <reference field="82" count="1" selected="0">
            <x v="691"/>
          </reference>
          <reference field="85" count="1" selected="0">
            <x v="0"/>
          </reference>
          <reference field="87" count="1">
            <x v="1618"/>
          </reference>
        </references>
      </pivotArea>
    </format>
    <format dxfId="666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37"/>
          </reference>
          <reference field="82" count="1" selected="0">
            <x v="692"/>
          </reference>
          <reference field="85" count="1" selected="0">
            <x v="0"/>
          </reference>
          <reference field="87" count="1">
            <x v="1619"/>
          </reference>
        </references>
      </pivotArea>
    </format>
    <format dxfId="666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38"/>
          </reference>
          <reference field="82" count="1" selected="0">
            <x v="693"/>
          </reference>
          <reference field="85" count="1" selected="0">
            <x v="0"/>
          </reference>
          <reference field="87" count="1">
            <x v="1620"/>
          </reference>
        </references>
      </pivotArea>
    </format>
    <format dxfId="666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59"/>
          </reference>
          <reference field="82" count="1" selected="0">
            <x v="611"/>
          </reference>
          <reference field="85" count="1" selected="0">
            <x v="7"/>
          </reference>
          <reference field="87" count="1">
            <x v="1540"/>
          </reference>
        </references>
      </pivotArea>
    </format>
    <format dxfId="6660">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60"/>
          </reference>
          <reference field="82" count="1" selected="0">
            <x v="612"/>
          </reference>
          <reference field="85" count="1" selected="0">
            <x v="7"/>
          </reference>
          <reference field="87" count="1">
            <x v="1541"/>
          </reference>
        </references>
      </pivotArea>
    </format>
    <format dxfId="665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39"/>
          </reference>
          <reference field="82" count="1" selected="0">
            <x v="694"/>
          </reference>
          <reference field="85" count="1" selected="0">
            <x v="0"/>
          </reference>
          <reference field="87" count="1">
            <x v="1621"/>
          </reference>
        </references>
      </pivotArea>
    </format>
    <format dxfId="665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240"/>
          </reference>
          <reference field="82" count="1" selected="0">
            <x v="695"/>
          </reference>
          <reference field="85" count="1" selected="0">
            <x v="0"/>
          </reference>
          <reference field="87" count="1">
            <x v="1622"/>
          </reference>
        </references>
      </pivotArea>
    </format>
    <format dxfId="665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41"/>
          </reference>
          <reference field="82" count="1" selected="0">
            <x v="696"/>
          </reference>
          <reference field="85" count="1" selected="0">
            <x v="0"/>
          </reference>
          <reference field="87" count="1">
            <x v="1623"/>
          </reference>
        </references>
      </pivotArea>
    </format>
    <format dxfId="665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98"/>
          </reference>
          <reference field="82" count="1" selected="0">
            <x v="753"/>
          </reference>
          <reference field="85" count="1" selected="0">
            <x v="2"/>
          </reference>
          <reference field="87" count="1">
            <x v="1680"/>
          </reference>
        </references>
      </pivotArea>
    </format>
    <format dxfId="665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297"/>
          </reference>
          <reference field="82" count="1" selected="0">
            <x v="752"/>
          </reference>
          <reference field="85" count="1" selected="0">
            <x v="2"/>
          </reference>
          <reference field="87" count="1">
            <x v="1679"/>
          </reference>
        </references>
      </pivotArea>
    </format>
    <format dxfId="665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299"/>
          </reference>
          <reference field="82" count="1" selected="0">
            <x v="754"/>
          </reference>
          <reference field="85" count="1" selected="0">
            <x v="2"/>
          </reference>
          <reference field="87" count="1">
            <x v="1681"/>
          </reference>
        </references>
      </pivotArea>
    </format>
    <format dxfId="665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42"/>
          </reference>
          <reference field="82" count="1" selected="0">
            <x v="697"/>
          </reference>
          <reference field="85" count="1" selected="0">
            <x v="0"/>
          </reference>
          <reference field="87" count="1">
            <x v="1624"/>
          </reference>
        </references>
      </pivotArea>
    </format>
    <format dxfId="665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selected="0">
            <x v="538"/>
          </reference>
          <reference field="85" count="1" selected="0">
            <x v="0"/>
          </reference>
          <reference field="87" count="1">
            <x v="1472"/>
          </reference>
        </references>
      </pivotArea>
    </format>
    <format dxfId="665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43"/>
          </reference>
          <reference field="82" count="1" selected="0">
            <x v="698"/>
          </reference>
          <reference field="85" count="1" selected="0">
            <x v="0"/>
          </reference>
          <reference field="87" count="1">
            <x v="1625"/>
          </reference>
        </references>
      </pivotArea>
    </format>
    <format dxfId="6650">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35"/>
          </reference>
          <reference field="82" count="1" selected="0">
            <x v="790"/>
          </reference>
          <reference field="85" count="1" selected="0">
            <x v="7"/>
          </reference>
          <reference field="87" count="1">
            <x v="1717"/>
          </reference>
        </references>
      </pivotArea>
    </format>
    <format dxfId="664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38"/>
          </reference>
          <reference field="82" count="1" selected="0">
            <x v="893"/>
          </reference>
          <reference field="85" count="1" selected="0">
            <x v="4"/>
          </reference>
          <reference field="87" count="1">
            <x v="1820"/>
          </reference>
        </references>
      </pivotArea>
    </format>
    <format dxfId="664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39"/>
          </reference>
          <reference field="82" count="1" selected="0">
            <x v="894"/>
          </reference>
          <reference field="85" count="1" selected="0">
            <x v="4"/>
          </reference>
          <reference field="87" count="1">
            <x v="1821"/>
          </reference>
        </references>
      </pivotArea>
    </format>
    <format dxfId="664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40"/>
          </reference>
          <reference field="82" count="1" selected="0">
            <x v="895"/>
          </reference>
          <reference field="85" count="1" selected="0">
            <x v="4"/>
          </reference>
          <reference field="87" count="1">
            <x v="1822"/>
          </reference>
        </references>
      </pivotArea>
    </format>
    <format dxfId="664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41"/>
          </reference>
          <reference field="82" count="1" selected="0">
            <x v="896"/>
          </reference>
          <reference field="85" count="1" selected="0">
            <x v="4"/>
          </reference>
          <reference field="87" count="1">
            <x v="1823"/>
          </reference>
        </references>
      </pivotArea>
    </format>
    <format dxfId="664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62"/>
          </reference>
          <reference field="82" count="1" selected="0">
            <x v="817"/>
          </reference>
          <reference field="85" count="1" selected="0">
            <x v="4"/>
          </reference>
          <reference field="87" count="1">
            <x v="1744"/>
          </reference>
        </references>
      </pivotArea>
    </format>
    <format dxfId="664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63"/>
          </reference>
          <reference field="82" count="1" selected="0">
            <x v="818"/>
          </reference>
          <reference field="85" count="1" selected="0">
            <x v="4"/>
          </reference>
          <reference field="87" count="1">
            <x v="1745"/>
          </reference>
        </references>
      </pivotArea>
    </format>
    <format dxfId="664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64"/>
          </reference>
          <reference field="82" count="1" selected="0">
            <x v="819"/>
          </reference>
          <reference field="85" count="1" selected="0">
            <x v="4"/>
          </reference>
          <reference field="87" count="1">
            <x v="1746"/>
          </reference>
        </references>
      </pivotArea>
    </format>
    <format dxfId="664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65"/>
          </reference>
          <reference field="82" count="1" selected="0">
            <x v="820"/>
          </reference>
          <reference field="85" count="1" selected="0">
            <x v="4"/>
          </reference>
          <reference field="87" count="1">
            <x v="1747"/>
          </reference>
        </references>
      </pivotArea>
    </format>
    <format dxfId="664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39"/>
          </reference>
          <reference field="82" count="1" selected="0">
            <x v="591"/>
          </reference>
          <reference field="85" count="1" selected="0">
            <x v="3"/>
          </reference>
          <reference field="87" count="1">
            <x v="1520"/>
          </reference>
        </references>
      </pivotArea>
    </format>
    <format dxfId="664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138"/>
          </reference>
          <reference field="82" count="1" selected="0">
            <x v="590"/>
          </reference>
          <reference field="85" count="1" selected="0">
            <x v="3"/>
          </reference>
          <reference field="87" count="1">
            <x v="1519"/>
          </reference>
        </references>
      </pivotArea>
    </format>
    <format dxfId="663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8"/>
          </reference>
          <reference field="82" count="1" selected="0">
            <x v="813"/>
          </reference>
          <reference field="85" count="1" selected="0">
            <x v="4"/>
          </reference>
          <reference field="87" count="1">
            <x v="1740"/>
          </reference>
        </references>
      </pivotArea>
    </format>
    <format dxfId="663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9"/>
          </reference>
          <reference field="82" count="1" selected="0">
            <x v="814"/>
          </reference>
          <reference field="85" count="1" selected="0">
            <x v="4"/>
          </reference>
          <reference field="87" count="1">
            <x v="1741"/>
          </reference>
        </references>
      </pivotArea>
    </format>
    <format dxfId="663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60"/>
          </reference>
          <reference field="82" count="1" selected="0">
            <x v="815"/>
          </reference>
          <reference field="85" count="1" selected="0">
            <x v="4"/>
          </reference>
          <reference field="87" count="1">
            <x v="1742"/>
          </reference>
        </references>
      </pivotArea>
    </format>
    <format dxfId="663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61"/>
          </reference>
          <reference field="82" count="1" selected="0">
            <x v="816"/>
          </reference>
          <reference field="85" count="1" selected="0">
            <x v="4"/>
          </reference>
          <reference field="87" count="1">
            <x v="1743"/>
          </reference>
        </references>
      </pivotArea>
    </format>
    <format dxfId="663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4"/>
          </reference>
          <reference field="82" count="1" selected="0">
            <x v="809"/>
          </reference>
          <reference field="85" count="1" selected="0">
            <x v="4"/>
          </reference>
          <reference field="87" count="1">
            <x v="1736"/>
          </reference>
        </references>
      </pivotArea>
    </format>
    <format dxfId="663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5"/>
          </reference>
          <reference field="82" count="1" selected="0">
            <x v="810"/>
          </reference>
          <reference field="85" count="1" selected="0">
            <x v="4"/>
          </reference>
          <reference field="87" count="1">
            <x v="1737"/>
          </reference>
        </references>
      </pivotArea>
    </format>
    <format dxfId="663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6"/>
          </reference>
          <reference field="82" count="1" selected="0">
            <x v="811"/>
          </reference>
          <reference field="85" count="1" selected="0">
            <x v="4"/>
          </reference>
          <reference field="87" count="1">
            <x v="1738"/>
          </reference>
        </references>
      </pivotArea>
    </format>
    <format dxfId="663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7"/>
          </reference>
          <reference field="82" count="1" selected="0">
            <x v="812"/>
          </reference>
          <reference field="85" count="1" selected="0">
            <x v="4"/>
          </reference>
          <reference field="87" count="1">
            <x v="1739"/>
          </reference>
        </references>
      </pivotArea>
    </format>
    <format dxfId="663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75"/>
          </reference>
          <reference field="82" count="1" selected="0">
            <x v="730"/>
          </reference>
          <reference field="85" count="1" selected="0">
            <x v="0"/>
          </reference>
          <reference field="87" count="1">
            <x v="1657"/>
          </reference>
        </references>
      </pivotArea>
    </format>
    <format dxfId="663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276"/>
          </reference>
          <reference field="82" count="1" selected="0">
            <x v="731"/>
          </reference>
          <reference field="85" count="1" selected="0">
            <x v="0"/>
          </reference>
          <reference field="87" count="1">
            <x v="1658"/>
          </reference>
        </references>
      </pivotArea>
    </format>
    <format dxfId="662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274"/>
          </reference>
          <reference field="82" count="1" selected="0">
            <x v="729"/>
          </reference>
          <reference field="85" count="1" selected="0">
            <x v="0"/>
          </reference>
          <reference field="87" count="1">
            <x v="1656"/>
          </reference>
        </references>
      </pivotArea>
    </format>
    <format dxfId="662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52"/>
          </reference>
          <reference field="82" count="1" selected="0">
            <x v="604"/>
          </reference>
          <reference field="85" count="1" selected="0">
            <x v="7"/>
          </reference>
          <reference field="87" count="1">
            <x v="1533"/>
          </reference>
        </references>
      </pivotArea>
    </format>
    <format dxfId="662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53"/>
          </reference>
          <reference field="82" count="1" selected="0">
            <x v="605"/>
          </reference>
          <reference field="85" count="1" selected="0">
            <x v="7"/>
          </reference>
          <reference field="87" count="1">
            <x v="1534"/>
          </reference>
        </references>
      </pivotArea>
    </format>
    <format dxfId="662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selected="0">
            <x v="606"/>
          </reference>
          <reference field="85" count="1" selected="0">
            <x v="7"/>
          </reference>
          <reference field="87" count="1">
            <x v="1535"/>
          </reference>
        </references>
      </pivotArea>
    </format>
    <format dxfId="662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205"/>
          </reference>
          <reference field="82" count="1" selected="0">
            <x v="659"/>
          </reference>
          <reference field="85" count="1" selected="0">
            <x v="4"/>
          </reference>
          <reference field="87" count="1">
            <x v="1587"/>
          </reference>
        </references>
      </pivotArea>
    </format>
    <format dxfId="662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206"/>
          </reference>
          <reference field="82" count="1" selected="0">
            <x v="660"/>
          </reference>
          <reference field="85" count="1" selected="0">
            <x v="4"/>
          </reference>
          <reference field="87" count="1">
            <x v="1588"/>
          </reference>
        </references>
      </pivotArea>
    </format>
    <format dxfId="662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207"/>
          </reference>
          <reference field="82" count="1" selected="0">
            <x v="661"/>
          </reference>
          <reference field="85" count="1" selected="0">
            <x v="4"/>
          </reference>
          <reference field="87" count="1">
            <x v="1589"/>
          </reference>
        </references>
      </pivotArea>
    </format>
    <format dxfId="662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208"/>
          </reference>
          <reference field="82" count="1" selected="0">
            <x v="662"/>
          </reference>
          <reference field="85" count="1" selected="0">
            <x v="4"/>
          </reference>
          <reference field="87" count="1">
            <x v="1590"/>
          </reference>
        </references>
      </pivotArea>
    </format>
    <format dxfId="662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86"/>
          </reference>
          <reference field="82" count="1" selected="0">
            <x v="741"/>
          </reference>
          <reference field="85" count="1" selected="0">
            <x v="0"/>
          </reference>
          <reference field="87" count="1">
            <x v="1668"/>
          </reference>
        </references>
      </pivotArea>
    </format>
    <format dxfId="662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287"/>
          </reference>
          <reference field="82" count="1" selected="0">
            <x v="742"/>
          </reference>
          <reference field="85" count="1" selected="0">
            <x v="0"/>
          </reference>
          <reference field="87" count="1">
            <x v="1669"/>
          </reference>
        </references>
      </pivotArea>
    </format>
    <format dxfId="661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288"/>
          </reference>
          <reference field="82" count="1" selected="0">
            <x v="743"/>
          </reference>
          <reference field="85" count="1" selected="0">
            <x v="0"/>
          </reference>
          <reference field="87" count="1">
            <x v="1670"/>
          </reference>
        </references>
      </pivotArea>
    </format>
    <format dxfId="661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50"/>
          </reference>
          <reference field="82" count="1" selected="0">
            <x v="805"/>
          </reference>
          <reference field="85" count="1" selected="0">
            <x v="7"/>
          </reference>
          <reference field="87" count="1">
            <x v="1732"/>
          </reference>
        </references>
      </pivotArea>
    </format>
    <format dxfId="661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51"/>
          </reference>
          <reference field="82" count="1" selected="0">
            <x v="806"/>
          </reference>
          <reference field="85" count="1" selected="0">
            <x v="7"/>
          </reference>
          <reference field="87" count="1">
            <x v="1733"/>
          </reference>
        </references>
      </pivotArea>
    </format>
    <format dxfId="661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8"/>
          </reference>
          <reference field="82" count="1" selected="0">
            <x v="600"/>
          </reference>
          <reference field="85" count="1" selected="0">
            <x v="3"/>
          </reference>
          <reference field="87" count="1">
            <x v="1529"/>
          </reference>
        </references>
      </pivotArea>
    </format>
    <format dxfId="661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1"/>
          </reference>
          <reference field="82" count="1" selected="0">
            <x v="613"/>
          </reference>
          <reference field="85" count="1" selected="0">
            <x v="7"/>
          </reference>
          <reference field="87" count="1">
            <x v="1542"/>
          </reference>
        </references>
      </pivotArea>
    </format>
    <format dxfId="661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62"/>
          </reference>
          <reference field="82" count="1" selected="0">
            <x v="614"/>
          </reference>
          <reference field="85" count="1" selected="0">
            <x v="7"/>
          </reference>
          <reference field="87" count="1">
            <x v="1543"/>
          </reference>
        </references>
      </pivotArea>
    </format>
    <format dxfId="661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55"/>
          </reference>
          <reference field="82" count="1" selected="0">
            <x v="607"/>
          </reference>
          <reference field="85" count="1" selected="0">
            <x v="7"/>
          </reference>
          <reference field="87" count="1">
            <x v="1536"/>
          </reference>
        </references>
      </pivotArea>
    </format>
    <format dxfId="661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56"/>
          </reference>
          <reference field="82" count="1" selected="0">
            <x v="608"/>
          </reference>
          <reference field="85" count="1" selected="0">
            <x v="7"/>
          </reference>
          <reference field="87" count="1">
            <x v="1537"/>
          </reference>
        </references>
      </pivotArea>
    </format>
    <format dxfId="661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selected="0">
            <x v="606"/>
          </reference>
          <reference field="85" count="1" selected="0">
            <x v="7"/>
          </reference>
          <reference field="87" count="1">
            <x v="1535"/>
          </reference>
        </references>
      </pivotArea>
    </format>
    <format dxfId="661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202"/>
          </reference>
          <reference field="82" count="1" selected="0">
            <x v="655"/>
          </reference>
          <reference field="85" count="1" selected="0">
            <x v="4"/>
          </reference>
          <reference field="87" count="1">
            <x v="1584"/>
          </reference>
        </references>
      </pivotArea>
    </format>
    <format dxfId="660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200"/>
          </reference>
          <reference field="82" count="1" selected="0">
            <x v="656"/>
          </reference>
          <reference field="85" count="1" selected="0">
            <x v="4"/>
          </reference>
          <reference field="87" count="1">
            <x v="1582"/>
          </reference>
        </references>
      </pivotArea>
    </format>
    <format dxfId="660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203"/>
          </reference>
          <reference field="82" count="1" selected="0">
            <x v="657"/>
          </reference>
          <reference field="85" count="1" selected="0">
            <x v="4"/>
          </reference>
          <reference field="87" count="1">
            <x v="1585"/>
          </reference>
        </references>
      </pivotArea>
    </format>
    <format dxfId="660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204"/>
          </reference>
          <reference field="82" count="1" selected="0">
            <x v="658"/>
          </reference>
          <reference field="85" count="1" selected="0">
            <x v="4"/>
          </reference>
          <reference field="87" count="1">
            <x v="1586"/>
          </reference>
        </references>
      </pivotArea>
    </format>
    <format dxfId="660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83"/>
          </reference>
          <reference field="82" count="1" selected="0">
            <x v="738"/>
          </reference>
          <reference field="85" count="1" selected="0">
            <x v="0"/>
          </reference>
          <reference field="87" count="1">
            <x v="1665"/>
          </reference>
        </references>
      </pivotArea>
    </format>
    <format dxfId="660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284"/>
          </reference>
          <reference field="82" count="1" selected="0">
            <x v="739"/>
          </reference>
          <reference field="85" count="1" selected="0">
            <x v="0"/>
          </reference>
          <reference field="87" count="1">
            <x v="1666"/>
          </reference>
        </references>
      </pivotArea>
    </format>
    <format dxfId="660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285"/>
          </reference>
          <reference field="82" count="1" selected="0">
            <x v="740"/>
          </reference>
          <reference field="85" count="1" selected="0">
            <x v="0"/>
          </reference>
          <reference field="87" count="1">
            <x v="1667"/>
          </reference>
        </references>
      </pivotArea>
    </format>
    <format dxfId="6603">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49"/>
          </reference>
          <reference field="82" count="1" selected="0">
            <x v="804"/>
          </reference>
          <reference field="85" count="1" selected="0">
            <x v="7"/>
          </reference>
          <reference field="87" count="1">
            <x v="1731"/>
          </reference>
        </references>
      </pivotArea>
    </format>
    <format dxfId="660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9"/>
          </reference>
          <reference field="82" count="1" selected="0">
            <x v="601"/>
          </reference>
          <reference field="85" count="1" selected="0">
            <x v="3"/>
          </reference>
          <reference field="87" count="1">
            <x v="1530"/>
          </reference>
        </references>
      </pivotArea>
    </format>
    <format dxfId="660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3"/>
          </reference>
          <reference field="82" count="1" selected="0">
            <x v="615"/>
          </reference>
          <reference field="85" count="1" selected="0">
            <x v="7"/>
          </reference>
          <reference field="87" count="1">
            <x v="1544"/>
          </reference>
        </references>
      </pivotArea>
    </format>
    <format dxfId="660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64"/>
          </reference>
          <reference field="82" count="1" selected="0">
            <x v="616"/>
          </reference>
          <reference field="85" count="1" selected="0">
            <x v="7"/>
          </reference>
          <reference field="87" count="1">
            <x v="1545"/>
          </reference>
        </references>
      </pivotArea>
    </format>
    <format dxfId="659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43"/>
          </reference>
          <reference field="82" count="1" selected="0">
            <x v="595"/>
          </reference>
          <reference field="85" count="1" selected="0">
            <x v="3"/>
          </reference>
          <reference field="87" count="1">
            <x v="1524"/>
          </reference>
        </references>
      </pivotArea>
    </format>
    <format dxfId="659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142"/>
          </reference>
          <reference field="82" count="1" selected="0">
            <x v="594"/>
          </reference>
          <reference field="85" count="1" selected="0">
            <x v="3"/>
          </reference>
          <reference field="87" count="1">
            <x v="1523"/>
          </reference>
        </references>
      </pivotArea>
    </format>
    <format dxfId="659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140"/>
          </reference>
          <reference field="82" count="1" selected="0">
            <x v="592"/>
          </reference>
          <reference field="85" count="1" selected="0">
            <x v="3"/>
          </reference>
          <reference field="87" count="1">
            <x v="1521"/>
          </reference>
        </references>
      </pivotArea>
    </format>
    <format dxfId="659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141"/>
          </reference>
          <reference field="82" count="1" selected="0">
            <x v="593"/>
          </reference>
          <reference field="85" count="1" selected="0">
            <x v="3"/>
          </reference>
          <reference field="87" count="1">
            <x v="1522"/>
          </reference>
        </references>
      </pivotArea>
    </format>
    <format dxfId="6595">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7"/>
          </reference>
          <reference field="82" count="1" selected="0">
            <x v="671"/>
          </reference>
          <reference field="85" count="1" selected="0">
            <x v="4"/>
          </reference>
          <reference field="87" count="1">
            <x v="1599"/>
          </reference>
        </references>
      </pivotArea>
    </format>
    <format dxfId="659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77"/>
          </reference>
          <reference field="82" count="1" selected="0">
            <x v="732"/>
          </reference>
          <reference field="85" count="1" selected="0">
            <x v="0"/>
          </reference>
          <reference field="87" count="1">
            <x v="1659"/>
          </reference>
        </references>
      </pivotArea>
    </format>
    <format dxfId="659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278"/>
          </reference>
          <reference field="82" count="1" selected="0">
            <x v="733"/>
          </reference>
          <reference field="85" count="1" selected="0">
            <x v="0"/>
          </reference>
          <reference field="87" count="1">
            <x v="1660"/>
          </reference>
        </references>
      </pivotArea>
    </format>
    <format dxfId="659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279"/>
          </reference>
          <reference field="82" count="1" selected="0">
            <x v="734"/>
          </reference>
          <reference field="85" count="1" selected="0">
            <x v="0"/>
          </reference>
          <reference field="87" count="1">
            <x v="1661"/>
          </reference>
        </references>
      </pivotArea>
    </format>
    <format dxfId="659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0"/>
          </reference>
          <reference field="82" count="1" selected="0">
            <x v="745"/>
          </reference>
          <reference field="85" count="1" selected="0">
            <x v="2"/>
          </reference>
          <reference field="87" count="1">
            <x v="1672"/>
          </reference>
        </references>
      </pivotArea>
    </format>
    <format dxfId="659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91"/>
          </reference>
          <reference field="82" count="1" selected="0">
            <x v="746"/>
          </reference>
          <reference field="85" count="1" selected="0">
            <x v="2"/>
          </reference>
          <reference field="87" count="1">
            <x v="1673"/>
          </reference>
        </references>
      </pivotArea>
    </format>
    <format dxfId="658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89"/>
          </reference>
          <reference field="82" count="1" selected="0">
            <x v="744"/>
          </reference>
          <reference field="85" count="1" selected="0">
            <x v="2"/>
          </reference>
          <reference field="87" count="1">
            <x v="1671"/>
          </reference>
        </references>
      </pivotArea>
    </format>
    <format dxfId="6588">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8"/>
          </reference>
          <reference field="82" count="1" selected="0">
            <x v="672"/>
          </reference>
          <reference field="85" count="1" selected="0">
            <x v="4"/>
          </reference>
          <reference field="87" count="1">
            <x v="1600"/>
          </reference>
        </references>
      </pivotArea>
    </format>
    <format dxfId="658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80"/>
          </reference>
          <reference field="82" count="1" selected="0">
            <x v="735"/>
          </reference>
          <reference field="85" count="1" selected="0">
            <x v="0"/>
          </reference>
          <reference field="87" count="1">
            <x v="1662"/>
          </reference>
        </references>
      </pivotArea>
    </format>
    <format dxfId="658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281"/>
          </reference>
          <reference field="82" count="1" selected="0">
            <x v="736"/>
          </reference>
          <reference field="85" count="1" selected="0">
            <x v="0"/>
          </reference>
          <reference field="87" count="1">
            <x v="1663"/>
          </reference>
        </references>
      </pivotArea>
    </format>
    <format dxfId="658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282"/>
          </reference>
          <reference field="82" count="1" selected="0">
            <x v="737"/>
          </reference>
          <reference field="85" count="1" selected="0">
            <x v="0"/>
          </reference>
          <reference field="87" count="1">
            <x v="1664"/>
          </reference>
        </references>
      </pivotArea>
    </format>
    <format dxfId="658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3"/>
          </reference>
          <reference field="82" count="1" selected="0">
            <x v="748"/>
          </reference>
          <reference field="85" count="1" selected="0">
            <x v="2"/>
          </reference>
          <reference field="87" count="1">
            <x v="1675"/>
          </reference>
        </references>
      </pivotArea>
    </format>
    <format dxfId="658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94"/>
          </reference>
          <reference field="82" count="1" selected="0">
            <x v="749"/>
          </reference>
          <reference field="85" count="1" selected="0">
            <x v="2"/>
          </reference>
          <reference field="87" count="1">
            <x v="1676"/>
          </reference>
        </references>
      </pivotArea>
    </format>
    <format dxfId="658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295"/>
          </reference>
          <reference field="82" count="1" selected="0">
            <x v="750"/>
          </reference>
          <reference field="85" count="1" selected="0">
            <x v="2"/>
          </reference>
          <reference field="87" count="1">
            <x v="1677"/>
          </reference>
        </references>
      </pivotArea>
    </format>
    <format dxfId="658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92"/>
          </reference>
          <reference field="82" count="1" selected="0">
            <x v="747"/>
          </reference>
          <reference field="85" count="1" selected="0">
            <x v="2"/>
          </reference>
          <reference field="87" count="1">
            <x v="1674"/>
          </reference>
        </references>
      </pivotArea>
    </format>
    <format dxfId="658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296"/>
          </reference>
          <reference field="82" count="1" selected="0">
            <x v="751"/>
          </reference>
          <reference field="85" count="1" selected="0">
            <x v="2"/>
          </reference>
          <reference field="87" count="1">
            <x v="1678"/>
          </reference>
        </references>
      </pivotArea>
    </format>
    <format dxfId="657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47"/>
          </reference>
          <reference field="82" count="1" selected="0">
            <x v="802"/>
          </reference>
          <reference field="85" count="1" selected="0">
            <x v="7"/>
          </reference>
          <reference field="87" count="1">
            <x v="1729"/>
          </reference>
        </references>
      </pivotArea>
    </format>
    <format dxfId="6578">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348"/>
          </reference>
          <reference field="82" count="1" selected="0">
            <x v="803"/>
          </reference>
          <reference field="85" count="1" selected="0">
            <x v="7"/>
          </reference>
          <reference field="87" count="1">
            <x v="1730"/>
          </reference>
        </references>
      </pivotArea>
    </format>
    <format dxfId="657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7"/>
          </reference>
          <reference field="82" count="1" selected="0">
            <x v="872"/>
          </reference>
          <reference field="85" count="1" selected="0">
            <x v="4"/>
          </reference>
          <reference field="87" count="1">
            <x v="1799"/>
          </reference>
        </references>
      </pivotArea>
    </format>
    <format dxfId="657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8"/>
          </reference>
          <reference field="82" count="1" selected="0">
            <x v="873"/>
          </reference>
          <reference field="85" count="1" selected="0">
            <x v="4"/>
          </reference>
          <reference field="87" count="1">
            <x v="1800"/>
          </reference>
        </references>
      </pivotArea>
    </format>
    <format dxfId="657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419"/>
          </reference>
          <reference field="82" count="1" selected="0">
            <x v="874"/>
          </reference>
          <reference field="85" count="1" selected="0">
            <x v="4"/>
          </reference>
          <reference field="87" count="1">
            <x v="1801"/>
          </reference>
        </references>
      </pivotArea>
    </format>
    <format dxfId="657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6"/>
          </reference>
          <reference field="82" count="1" selected="0">
            <x v="871"/>
          </reference>
          <reference field="85" count="1" selected="0">
            <x v="4"/>
          </reference>
          <reference field="87" count="1">
            <x v="1798"/>
          </reference>
        </references>
      </pivotArea>
    </format>
    <format dxfId="657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25"/>
          </reference>
          <reference field="82" count="1" selected="0">
            <x v="880"/>
          </reference>
          <reference field="85" count="1" selected="0">
            <x v="4"/>
          </reference>
          <reference field="87" count="1">
            <x v="1807"/>
          </reference>
        </references>
      </pivotArea>
    </format>
    <format dxfId="657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26"/>
          </reference>
          <reference field="82" count="1" selected="0">
            <x v="881"/>
          </reference>
          <reference field="85" count="1" selected="0">
            <x v="4"/>
          </reference>
          <reference field="87" count="1">
            <x v="1808"/>
          </reference>
        </references>
      </pivotArea>
    </format>
    <format dxfId="657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427"/>
          </reference>
          <reference field="82" count="1" selected="0">
            <x v="882"/>
          </reference>
          <reference field="85" count="1" selected="0">
            <x v="4"/>
          </reference>
          <reference field="87" count="1">
            <x v="1809"/>
          </reference>
        </references>
      </pivotArea>
    </format>
    <format dxfId="657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24"/>
          </reference>
          <reference field="82" count="1" selected="0">
            <x v="879"/>
          </reference>
          <reference field="85" count="1" selected="0">
            <x v="4"/>
          </reference>
          <reference field="87" count="1">
            <x v="1806"/>
          </reference>
        </references>
      </pivotArea>
    </format>
    <format dxfId="656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422"/>
          </reference>
          <reference field="82" count="1" selected="0">
            <x v="877"/>
          </reference>
          <reference field="85" count="1" selected="0">
            <x v="4"/>
          </reference>
          <reference field="87" count="1">
            <x v="1804"/>
          </reference>
        </references>
      </pivotArea>
    </format>
    <format dxfId="656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423"/>
          </reference>
          <reference field="82" count="1" selected="0">
            <x v="878"/>
          </reference>
          <reference field="85" count="1" selected="0">
            <x v="4"/>
          </reference>
          <reference field="87" count="1">
            <x v="1805"/>
          </reference>
        </references>
      </pivotArea>
    </format>
    <format dxfId="656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421"/>
          </reference>
          <reference field="82" count="1" selected="0">
            <x v="876"/>
          </reference>
          <reference field="85" count="1" selected="0">
            <x v="4"/>
          </reference>
          <reference field="87" count="1">
            <x v="1803"/>
          </reference>
        </references>
      </pivotArea>
    </format>
    <format dxfId="656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420"/>
          </reference>
          <reference field="82" count="1" selected="0">
            <x v="875"/>
          </reference>
          <reference field="85" count="1" selected="0">
            <x v="4"/>
          </reference>
          <reference field="87" count="1">
            <x v="1802"/>
          </reference>
        </references>
      </pivotArea>
    </format>
    <format dxfId="656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69"/>
          </reference>
          <reference field="82" count="1" selected="0">
            <x v="622"/>
          </reference>
          <reference field="85" count="1" selected="0">
            <x v="7"/>
          </reference>
          <reference field="87" count="1">
            <x v="1550"/>
          </reference>
        </references>
      </pivotArea>
    </format>
    <format dxfId="656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170"/>
          </reference>
          <reference field="82" count="1" selected="0">
            <x v="623"/>
          </reference>
          <reference field="85" count="1" selected="0">
            <x v="7"/>
          </reference>
          <reference field="87" count="1">
            <x v="1551"/>
          </reference>
        </references>
      </pivotArea>
    </format>
    <format dxfId="6563">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18"/>
          </reference>
          <reference field="82" count="1" selected="0">
            <x v="773"/>
          </reference>
          <reference field="85" count="1" selected="0">
            <x v="2"/>
          </reference>
          <reference field="87" count="1">
            <x v="1700"/>
          </reference>
        </references>
      </pivotArea>
    </format>
    <format dxfId="6562">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34"/>
          </reference>
          <reference field="82" count="1" selected="0">
            <x v="889"/>
          </reference>
          <reference field="85" count="1" selected="0">
            <x v="4"/>
          </reference>
          <reference field="87" count="1">
            <x v="1816"/>
          </reference>
        </references>
      </pivotArea>
    </format>
    <format dxfId="6561">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435"/>
          </reference>
          <reference field="82" count="1" selected="0">
            <x v="890"/>
          </reference>
          <reference field="85" count="1" selected="0">
            <x v="4"/>
          </reference>
          <reference field="87" count="1">
            <x v="1817"/>
          </reference>
        </references>
      </pivotArea>
    </format>
    <format dxfId="6560">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37"/>
          </reference>
          <reference field="82" count="1" selected="0">
            <x v="892"/>
          </reference>
          <reference field="85" count="1" selected="0">
            <x v="4"/>
          </reference>
          <reference field="87" count="1">
            <x v="1819"/>
          </reference>
        </references>
      </pivotArea>
    </format>
    <format dxfId="655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88"/>
          </reference>
          <reference field="82" count="1" selected="0">
            <x v="641"/>
          </reference>
          <reference field="85" count="1" selected="0">
            <x v="4"/>
          </reference>
          <reference field="87" count="1">
            <x v="1569"/>
          </reference>
        </references>
      </pivotArea>
    </format>
    <format dxfId="655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91"/>
          </reference>
          <reference field="82" count="1" selected="0">
            <x v="644"/>
          </reference>
          <reference field="85" count="1" selected="0">
            <x v="4"/>
          </reference>
          <reference field="87" count="1">
            <x v="1572"/>
          </reference>
        </references>
      </pivotArea>
    </format>
    <format dxfId="655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89"/>
          </reference>
          <reference field="82" count="1" selected="0">
            <x v="642"/>
          </reference>
          <reference field="85" count="1" selected="0">
            <x v="4"/>
          </reference>
          <reference field="87" count="1">
            <x v="1570"/>
          </reference>
        </references>
      </pivotArea>
    </format>
    <format dxfId="655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0"/>
          </reference>
          <reference field="82" count="1" selected="0">
            <x v="643"/>
          </reference>
          <reference field="85" count="1" selected="0">
            <x v="4"/>
          </reference>
          <reference field="87" count="1">
            <x v="1571"/>
          </reference>
        </references>
      </pivotArea>
    </format>
    <format dxfId="655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84"/>
          </reference>
          <reference field="82" count="1" selected="0">
            <x v="839"/>
          </reference>
          <reference field="85" count="1" selected="0">
            <x v="4"/>
          </reference>
          <reference field="87" count="1">
            <x v="1766"/>
          </reference>
        </references>
      </pivotArea>
    </format>
    <format dxfId="655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0"/>
          </reference>
          <reference field="82" count="1" selected="0">
            <x v="835"/>
          </reference>
          <reference field="85" count="1" selected="0">
            <x v="4"/>
          </reference>
          <reference field="87" count="1">
            <x v="1762"/>
          </reference>
        </references>
      </pivotArea>
    </format>
    <format dxfId="655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81"/>
          </reference>
          <reference field="82" count="1" selected="0">
            <x v="836"/>
          </reference>
          <reference field="85" count="1" selected="0">
            <x v="4"/>
          </reference>
          <reference field="87" count="1">
            <x v="1763"/>
          </reference>
        </references>
      </pivotArea>
    </format>
    <format dxfId="655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82"/>
          </reference>
          <reference field="82" count="1" selected="0">
            <x v="837"/>
          </reference>
          <reference field="85" count="1" selected="0">
            <x v="4"/>
          </reference>
          <reference field="87" count="1">
            <x v="1764"/>
          </reference>
        </references>
      </pivotArea>
    </format>
    <format dxfId="655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83"/>
          </reference>
          <reference field="82" count="1" selected="0">
            <x v="838"/>
          </reference>
          <reference field="85" count="1" selected="0">
            <x v="4"/>
          </reference>
          <reference field="87" count="1">
            <x v="1765"/>
          </reference>
        </references>
      </pivotArea>
    </format>
    <format dxfId="655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84"/>
          </reference>
          <reference field="82" count="1" selected="0">
            <x v="637"/>
          </reference>
          <reference field="85" count="1" selected="0">
            <x v="4"/>
          </reference>
          <reference field="87" count="1">
            <x v="1565"/>
          </reference>
        </references>
      </pivotArea>
    </format>
    <format dxfId="654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87"/>
          </reference>
          <reference field="82" count="1" selected="0">
            <x v="640"/>
          </reference>
          <reference field="85" count="1" selected="0">
            <x v="4"/>
          </reference>
          <reference field="87" count="1">
            <x v="1568"/>
          </reference>
        </references>
      </pivotArea>
    </format>
    <format dxfId="654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85"/>
          </reference>
          <reference field="82" count="1" selected="0">
            <x v="638"/>
          </reference>
          <reference field="85" count="1" selected="0">
            <x v="4"/>
          </reference>
          <reference field="87" count="1">
            <x v="1566"/>
          </reference>
        </references>
      </pivotArea>
    </format>
    <format dxfId="654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86"/>
          </reference>
          <reference field="82" count="1" selected="0">
            <x v="639"/>
          </reference>
          <reference field="85" count="1" selected="0">
            <x v="4"/>
          </reference>
          <reference field="87" count="1">
            <x v="1567"/>
          </reference>
        </references>
      </pivotArea>
    </format>
    <format dxfId="654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9"/>
          </reference>
          <reference field="82" count="1" selected="0">
            <x v="834"/>
          </reference>
          <reference field="85" count="1" selected="0">
            <x v="4"/>
          </reference>
          <reference field="87" count="1">
            <x v="1761"/>
          </reference>
        </references>
      </pivotArea>
    </format>
    <format dxfId="654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75"/>
          </reference>
          <reference field="82" count="1" selected="0">
            <x v="830"/>
          </reference>
          <reference field="85" count="1" selected="0">
            <x v="4"/>
          </reference>
          <reference field="87" count="1">
            <x v="1757"/>
          </reference>
        </references>
      </pivotArea>
    </format>
    <format dxfId="654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76"/>
          </reference>
          <reference field="82" count="1" selected="0">
            <x v="831"/>
          </reference>
          <reference field="85" count="1" selected="0">
            <x v="4"/>
          </reference>
          <reference field="87" count="1">
            <x v="1758"/>
          </reference>
        </references>
      </pivotArea>
    </format>
    <format dxfId="654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77"/>
          </reference>
          <reference field="82" count="1" selected="0">
            <x v="832"/>
          </reference>
          <reference field="85" count="1" selected="0">
            <x v="4"/>
          </reference>
          <reference field="87" count="1">
            <x v="1759"/>
          </reference>
        </references>
      </pivotArea>
    </format>
    <format dxfId="654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78"/>
          </reference>
          <reference field="82" count="1" selected="0">
            <x v="833"/>
          </reference>
          <reference field="85" count="1" selected="0">
            <x v="4"/>
          </reference>
          <reference field="87" count="1">
            <x v="1760"/>
          </reference>
        </references>
      </pivotArea>
    </format>
    <format dxfId="654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227"/>
          </reference>
          <reference field="82" count="1" selected="0">
            <x v="681"/>
          </reference>
          <reference field="85" count="1" selected="0">
            <x v="4"/>
          </reference>
          <reference field="87" count="1">
            <x v="1609"/>
          </reference>
        </references>
      </pivotArea>
    </format>
    <format dxfId="654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222"/>
          </reference>
          <reference field="82" count="1" selected="0">
            <x v="684"/>
          </reference>
          <reference field="85" count="1" selected="0">
            <x v="4"/>
          </reference>
          <reference field="87" count="1">
            <x v="1604"/>
          </reference>
        </references>
      </pivotArea>
    </format>
    <format dxfId="653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228"/>
          </reference>
          <reference field="82" count="1" selected="0">
            <x v="682"/>
          </reference>
          <reference field="85" count="1" selected="0">
            <x v="4"/>
          </reference>
          <reference field="87" count="1">
            <x v="1610"/>
          </reference>
        </references>
      </pivotArea>
    </format>
    <format dxfId="653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229"/>
          </reference>
          <reference field="82" count="1" selected="0">
            <x v="683"/>
          </reference>
          <reference field="85" count="1" selected="0">
            <x v="4"/>
          </reference>
          <reference field="87" count="1">
            <x v="1611"/>
          </reference>
        </references>
      </pivotArea>
    </format>
    <format dxfId="653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4"/>
          </reference>
          <reference field="82" count="1" selected="0">
            <x v="829"/>
          </reference>
          <reference field="85" count="1" selected="0">
            <x v="4"/>
          </reference>
          <reference field="87" count="1">
            <x v="1756"/>
          </reference>
        </references>
      </pivotArea>
    </format>
    <format dxfId="653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70"/>
          </reference>
          <reference field="82" count="1" selected="0">
            <x v="825"/>
          </reference>
          <reference field="85" count="1" selected="0">
            <x v="4"/>
          </reference>
          <reference field="87" count="1">
            <x v="1752"/>
          </reference>
        </references>
      </pivotArea>
    </format>
    <format dxfId="653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71"/>
          </reference>
          <reference field="82" count="1" selected="0">
            <x v="826"/>
          </reference>
          <reference field="85" count="1" selected="0">
            <x v="4"/>
          </reference>
          <reference field="87" count="1">
            <x v="1753"/>
          </reference>
        </references>
      </pivotArea>
    </format>
    <format dxfId="653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72"/>
          </reference>
          <reference field="82" count="1" selected="0">
            <x v="827"/>
          </reference>
          <reference field="85" count="1" selected="0">
            <x v="4"/>
          </reference>
          <reference field="87" count="1">
            <x v="1754"/>
          </reference>
        </references>
      </pivotArea>
    </format>
    <format dxfId="653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73"/>
          </reference>
          <reference field="82" count="1" selected="0">
            <x v="828"/>
          </reference>
          <reference field="85" count="1" selected="0">
            <x v="4"/>
          </reference>
          <reference field="87" count="1">
            <x v="1755"/>
          </reference>
        </references>
      </pivotArea>
    </format>
    <format dxfId="653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30"/>
          </reference>
          <reference field="82" count="1" selected="0">
            <x v="885"/>
          </reference>
          <reference field="85" count="1" selected="0">
            <x v="4"/>
          </reference>
          <reference field="87" count="1">
            <x v="1812"/>
          </reference>
        </references>
      </pivotArea>
    </format>
    <format dxfId="653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433"/>
          </reference>
          <reference field="82" count="1" selected="0">
            <x v="888"/>
          </reference>
          <reference field="85" count="1" selected="0">
            <x v="4"/>
          </reference>
          <reference field="87" count="1">
            <x v="1815"/>
          </reference>
        </references>
      </pivotArea>
    </format>
    <format dxfId="653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431"/>
          </reference>
          <reference field="82" count="1" selected="0">
            <x v="886"/>
          </reference>
          <reference field="85" count="1" selected="0">
            <x v="4"/>
          </reference>
          <reference field="87" count="1">
            <x v="1813"/>
          </reference>
        </references>
      </pivotArea>
    </format>
    <format dxfId="652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432"/>
          </reference>
          <reference field="82" count="1" selected="0">
            <x v="887"/>
          </reference>
          <reference field="85" count="1" selected="0">
            <x v="4"/>
          </reference>
          <reference field="87" count="1">
            <x v="1814"/>
          </reference>
        </references>
      </pivotArea>
    </format>
    <format dxfId="652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93"/>
          </reference>
          <reference field="82" count="1" selected="0">
            <x v="848"/>
          </reference>
          <reference field="85" count="1" selected="0">
            <x v="4"/>
          </reference>
          <reference field="87" count="1">
            <x v="1775"/>
          </reference>
        </references>
      </pivotArea>
    </format>
    <format dxfId="652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94"/>
          </reference>
          <reference field="82" count="1" selected="0">
            <x v="849"/>
          </reference>
          <reference field="85" count="1" selected="0">
            <x v="4"/>
          </reference>
          <reference field="87" count="1">
            <x v="1776"/>
          </reference>
        </references>
      </pivotArea>
    </format>
    <format dxfId="652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95"/>
          </reference>
          <reference field="82" count="1" selected="0">
            <x v="850"/>
          </reference>
          <reference field="85" count="1" selected="0">
            <x v="4"/>
          </reference>
          <reference field="87" count="1">
            <x v="1777"/>
          </reference>
        </references>
      </pivotArea>
    </format>
    <format dxfId="652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96"/>
          </reference>
          <reference field="82" count="1" selected="0">
            <x v="851"/>
          </reference>
          <reference field="85" count="1" selected="0">
            <x v="4"/>
          </reference>
          <reference field="87" count="1">
            <x v="1778"/>
          </reference>
        </references>
      </pivotArea>
    </format>
    <format dxfId="652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97"/>
          </reference>
          <reference field="82" count="1" selected="0">
            <x v="852"/>
          </reference>
          <reference field="85" count="1" selected="0">
            <x v="4"/>
          </reference>
          <reference field="87" count="1">
            <x v="1779"/>
          </reference>
        </references>
      </pivotArea>
    </format>
    <format dxfId="652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98"/>
          </reference>
          <reference field="82" count="1" selected="0">
            <x v="853"/>
          </reference>
          <reference field="85" count="1" selected="0">
            <x v="4"/>
          </reference>
          <reference field="87" count="1">
            <x v="1780"/>
          </reference>
        </references>
      </pivotArea>
    </format>
    <format dxfId="652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99"/>
          </reference>
          <reference field="82" count="1" selected="0">
            <x v="854"/>
          </reference>
          <reference field="85" count="1" selected="0">
            <x v="4"/>
          </reference>
          <reference field="87" count="1">
            <x v="1781"/>
          </reference>
        </references>
      </pivotArea>
    </format>
    <format dxfId="652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0"/>
          </reference>
          <reference field="82" count="1" selected="0">
            <x v="855"/>
          </reference>
          <reference field="85" count="1" selected="0">
            <x v="4"/>
          </reference>
          <reference field="87" count="1">
            <x v="1782"/>
          </reference>
        </references>
      </pivotArea>
    </format>
    <format dxfId="652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66"/>
          </reference>
          <reference field="82" count="1" selected="0">
            <x v="821"/>
          </reference>
          <reference field="85" count="1" selected="0">
            <x v="4"/>
          </reference>
          <reference field="87" count="1">
            <x v="1748"/>
          </reference>
        </references>
      </pivotArea>
    </format>
    <format dxfId="651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68"/>
          </reference>
          <reference field="82" count="1" selected="0">
            <x v="823"/>
          </reference>
          <reference field="85" count="1" selected="0">
            <x v="4"/>
          </reference>
          <reference field="87" count="1">
            <x v="1750"/>
          </reference>
        </references>
      </pivotArea>
    </format>
    <format dxfId="651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69"/>
          </reference>
          <reference field="82" count="1" selected="0">
            <x v="824"/>
          </reference>
          <reference field="85" count="1" selected="0">
            <x v="4"/>
          </reference>
          <reference field="87" count="1">
            <x v="1751"/>
          </reference>
        </references>
      </pivotArea>
    </format>
    <format dxfId="651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67"/>
          </reference>
          <reference field="82" count="1" selected="0">
            <x v="822"/>
          </reference>
          <reference field="85" count="1" selected="0">
            <x v="4"/>
          </reference>
          <reference field="87" count="1">
            <x v="1749"/>
          </reference>
        </references>
      </pivotArea>
    </format>
    <format dxfId="651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316"/>
          </reference>
          <reference field="82" count="1" selected="0">
            <x v="771"/>
          </reference>
          <reference field="85" count="1" selected="0">
            <x v="2"/>
          </reference>
          <reference field="87" count="1">
            <x v="1698"/>
          </reference>
        </references>
      </pivotArea>
    </format>
    <format dxfId="651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17"/>
          </reference>
          <reference field="82" count="1" selected="0">
            <x v="772"/>
          </reference>
          <reference field="85" count="1" selected="0">
            <x v="2"/>
          </reference>
          <reference field="87" count="1">
            <x v="1699"/>
          </reference>
        </references>
      </pivotArea>
    </format>
    <format dxfId="651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315"/>
          </reference>
          <reference field="82" count="1" selected="0">
            <x v="770"/>
          </reference>
          <reference field="85" count="1" selected="0">
            <x v="2"/>
          </reference>
          <reference field="87" count="1">
            <x v="1697"/>
          </reference>
        </references>
      </pivotArea>
    </format>
    <format dxfId="651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26"/>
          </reference>
          <reference field="82" count="1" selected="0">
            <x v="437"/>
          </reference>
          <reference field="85" count="1" selected="0">
            <x v="4"/>
          </reference>
          <reference field="87" count="1">
            <x v="1573"/>
          </reference>
        </references>
      </pivotArea>
    </format>
    <format dxfId="651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94"/>
          </reference>
          <reference field="82" count="1" selected="0">
            <x v="647"/>
          </reference>
          <reference field="85" count="1" selected="0">
            <x v="4"/>
          </reference>
          <reference field="87" count="1">
            <x v="1576"/>
          </reference>
        </references>
      </pivotArea>
    </format>
    <format dxfId="651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selected="0">
            <x v="645"/>
          </reference>
          <reference field="85" count="1" selected="0">
            <x v="4"/>
          </reference>
          <reference field="87" count="1">
            <x v="1574"/>
          </reference>
        </references>
      </pivotArea>
    </format>
    <format dxfId="651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selected="0">
            <x v="646"/>
          </reference>
          <reference field="85" count="1" selected="0">
            <x v="4"/>
          </reference>
          <reference field="87" count="1">
            <x v="1575"/>
          </reference>
        </references>
      </pivotArea>
    </format>
    <format dxfId="650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5"/>
          </reference>
          <reference field="82" count="1" selected="0">
            <x v="840"/>
          </reference>
          <reference field="85" count="1" selected="0">
            <x v="4"/>
          </reference>
          <reference field="87" count="1">
            <x v="1767"/>
          </reference>
        </references>
      </pivotArea>
    </format>
    <format dxfId="650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86"/>
          </reference>
          <reference field="82" count="1" selected="0">
            <x v="841"/>
          </reference>
          <reference field="85" count="1" selected="0">
            <x v="4"/>
          </reference>
          <reference field="87" count="1">
            <x v="1768"/>
          </reference>
        </references>
      </pivotArea>
    </format>
    <format dxfId="650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87"/>
          </reference>
          <reference field="82" count="1" selected="0">
            <x v="842"/>
          </reference>
          <reference field="85" count="1" selected="0">
            <x v="4"/>
          </reference>
          <reference field="87" count="1">
            <x v="1769"/>
          </reference>
        </references>
      </pivotArea>
    </format>
    <format dxfId="650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88"/>
          </reference>
          <reference field="82" count="1" selected="0">
            <x v="843"/>
          </reference>
          <reference field="85" count="1" selected="0">
            <x v="4"/>
          </reference>
          <reference field="87" count="1">
            <x v="1770"/>
          </reference>
        </references>
      </pivotArea>
    </format>
    <format dxfId="650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9"/>
          </reference>
          <reference field="82" count="1" selected="0">
            <x v="844"/>
          </reference>
          <reference field="85" count="1" selected="0">
            <x v="4"/>
          </reference>
          <reference field="87" count="1">
            <x v="1771"/>
          </reference>
        </references>
      </pivotArea>
    </format>
    <format dxfId="650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90"/>
          </reference>
          <reference field="82" count="1" selected="0">
            <x v="845"/>
          </reference>
          <reference field="85" count="1" selected="0">
            <x v="4"/>
          </reference>
          <reference field="87" count="1">
            <x v="1772"/>
          </reference>
        </references>
      </pivotArea>
    </format>
    <format dxfId="650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91"/>
          </reference>
          <reference field="82" count="1" selected="0">
            <x v="846"/>
          </reference>
          <reference field="85" count="1" selected="0">
            <x v="4"/>
          </reference>
          <reference field="87" count="1">
            <x v="1773"/>
          </reference>
        </references>
      </pivotArea>
    </format>
    <format dxfId="650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92"/>
          </reference>
          <reference field="82" count="1" selected="0">
            <x v="847"/>
          </reference>
          <reference field="85" count="1" selected="0">
            <x v="4"/>
          </reference>
          <reference field="87" count="1">
            <x v="1774"/>
          </reference>
        </references>
      </pivotArea>
    </format>
    <format dxfId="6501">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45"/>
          </reference>
          <reference field="82" count="1" selected="0">
            <x v="597"/>
          </reference>
          <reference field="85" count="1" selected="0">
            <x v="3"/>
          </reference>
          <reference field="87" count="1">
            <x v="1526"/>
          </reference>
        </references>
      </pivotArea>
    </format>
    <format dxfId="6500">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42"/>
          </reference>
          <reference field="82" count="1" selected="0">
            <x v="897"/>
          </reference>
          <reference field="85" count="1" selected="0">
            <x v="4"/>
          </reference>
          <reference field="87" count="1">
            <x v="1824"/>
          </reference>
        </references>
      </pivotArea>
    </format>
    <format dxfId="6499">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2"/>
          </reference>
          <reference field="82" count="1" selected="0">
            <x v="635"/>
          </reference>
          <reference field="85" count="1" selected="0">
            <x v="7"/>
          </reference>
          <reference field="87" count="1">
            <x v="1563"/>
          </reference>
        </references>
      </pivotArea>
    </format>
    <format dxfId="6498">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46"/>
          </reference>
          <reference field="82" count="1" selected="0">
            <x v="598"/>
          </reference>
          <reference field="85" count="1" selected="0">
            <x v="3"/>
          </reference>
          <reference field="87" count="1">
            <x v="1527"/>
          </reference>
        </references>
      </pivotArea>
    </format>
    <format dxfId="6497">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3"/>
          </reference>
          <reference field="82" count="1" selected="0">
            <x v="636"/>
          </reference>
          <reference field="85" count="1" selected="0">
            <x v="7"/>
          </reference>
          <reference field="87" count="1">
            <x v="1564"/>
          </reference>
        </references>
      </pivotArea>
    </format>
    <format dxfId="6496">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44"/>
          </reference>
          <reference field="82" count="1" selected="0">
            <x v="899"/>
          </reference>
          <reference field="85" count="1" selected="0">
            <x v="7"/>
          </reference>
          <reference field="87" count="1">
            <x v="1826"/>
          </reference>
        </references>
      </pivotArea>
    </format>
    <format dxfId="6495">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46"/>
          </reference>
          <reference field="82" count="1" selected="0">
            <x v="901"/>
          </reference>
          <reference field="85" count="1" selected="0">
            <x v="7"/>
          </reference>
          <reference field="87" count="1">
            <x v="1828"/>
          </reference>
        </references>
      </pivotArea>
    </format>
    <format dxfId="6494">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45"/>
          </reference>
          <reference field="82" count="1" selected="0">
            <x v="900"/>
          </reference>
          <reference field="85" count="1" selected="0">
            <x v="7"/>
          </reference>
          <reference field="87" count="1">
            <x v="1827"/>
          </reference>
        </references>
      </pivotArea>
    </format>
    <format dxfId="6493">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75"/>
          </reference>
          <reference field="82" count="1" selected="0">
            <x v="628"/>
          </reference>
          <reference field="85" count="1" selected="0">
            <x v="2"/>
          </reference>
          <reference field="87" count="1">
            <x v="1556"/>
          </reference>
        </references>
      </pivotArea>
    </format>
    <format dxfId="6492">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47"/>
          </reference>
          <reference field="82" count="1" selected="0">
            <x v="902"/>
          </reference>
          <reference field="85" count="1" selected="0">
            <x v="7"/>
          </reference>
          <reference field="87" count="1">
            <x v="1829"/>
          </reference>
        </references>
      </pivotArea>
    </format>
    <format dxfId="6491">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44"/>
          </reference>
          <reference field="82" count="1" selected="0">
            <x v="596"/>
          </reference>
          <reference field="85" count="1" selected="0">
            <x v="3"/>
          </reference>
          <reference field="87" count="1">
            <x v="1525"/>
          </reference>
        </references>
      </pivotArea>
    </format>
    <format dxfId="6490">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36"/>
          </reference>
          <reference field="82" count="1" selected="0">
            <x v="891"/>
          </reference>
          <reference field="85" count="1" selected="0">
            <x v="4"/>
          </reference>
          <reference field="87" count="1">
            <x v="1818"/>
          </reference>
        </references>
      </pivotArea>
    </format>
    <format dxfId="648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01"/>
          </reference>
          <reference field="82" count="1" selected="0">
            <x v="756"/>
          </reference>
          <reference field="85" count="1" selected="0">
            <x v="2"/>
          </reference>
          <reference field="87" count="1">
            <x v="1683"/>
          </reference>
        </references>
      </pivotArea>
    </format>
    <format dxfId="648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04"/>
          </reference>
          <reference field="82" count="1" selected="0">
            <x v="759"/>
          </reference>
          <reference field="85" count="1" selected="0">
            <x v="2"/>
          </reference>
          <reference field="87" count="1">
            <x v="1686"/>
          </reference>
        </references>
      </pivotArea>
    </format>
    <format dxfId="648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02"/>
          </reference>
          <reference field="82" count="1" selected="0">
            <x v="757"/>
          </reference>
          <reference field="85" count="1" selected="0">
            <x v="2"/>
          </reference>
          <reference field="87" count="1">
            <x v="1684"/>
          </reference>
        </references>
      </pivotArea>
    </format>
    <format dxfId="648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05"/>
          </reference>
          <reference field="82" count="1" selected="0">
            <x v="760"/>
          </reference>
          <reference field="85" count="1" selected="0">
            <x v="2"/>
          </reference>
          <reference field="87" count="1">
            <x v="1687"/>
          </reference>
        </references>
      </pivotArea>
    </format>
    <format dxfId="648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310"/>
          </reference>
          <reference field="82" count="1" selected="0">
            <x v="765"/>
          </reference>
          <reference field="85" count="1" selected="0">
            <x v="2"/>
          </reference>
          <reference field="87" count="1">
            <x v="1692"/>
          </reference>
        </references>
      </pivotArea>
    </format>
    <format dxfId="648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308"/>
          </reference>
          <reference field="82" count="1" selected="0">
            <x v="763"/>
          </reference>
          <reference field="85" count="1" selected="0">
            <x v="2"/>
          </reference>
          <reference field="87" count="1">
            <x v="1690"/>
          </reference>
        </references>
      </pivotArea>
    </format>
    <format dxfId="648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307"/>
          </reference>
          <reference field="82" count="1" selected="0">
            <x v="762"/>
          </reference>
          <reference field="85" count="1" selected="0">
            <x v="2"/>
          </reference>
          <reference field="87" count="1">
            <x v="1689"/>
          </reference>
        </references>
      </pivotArea>
    </format>
    <format dxfId="648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306"/>
          </reference>
          <reference field="82" count="1" selected="0">
            <x v="761"/>
          </reference>
          <reference field="85" count="1" selected="0">
            <x v="2"/>
          </reference>
          <reference field="87" count="1">
            <x v="1688"/>
          </reference>
        </references>
      </pivotArea>
    </format>
    <format dxfId="648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00"/>
          </reference>
          <reference field="82" count="1" selected="0">
            <x v="755"/>
          </reference>
          <reference field="85" count="1" selected="0">
            <x v="2"/>
          </reference>
          <reference field="87" count="1">
            <x v="1682"/>
          </reference>
        </references>
      </pivotArea>
    </format>
    <format dxfId="648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03"/>
          </reference>
          <reference field="82" count="1" selected="0">
            <x v="758"/>
          </reference>
          <reference field="85" count="1" selected="0">
            <x v="2"/>
          </reference>
          <reference field="87" count="1">
            <x v="1685"/>
          </reference>
        </references>
      </pivotArea>
    </format>
    <format dxfId="647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09"/>
          </reference>
          <reference field="82" count="1" selected="0">
            <x v="764"/>
          </reference>
          <reference field="85" count="1" selected="0">
            <x v="2"/>
          </reference>
          <reference field="87" count="1">
            <x v="1691"/>
          </reference>
        </references>
      </pivotArea>
    </format>
    <format dxfId="6478">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43"/>
          </reference>
          <reference field="82" count="1" selected="0">
            <x v="898"/>
          </reference>
          <reference field="85" count="1" selected="0">
            <x v="4"/>
          </reference>
          <reference field="87" count="1">
            <x v="1825"/>
          </reference>
        </references>
      </pivotArea>
    </format>
    <format dxfId="6477">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81"/>
          </reference>
          <reference field="82" count="1" selected="0">
            <x v="634"/>
          </reference>
          <reference field="85" count="1" selected="0">
            <x v="2"/>
          </reference>
          <reference field="87" count="1">
            <x v="1562"/>
          </reference>
        </references>
      </pivotArea>
    </format>
    <format dxfId="6476">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79"/>
          </reference>
          <reference field="82" count="1" selected="0">
            <x v="632"/>
          </reference>
          <reference field="85" count="1" selected="0">
            <x v="7"/>
          </reference>
          <reference field="87" count="1">
            <x v="1560"/>
          </reference>
        </references>
      </pivotArea>
    </format>
    <format dxfId="647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12"/>
          </reference>
          <reference field="82" count="1" selected="0">
            <x v="767"/>
          </reference>
          <reference field="85" count="1" selected="0">
            <x v="2"/>
          </reference>
          <reference field="87" count="1">
            <x v="1694"/>
          </reference>
        </references>
      </pivotArea>
    </format>
    <format dxfId="647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14"/>
          </reference>
          <reference field="82" count="1" selected="0">
            <x v="769"/>
          </reference>
          <reference field="85" count="1" selected="0">
            <x v="2"/>
          </reference>
          <reference field="87" count="1">
            <x v="1696"/>
          </reference>
        </references>
      </pivotArea>
    </format>
    <format dxfId="6473">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11"/>
          </reference>
          <reference field="82" count="1" selected="0">
            <x v="766"/>
          </reference>
          <reference field="85" count="1" selected="0">
            <x v="2"/>
          </reference>
          <reference field="87" count="1">
            <x v="1693"/>
          </reference>
        </references>
      </pivotArea>
    </format>
    <format dxfId="647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13"/>
          </reference>
          <reference field="82" count="1" selected="0">
            <x v="768"/>
          </reference>
          <reference field="85" count="1" selected="0">
            <x v="2"/>
          </reference>
          <reference field="87" count="1">
            <x v="1695"/>
          </reference>
        </references>
      </pivotArea>
    </format>
    <format dxfId="6471">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80"/>
          </reference>
          <reference field="82" count="1" selected="0">
            <x v="633"/>
          </reference>
          <reference field="85" count="1" selected="0">
            <x v="7"/>
          </reference>
          <reference field="87" count="1">
            <x v="1561"/>
          </reference>
        </references>
      </pivotArea>
    </format>
    <format dxfId="6470">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28"/>
          </reference>
          <reference field="82" count="1" selected="0">
            <x v="883"/>
          </reference>
          <reference field="85" count="1" selected="0">
            <x v="4"/>
          </reference>
          <reference field="87" count="1">
            <x v="1810"/>
          </reference>
        </references>
      </pivotArea>
    </format>
    <format dxfId="6469">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29"/>
          </reference>
          <reference field="82" count="1" selected="0">
            <x v="884"/>
          </reference>
          <reference field="85" count="1" selected="0">
            <x v="4"/>
          </reference>
          <reference field="87" count="1">
            <x v="1811"/>
          </reference>
        </references>
      </pivotArea>
    </format>
    <format dxfId="6468">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37"/>
          </reference>
          <reference field="82" count="1" selected="0">
            <x v="792"/>
          </reference>
          <reference field="85" count="1" selected="0">
            <x v="7"/>
          </reference>
          <reference field="87" count="1">
            <x v="1719"/>
          </reference>
        </references>
      </pivotArea>
    </format>
    <format dxfId="6467">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343"/>
          </reference>
          <reference field="82" count="1" selected="0">
            <x v="798"/>
          </reference>
          <reference field="85" count="1" selected="0">
            <x v="7"/>
          </reference>
          <reference field="87" count="1">
            <x v="1725"/>
          </reference>
        </references>
      </pivotArea>
    </format>
    <format dxfId="646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172"/>
          </reference>
          <reference field="82" count="1" selected="0">
            <x v="625"/>
          </reference>
          <reference field="85" count="1" selected="0">
            <x v="7"/>
          </reference>
          <reference field="87" count="1">
            <x v="1553"/>
          </reference>
        </references>
      </pivotArea>
    </format>
    <format dxfId="646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171"/>
          </reference>
          <reference field="82" count="1" selected="0">
            <x v="624"/>
          </reference>
          <reference field="85" count="1" selected="0">
            <x v="7"/>
          </reference>
          <reference field="87" count="1">
            <x v="1552"/>
          </reference>
        </references>
      </pivotArea>
    </format>
    <format dxfId="646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200"/>
          </reference>
          <reference field="82" count="1" selected="0">
            <x v="653"/>
          </reference>
          <reference field="85" count="1" selected="0">
            <x v="4"/>
          </reference>
          <reference field="87" count="1">
            <x v="1582"/>
          </reference>
        </references>
      </pivotArea>
    </format>
    <format dxfId="646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201"/>
          </reference>
          <reference field="82" count="1" selected="0">
            <x v="654"/>
          </reference>
          <reference field="85" count="1" selected="0">
            <x v="4"/>
          </reference>
          <reference field="87" count="1">
            <x v="1583"/>
          </reference>
        </references>
      </pivotArea>
    </format>
    <format dxfId="6462">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198"/>
          </reference>
          <reference field="82" count="1" selected="0">
            <x v="651"/>
          </reference>
          <reference field="85" count="1" selected="0">
            <x v="4"/>
          </reference>
          <reference field="87" count="1">
            <x v="1580"/>
          </reference>
        </references>
      </pivotArea>
    </format>
    <format dxfId="6461">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199"/>
          </reference>
          <reference field="82" count="1" selected="0">
            <x v="652"/>
          </reference>
          <reference field="85" count="1" selected="0">
            <x v="4"/>
          </reference>
          <reference field="87" count="1">
            <x v="1581"/>
          </reference>
        </references>
      </pivotArea>
    </format>
    <format dxfId="646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195"/>
          </reference>
          <reference field="82" count="1" selected="0">
            <x v="648"/>
          </reference>
          <reference field="85" count="1" selected="0">
            <x v="4"/>
          </reference>
          <reference field="87" count="1">
            <x v="1577"/>
          </reference>
        </references>
      </pivotArea>
    </format>
    <format dxfId="645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196"/>
          </reference>
          <reference field="82" count="1" selected="0">
            <x v="649"/>
          </reference>
          <reference field="85" count="1" selected="0">
            <x v="4"/>
          </reference>
          <reference field="87" count="1">
            <x v="1578"/>
          </reference>
        </references>
      </pivotArea>
    </format>
    <format dxfId="6458">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197"/>
          </reference>
          <reference field="82" count="1" selected="0">
            <x v="650"/>
          </reference>
          <reference field="85" count="1" selected="0">
            <x v="4"/>
          </reference>
          <reference field="87" count="1">
            <x v="1579"/>
          </reference>
        </references>
      </pivotArea>
    </format>
    <format dxfId="6457">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047"/>
          </reference>
          <reference field="82" count="1" selected="0">
            <x v="462"/>
          </reference>
          <reference field="85" count="1" selected="0">
            <x v="4"/>
          </reference>
          <reference field="87" count="1">
            <x v="1410"/>
          </reference>
        </references>
      </pivotArea>
    </format>
    <format dxfId="645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13"/>
          </reference>
          <reference field="82" count="1" selected="0">
            <x v="868"/>
          </reference>
          <reference field="85" count="1" selected="0">
            <x v="4"/>
          </reference>
          <reference field="87" count="1">
            <x v="1795"/>
          </reference>
        </references>
      </pivotArea>
    </format>
    <format dxfId="645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414"/>
          </reference>
          <reference field="82" count="1" selected="0">
            <x v="869"/>
          </reference>
          <reference field="85" count="1" selected="0">
            <x v="4"/>
          </reference>
          <reference field="87" count="1">
            <x v="1796"/>
          </reference>
        </references>
      </pivotArea>
    </format>
    <format dxfId="645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415"/>
          </reference>
          <reference field="82" count="1" selected="0">
            <x v="870"/>
          </reference>
          <reference field="85" count="1" selected="0">
            <x v="4"/>
          </reference>
          <reference field="87" count="1">
            <x v="1797"/>
          </reference>
        </references>
      </pivotArea>
    </format>
    <format dxfId="645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013"/>
          </reference>
          <reference field="82" count="1" selected="0">
            <x v="415"/>
          </reference>
          <reference field="85" count="1" selected="0">
            <x v="4"/>
          </reference>
          <reference field="87" count="1">
            <x v="1372"/>
          </reference>
        </references>
      </pivotArea>
    </format>
    <format dxfId="6452">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 field="85" count="1" selected="0">
            <x v="7"/>
          </reference>
          <reference field="87" count="1">
            <x v="1720"/>
          </reference>
        </references>
      </pivotArea>
    </format>
    <format dxfId="6451">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53"/>
          </reference>
          <reference field="82" count="1" selected="0">
            <x v="808"/>
          </reference>
          <reference field="85" count="1" selected="0">
            <x v="7"/>
          </reference>
          <reference field="87" count="1">
            <x v="1735"/>
          </reference>
        </references>
      </pivotArea>
    </format>
    <format dxfId="6450">
      <pivotArea field="88" type="button" dataOnly="0" labelOnly="1" outline="0" axis="axisRow" fieldPosition="13"/>
    </format>
    <format dxfId="6449">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3"/>
          </reference>
          <reference field="82" count="1" selected="0">
            <x v="778"/>
          </reference>
          <reference field="85" count="1" selected="0">
            <x v="7"/>
          </reference>
          <reference field="87" count="1" selected="0">
            <x v="1705"/>
          </reference>
          <reference field="88" count="1">
            <x v="564"/>
          </reference>
        </references>
      </pivotArea>
    </format>
    <format dxfId="6448">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4"/>
          </reference>
          <reference field="82" count="1" selected="0">
            <x v="779"/>
          </reference>
          <reference field="85" count="1" selected="0">
            <x v="7"/>
          </reference>
          <reference field="87" count="1" selected="0">
            <x v="1706"/>
          </reference>
          <reference field="88" count="1">
            <x v="565"/>
          </reference>
        </references>
      </pivotArea>
    </format>
    <format dxfId="644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9"/>
          </reference>
          <reference field="82" count="1" selected="0">
            <x v="864"/>
          </reference>
          <reference field="85" count="1" selected="0">
            <x v="4"/>
          </reference>
          <reference field="87" count="1" selected="0">
            <x v="1791"/>
          </reference>
          <reference field="88" count="1">
            <x v="650"/>
          </reference>
        </references>
      </pivotArea>
    </format>
    <format dxfId="644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10"/>
          </reference>
          <reference field="82" count="1" selected="0">
            <x v="865"/>
          </reference>
          <reference field="85" count="1" selected="0">
            <x v="4"/>
          </reference>
          <reference field="87" count="1" selected="0">
            <x v="1792"/>
          </reference>
          <reference field="88" count="1">
            <x v="651"/>
          </reference>
        </references>
      </pivotArea>
    </format>
    <format dxfId="644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11"/>
          </reference>
          <reference field="82" count="1" selected="0">
            <x v="866"/>
          </reference>
          <reference field="85" count="1" selected="0">
            <x v="4"/>
          </reference>
          <reference field="87" count="1" selected="0">
            <x v="1793"/>
          </reference>
          <reference field="88" count="1">
            <x v="652"/>
          </reference>
        </references>
      </pivotArea>
    </format>
    <format dxfId="644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12"/>
          </reference>
          <reference field="82" count="1" selected="0">
            <x v="867"/>
          </reference>
          <reference field="85" count="1" selected="0">
            <x v="4"/>
          </reference>
          <reference field="87" count="1" selected="0">
            <x v="1794"/>
          </reference>
          <reference field="88" count="1">
            <x v="653"/>
          </reference>
        </references>
      </pivotArea>
    </format>
    <format dxfId="6443">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selected="0">
            <x v="1711"/>
          </reference>
          <reference field="88" count="1">
            <x v="570"/>
          </reference>
        </references>
      </pivotArea>
    </format>
    <format dxfId="6442">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selected="0">
            <x v="1710"/>
          </reference>
          <reference field="88" count="1">
            <x v="569"/>
          </reference>
        </references>
      </pivotArea>
    </format>
    <format dxfId="644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6"/>
          </reference>
          <reference field="82" count="1" selected="0">
            <x v="711"/>
          </reference>
          <reference field="85" count="1" selected="0">
            <x v="0"/>
          </reference>
          <reference field="87" count="1" selected="0">
            <x v="1638"/>
          </reference>
          <reference field="88" count="1">
            <x v="497"/>
          </reference>
        </references>
      </pivotArea>
    </format>
    <format dxfId="644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7"/>
          </reference>
          <reference field="82" count="1" selected="0">
            <x v="712"/>
          </reference>
          <reference field="85" count="1" selected="0">
            <x v="0"/>
          </reference>
          <reference field="87" count="1" selected="0">
            <x v="1639"/>
          </reference>
          <reference field="88" count="1">
            <x v="498"/>
          </reference>
        </references>
      </pivotArea>
    </format>
    <format dxfId="643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selected="0">
            <x v="709"/>
          </reference>
          <reference field="85" count="1" selected="0">
            <x v="0"/>
          </reference>
          <reference field="87" count="1" selected="0">
            <x v="1636"/>
          </reference>
          <reference field="88" count="1">
            <x v="495"/>
          </reference>
        </references>
      </pivotArea>
    </format>
    <format dxfId="643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5"/>
          </reference>
          <reference field="82" count="1" selected="0">
            <x v="710"/>
          </reference>
          <reference field="85" count="1" selected="0">
            <x v="0"/>
          </reference>
          <reference field="87" count="1" selected="0">
            <x v="1637"/>
          </reference>
          <reference field="88" count="1">
            <x v="496"/>
          </reference>
        </references>
      </pivotArea>
    </format>
    <format dxfId="643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selected="0">
            <x v="1711"/>
          </reference>
          <reference field="88" count="1">
            <x v="570"/>
          </reference>
        </references>
      </pivotArea>
    </format>
    <format dxfId="643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selected="0">
            <x v="1710"/>
          </reference>
          <reference field="88" count="1">
            <x v="569"/>
          </reference>
        </references>
      </pivotArea>
    </format>
    <format dxfId="643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selected="0">
            <x v="0"/>
          </reference>
          <reference field="87" count="1" selected="0">
            <x v="1633"/>
          </reference>
          <reference field="88" count="1">
            <x v="492"/>
          </reference>
        </references>
      </pivotArea>
    </format>
    <format dxfId="643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selected="0">
            <x v="707"/>
          </reference>
          <reference field="85" count="1" selected="0">
            <x v="0"/>
          </reference>
          <reference field="87" count="1" selected="0">
            <x v="1634"/>
          </reference>
          <reference field="88" count="1">
            <x v="493"/>
          </reference>
        </references>
      </pivotArea>
    </format>
    <format dxfId="643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4"/>
          </reference>
          <reference field="82" count="1" selected="0">
            <x v="709"/>
          </reference>
          <reference field="85" count="1" selected="0">
            <x v="0"/>
          </reference>
          <reference field="87" count="1" selected="0">
            <x v="1636"/>
          </reference>
          <reference field="88" count="1">
            <x v="495"/>
          </reference>
        </references>
      </pivotArea>
    </format>
    <format dxfId="643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selected="0">
            <x v="705"/>
          </reference>
          <reference field="85" count="1" selected="0">
            <x v="0"/>
          </reference>
          <reference field="87" count="1" selected="0">
            <x v="1632"/>
          </reference>
          <reference field="88" count="1">
            <x v="491"/>
          </reference>
        </references>
      </pivotArea>
    </format>
    <format dxfId="643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7"/>
          </reference>
          <reference field="82" count="1" selected="0">
            <x v="782"/>
          </reference>
          <reference field="85" count="1" selected="0">
            <x v="7"/>
          </reference>
          <reference field="87" count="1" selected="0">
            <x v="1709"/>
          </reference>
          <reference field="88" count="1">
            <x v="568"/>
          </reference>
        </references>
      </pivotArea>
    </format>
    <format dxfId="6430">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28"/>
          </reference>
          <reference field="82" count="1" selected="0">
            <x v="783"/>
          </reference>
          <reference field="85" count="1" selected="0">
            <x v="7"/>
          </reference>
          <reference field="87" count="1" selected="0">
            <x v="1710"/>
          </reference>
          <reference field="88" count="1">
            <x v="569"/>
          </reference>
        </references>
      </pivotArea>
    </format>
    <format dxfId="6429">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selected="0">
            <x v="619"/>
          </reference>
          <reference field="85" count="1" selected="0">
            <x v="7"/>
          </reference>
          <reference field="87" count="1" selected="0">
            <x v="1548"/>
          </reference>
          <reference field="88" count="1">
            <x v="404"/>
          </reference>
        </references>
      </pivotArea>
    </format>
    <format dxfId="6428">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68"/>
          </reference>
          <reference field="82" count="1" selected="0">
            <x v="621"/>
          </reference>
          <reference field="85" count="1" selected="0">
            <x v="7"/>
          </reference>
          <reference field="87" count="1" selected="0">
            <x v="1549"/>
          </reference>
          <reference field="88" count="1">
            <x v="406"/>
          </reference>
        </references>
      </pivotArea>
    </format>
    <format dxfId="642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44"/>
          </reference>
          <reference field="82" count="1" selected="0">
            <x v="699"/>
          </reference>
          <reference field="85" count="1" selected="0">
            <x v="0"/>
          </reference>
          <reference field="87" count="1" selected="0">
            <x v="1626"/>
          </reference>
          <reference field="88" count="1">
            <x v="485"/>
          </reference>
        </references>
      </pivotArea>
    </format>
    <format dxfId="642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247"/>
          </reference>
          <reference field="82" count="1" selected="0">
            <x v="702"/>
          </reference>
          <reference field="85" count="1" selected="0">
            <x v="0"/>
          </reference>
          <reference field="87" count="1" selected="0">
            <x v="1629"/>
          </reference>
          <reference field="88" count="1">
            <x v="488"/>
          </reference>
        </references>
      </pivotArea>
    </format>
    <format dxfId="642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45"/>
          </reference>
          <reference field="82" count="1" selected="0">
            <x v="700"/>
          </reference>
          <reference field="85" count="1" selected="0">
            <x v="0"/>
          </reference>
          <reference field="87" count="1" selected="0">
            <x v="1627"/>
          </reference>
          <reference field="88" count="1">
            <x v="486"/>
          </reference>
        </references>
      </pivotArea>
    </format>
    <format dxfId="642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46"/>
          </reference>
          <reference field="82" count="1" selected="0">
            <x v="701"/>
          </reference>
          <reference field="85" count="1" selected="0">
            <x v="0"/>
          </reference>
          <reference field="87" count="1" selected="0">
            <x v="1628"/>
          </reference>
          <reference field="88" count="1">
            <x v="487"/>
          </reference>
        </references>
      </pivotArea>
    </format>
    <format dxfId="642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19"/>
          </reference>
          <reference field="82" count="1" selected="0">
            <x v="774"/>
          </reference>
          <reference field="85" count="1" selected="0">
            <x v="7"/>
          </reference>
          <reference field="87" count="1" selected="0">
            <x v="1701"/>
          </reference>
          <reference field="88" count="1">
            <x v="560"/>
          </reference>
        </references>
      </pivotArea>
    </format>
    <format dxfId="642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0"/>
          </reference>
          <reference field="82" count="1" selected="0">
            <x v="775"/>
          </reference>
          <reference field="85" count="1" selected="0">
            <x v="7"/>
          </reference>
          <reference field="87" count="1" selected="0">
            <x v="1702"/>
          </reference>
          <reference field="88" count="1">
            <x v="561"/>
          </reference>
        </references>
      </pivotArea>
    </format>
    <format dxfId="642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1"/>
          </reference>
          <reference field="82" count="1" selected="0">
            <x v="856"/>
          </reference>
          <reference field="85" count="1" selected="0">
            <x v="4"/>
          </reference>
          <reference field="87" count="1" selected="0">
            <x v="1783"/>
          </reference>
          <reference field="88" count="1">
            <x v="642"/>
          </reference>
        </references>
      </pivotArea>
    </format>
    <format dxfId="642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2"/>
          </reference>
          <reference field="82" count="1" selected="0">
            <x v="857"/>
          </reference>
          <reference field="85" count="1" selected="0">
            <x v="4"/>
          </reference>
          <reference field="87" count="1" selected="0">
            <x v="1784"/>
          </reference>
          <reference field="88" count="1">
            <x v="643"/>
          </reference>
        </references>
      </pivotArea>
    </format>
    <format dxfId="641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3"/>
          </reference>
          <reference field="82" count="1" selected="0">
            <x v="858"/>
          </reference>
          <reference field="85" count="1" selected="0">
            <x v="4"/>
          </reference>
          <reference field="87" count="1" selected="0">
            <x v="1785"/>
          </reference>
          <reference field="88" count="1">
            <x v="644"/>
          </reference>
        </references>
      </pivotArea>
    </format>
    <format dxfId="641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4"/>
          </reference>
          <reference field="82" count="1" selected="0">
            <x v="859"/>
          </reference>
          <reference field="85" count="1" selected="0">
            <x v="4"/>
          </reference>
          <reference field="87" count="1" selected="0">
            <x v="1786"/>
          </reference>
          <reference field="88" count="1">
            <x v="645"/>
          </reference>
        </references>
      </pivotArea>
    </format>
    <format dxfId="6417">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7"/>
          </reference>
          <reference field="82" count="1" selected="0">
            <x v="630"/>
          </reference>
          <reference field="85" count="1" selected="0">
            <x v="7"/>
          </reference>
          <reference field="87" count="1" selected="0">
            <x v="1558"/>
          </reference>
          <reference field="88" count="1">
            <x v="415"/>
          </reference>
        </references>
      </pivotArea>
    </format>
    <format dxfId="6416">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67"/>
          </reference>
          <reference field="82" count="1" selected="0">
            <x v="620"/>
          </reference>
          <reference field="85" count="1" selected="0">
            <x v="7"/>
          </reference>
          <reference field="87" count="1" selected="0">
            <x v="1548"/>
          </reference>
          <reference field="88" count="1">
            <x v="405"/>
          </reference>
        </references>
      </pivotArea>
    </format>
    <format dxfId="641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220"/>
          </reference>
          <reference field="82" count="1" selected="0">
            <x v="674"/>
          </reference>
          <reference field="85" count="1" selected="0">
            <x v="4"/>
          </reference>
          <reference field="87" count="1" selected="0">
            <x v="1602"/>
          </reference>
          <reference field="88" count="1">
            <x v="460"/>
          </reference>
        </references>
      </pivotArea>
    </format>
    <format dxfId="641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222"/>
          </reference>
          <reference field="82" count="1" selected="0">
            <x v="676"/>
          </reference>
          <reference field="85" count="1" selected="0">
            <x v="4"/>
          </reference>
          <reference field="87" count="1" selected="0">
            <x v="1604"/>
          </reference>
          <reference field="88" count="1">
            <x v="462"/>
          </reference>
        </references>
      </pivotArea>
    </format>
    <format dxfId="641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223"/>
          </reference>
          <reference field="82" count="1" selected="0">
            <x v="677"/>
          </reference>
          <reference field="85" count="1" selected="0">
            <x v="4"/>
          </reference>
          <reference field="87" count="1" selected="0">
            <x v="1605"/>
          </reference>
          <reference field="88" count="1">
            <x v="463"/>
          </reference>
        </references>
      </pivotArea>
    </format>
    <format dxfId="641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219"/>
          </reference>
          <reference field="82" count="1" selected="0">
            <x v="673"/>
          </reference>
          <reference field="85" count="1" selected="0">
            <x v="4"/>
          </reference>
          <reference field="87" count="1" selected="0">
            <x v="1601"/>
          </reference>
          <reference field="88" count="1">
            <x v="459"/>
          </reference>
        </references>
      </pivotArea>
    </format>
    <format dxfId="641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224"/>
          </reference>
          <reference field="82" count="1" selected="0">
            <x v="678"/>
          </reference>
          <reference field="85" count="1" selected="0">
            <x v="4"/>
          </reference>
          <reference field="87" count="1" selected="0">
            <x v="1606"/>
          </reference>
          <reference field="88" count="1">
            <x v="464"/>
          </reference>
        </references>
      </pivotArea>
    </format>
    <format dxfId="641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225"/>
          </reference>
          <reference field="82" count="1" selected="0">
            <x v="679"/>
          </reference>
          <reference field="85" count="1" selected="0">
            <x v="4"/>
          </reference>
          <reference field="87" count="1" selected="0">
            <x v="1607"/>
          </reference>
          <reference field="88" count="1">
            <x v="465"/>
          </reference>
        </references>
      </pivotArea>
    </format>
    <format dxfId="640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226"/>
          </reference>
          <reference field="82" count="1" selected="0">
            <x v="680"/>
          </reference>
          <reference field="85" count="1" selected="0">
            <x v="4"/>
          </reference>
          <reference field="87" count="1" selected="0">
            <x v="1608"/>
          </reference>
          <reference field="88" count="1">
            <x v="466"/>
          </reference>
        </references>
      </pivotArea>
    </format>
    <format dxfId="64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221"/>
          </reference>
          <reference field="82" count="1" selected="0">
            <x v="675"/>
          </reference>
          <reference field="85" count="1" selected="0">
            <x v="4"/>
          </reference>
          <reference field="87" count="1" selected="0">
            <x v="1603"/>
          </reference>
          <reference field="88" count="1">
            <x v="461"/>
          </reference>
        </references>
      </pivotArea>
    </format>
    <format dxfId="640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1"/>
          </reference>
          <reference field="82" count="1" selected="0">
            <x v="706"/>
          </reference>
          <reference field="85" count="1" selected="0">
            <x v="0"/>
          </reference>
          <reference field="87" count="1" selected="0">
            <x v="1633"/>
          </reference>
          <reference field="88" count="1">
            <x v="492"/>
          </reference>
        </references>
      </pivotArea>
    </format>
    <format dxfId="640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52"/>
          </reference>
          <reference field="82" count="1" selected="0">
            <x v="707"/>
          </reference>
          <reference field="85" count="1" selected="0">
            <x v="0"/>
          </reference>
          <reference field="87" count="1" selected="0">
            <x v="1634"/>
          </reference>
          <reference field="88" count="1">
            <x v="493"/>
          </reference>
        </references>
      </pivotArea>
    </format>
    <format dxfId="640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53"/>
          </reference>
          <reference field="82" count="1" selected="0">
            <x v="708"/>
          </reference>
          <reference field="85" count="1" selected="0">
            <x v="0"/>
          </reference>
          <reference field="87" count="1" selected="0">
            <x v="1635"/>
          </reference>
          <reference field="88" count="1">
            <x v="494"/>
          </reference>
        </references>
      </pivotArea>
    </format>
    <format dxfId="640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50"/>
          </reference>
          <reference field="82" count="1" selected="0">
            <x v="705"/>
          </reference>
          <reference field="85" count="1" selected="0">
            <x v="0"/>
          </reference>
          <reference field="87" count="1" selected="0">
            <x v="1632"/>
          </reference>
          <reference field="88" count="1">
            <x v="491"/>
          </reference>
        </references>
      </pivotArea>
    </format>
    <format dxfId="6403">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76"/>
          </reference>
          <reference field="82" count="1" selected="0">
            <x v="629"/>
          </reference>
          <reference field="85" count="1" selected="0">
            <x v="7"/>
          </reference>
          <reference field="87" count="1" selected="0">
            <x v="1557"/>
          </reference>
          <reference field="88" count="1">
            <x v="414"/>
          </reference>
        </references>
      </pivotArea>
    </format>
    <format dxfId="640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1"/>
          </reference>
          <reference field="82" count="1" selected="0">
            <x v="776"/>
          </reference>
          <reference field="85" count="1" selected="0">
            <x v="7"/>
          </reference>
          <reference field="87" count="1" selected="0">
            <x v="1703"/>
          </reference>
          <reference field="88" count="1">
            <x v="562"/>
          </reference>
        </references>
      </pivotArea>
    </format>
    <format dxfId="640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2"/>
          </reference>
          <reference field="82" count="1" selected="0">
            <x v="777"/>
          </reference>
          <reference field="85" count="1" selected="0">
            <x v="7"/>
          </reference>
          <reference field="87" count="1" selected="0">
            <x v="1704"/>
          </reference>
          <reference field="88" count="1">
            <x v="563"/>
          </reference>
        </references>
      </pivotArea>
    </format>
    <format dxfId="640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001"/>
          </reference>
          <reference field="82" count="1" selected="0">
            <x v="397"/>
          </reference>
          <reference field="85" count="1" selected="0">
            <x v="0"/>
          </reference>
          <reference field="87" count="1" selected="0">
            <x v="1477"/>
          </reference>
          <reference field="88" count="1">
            <x v="327"/>
          </reference>
        </references>
      </pivotArea>
    </format>
    <format dxfId="639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48"/>
          </reference>
          <reference field="82" count="1" selected="0">
            <x v="703"/>
          </reference>
          <reference field="85" count="1" selected="0">
            <x v="0"/>
          </reference>
          <reference field="87" count="1" selected="0">
            <x v="1630"/>
          </reference>
          <reference field="88" count="1">
            <x v="489"/>
          </reference>
        </references>
      </pivotArea>
    </format>
    <format dxfId="639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49"/>
          </reference>
          <reference field="82" count="1" selected="0">
            <x v="704"/>
          </reference>
          <reference field="85" count="1" selected="0">
            <x v="0"/>
          </reference>
          <reference field="87" count="1" selected="0">
            <x v="1631"/>
          </reference>
          <reference field="88" count="1">
            <x v="490"/>
          </reference>
        </references>
      </pivotArea>
    </format>
    <format dxfId="6397">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5"/>
          </reference>
          <reference field="82" count="1" selected="0">
            <x v="780"/>
          </reference>
          <reference field="85" count="1" selected="0">
            <x v="7"/>
          </reference>
          <reference field="87" count="1" selected="0">
            <x v="1707"/>
          </reference>
          <reference field="88" count="1">
            <x v="566"/>
          </reference>
        </references>
      </pivotArea>
    </format>
    <format dxfId="6396">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326"/>
          </reference>
          <reference field="82" count="1" selected="0">
            <x v="781"/>
          </reference>
          <reference field="85" count="1" selected="0">
            <x v="7"/>
          </reference>
          <reference field="87" count="1" selected="0">
            <x v="1708"/>
          </reference>
          <reference field="88" count="1">
            <x v="567"/>
          </reference>
        </references>
      </pivotArea>
    </format>
    <format dxfId="639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5"/>
          </reference>
          <reference field="82" count="1" selected="0">
            <x v="860"/>
          </reference>
          <reference field="85" count="1" selected="0">
            <x v="4"/>
          </reference>
          <reference field="87" count="1" selected="0">
            <x v="1787"/>
          </reference>
          <reference field="88" count="1">
            <x v="646"/>
          </reference>
        </references>
      </pivotArea>
    </format>
    <format dxfId="639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6"/>
          </reference>
          <reference field="82" count="1" selected="0">
            <x v="861"/>
          </reference>
          <reference field="85" count="1" selected="0">
            <x v="4"/>
          </reference>
          <reference field="87" count="1" selected="0">
            <x v="1788"/>
          </reference>
          <reference field="88" count="1">
            <x v="647"/>
          </reference>
        </references>
      </pivotArea>
    </format>
    <format dxfId="639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7"/>
          </reference>
          <reference field="82" count="1" selected="0">
            <x v="862"/>
          </reference>
          <reference field="85" count="1" selected="0">
            <x v="4"/>
          </reference>
          <reference field="87" count="1" selected="0">
            <x v="1789"/>
          </reference>
          <reference field="88" count="1">
            <x v="648"/>
          </reference>
        </references>
      </pivotArea>
    </format>
    <format dxfId="639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8"/>
          </reference>
          <reference field="82" count="1" selected="0">
            <x v="863"/>
          </reference>
          <reference field="85" count="1" selected="0">
            <x v="4"/>
          </reference>
          <reference field="87" count="1" selected="0">
            <x v="1790"/>
          </reference>
          <reference field="88" count="1">
            <x v="649"/>
          </reference>
        </references>
      </pivotArea>
    </format>
    <format dxfId="639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329"/>
          </reference>
          <reference field="82" count="1" selected="0">
            <x v="784"/>
          </reference>
          <reference field="85" count="1" selected="0">
            <x v="7"/>
          </reference>
          <reference field="87" count="1" selected="0">
            <x v="1711"/>
          </reference>
          <reference field="88" count="1">
            <x v="570"/>
          </reference>
        </references>
      </pivotArea>
    </format>
    <format dxfId="639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330"/>
          </reference>
          <reference field="82" count="1" selected="0">
            <x v="785"/>
          </reference>
          <reference field="85" count="1" selected="0">
            <x v="7"/>
          </reference>
          <reference field="87" count="1" selected="0">
            <x v="1712"/>
          </reference>
          <reference field="88" count="1">
            <x v="571"/>
          </reference>
        </references>
      </pivotArea>
    </format>
    <format dxfId="6389">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58"/>
          </reference>
          <reference field="82" count="1" selected="0">
            <x v="713"/>
          </reference>
          <reference field="85" count="1" selected="0">
            <x v="0"/>
          </reference>
          <reference field="87" count="1" selected="0">
            <x v="1640"/>
          </reference>
          <reference field="88" count="1">
            <x v="499"/>
          </reference>
        </references>
      </pivotArea>
    </format>
    <format dxfId="638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265"/>
          </reference>
          <reference field="82" count="1" selected="0">
            <x v="720"/>
          </reference>
          <reference field="85" count="1" selected="0">
            <x v="0"/>
          </reference>
          <reference field="87" count="1" selected="0">
            <x v="1647"/>
          </reference>
          <reference field="88" count="1">
            <x v="506"/>
          </reference>
        </references>
      </pivotArea>
    </format>
    <format dxfId="638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266"/>
          </reference>
          <reference field="82" count="1" selected="0">
            <x v="721"/>
          </reference>
          <reference field="85" count="1" selected="0">
            <x v="0"/>
          </reference>
          <reference field="87" count="1" selected="0">
            <x v="1648"/>
          </reference>
          <reference field="88" count="1">
            <x v="507"/>
          </reference>
        </references>
      </pivotArea>
    </format>
    <format dxfId="638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267"/>
          </reference>
          <reference field="82" count="1" selected="0">
            <x v="722"/>
          </reference>
          <reference field="85" count="1" selected="0">
            <x v="0"/>
          </reference>
          <reference field="87" count="1" selected="0">
            <x v="1649"/>
          </reference>
          <reference field="88" count="1">
            <x v="508"/>
          </reference>
        </references>
      </pivotArea>
    </format>
    <format dxfId="6385">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73"/>
          </reference>
          <reference field="82" count="1" selected="0">
            <x v="626"/>
          </reference>
          <reference field="85" count="1" selected="0">
            <x v="7"/>
          </reference>
          <reference field="87" count="1" selected="0">
            <x v="1554"/>
          </reference>
          <reference field="88" count="1">
            <x v="411"/>
          </reference>
        </references>
      </pivotArea>
    </format>
    <format dxfId="6384">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157"/>
          </reference>
          <reference field="82" count="1" selected="0">
            <x v="609"/>
          </reference>
          <reference field="85" count="1" selected="0">
            <x v="7"/>
          </reference>
          <reference field="87" count="1" selected="0">
            <x v="1538"/>
          </reference>
          <reference field="88" count="1">
            <x v="394"/>
          </reference>
        </references>
      </pivotArea>
    </format>
    <format dxfId="6383">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58"/>
          </reference>
          <reference field="82" count="1" selected="0">
            <x v="610"/>
          </reference>
          <reference field="85" count="1" selected="0">
            <x v="7"/>
          </reference>
          <reference field="87" count="1" selected="0">
            <x v="1539"/>
          </reference>
          <reference field="88" count="1">
            <x v="395"/>
          </reference>
        </references>
      </pivotArea>
    </format>
    <format dxfId="638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59"/>
          </reference>
          <reference field="82" count="1" selected="0">
            <x v="714"/>
          </reference>
          <reference field="85" count="1" selected="0">
            <x v="0"/>
          </reference>
          <reference field="87" count="1" selected="0">
            <x v="1641"/>
          </reference>
          <reference field="88" count="1">
            <x v="500"/>
          </reference>
        </references>
      </pivotArea>
    </format>
    <format dxfId="638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60"/>
          </reference>
          <reference field="82" count="1" selected="0">
            <x v="715"/>
          </reference>
          <reference field="85" count="1" selected="0">
            <x v="0"/>
          </reference>
          <reference field="87" count="1" selected="0">
            <x v="1642"/>
          </reference>
          <reference field="88" count="1">
            <x v="501"/>
          </reference>
        </references>
      </pivotArea>
    </format>
    <format dxfId="638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61"/>
          </reference>
          <reference field="82" count="1" selected="0">
            <x v="716"/>
          </reference>
          <reference field="85" count="1" selected="0">
            <x v="0"/>
          </reference>
          <reference field="87" count="1" selected="0">
            <x v="1643"/>
          </reference>
          <reference field="88" count="1">
            <x v="502"/>
          </reference>
        </references>
      </pivotArea>
    </format>
    <format dxfId="6379">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1"/>
          </reference>
          <reference field="82" count="1" selected="0">
            <x v="786"/>
          </reference>
          <reference field="85" count="1" selected="0">
            <x v="7"/>
          </reference>
          <reference field="87" count="1" selected="0">
            <x v="1713"/>
          </reference>
          <reference field="88" count="1">
            <x v="572"/>
          </reference>
        </references>
      </pivotArea>
    </format>
    <format dxfId="637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332"/>
          </reference>
          <reference field="82" count="1" selected="0">
            <x v="787"/>
          </reference>
          <reference field="85" count="1" selected="0">
            <x v="7"/>
          </reference>
          <reference field="87" count="1" selected="0">
            <x v="1714"/>
          </reference>
          <reference field="88" count="1">
            <x v="573"/>
          </reference>
        </references>
      </pivotArea>
    </format>
    <format dxfId="6377">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78"/>
          </reference>
          <reference field="82" count="1" selected="0">
            <x v="631"/>
          </reference>
          <reference field="85" count="1" selected="0">
            <x v="7"/>
          </reference>
          <reference field="87" count="1" selected="0">
            <x v="1559"/>
          </reference>
          <reference field="88" count="1">
            <x v="416"/>
          </reference>
        </references>
      </pivotArea>
    </format>
    <format dxfId="637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62"/>
          </reference>
          <reference field="82" count="1" selected="0">
            <x v="717"/>
          </reference>
          <reference field="85" count="1" selected="0">
            <x v="0"/>
          </reference>
          <reference field="87" count="1" selected="0">
            <x v="1644"/>
          </reference>
          <reference field="88" count="1">
            <x v="503"/>
          </reference>
        </references>
      </pivotArea>
    </format>
    <format dxfId="637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63"/>
          </reference>
          <reference field="82" count="1" selected="0">
            <x v="718"/>
          </reference>
          <reference field="85" count="1" selected="0">
            <x v="0"/>
          </reference>
          <reference field="87" count="1" selected="0">
            <x v="1645"/>
          </reference>
          <reference field="88" count="1">
            <x v="504"/>
          </reference>
        </references>
      </pivotArea>
    </format>
    <format dxfId="637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64"/>
          </reference>
          <reference field="82" count="1" selected="0">
            <x v="719"/>
          </reference>
          <reference field="85" count="1" selected="0">
            <x v="0"/>
          </reference>
          <reference field="87" count="1" selected="0">
            <x v="1646"/>
          </reference>
          <reference field="88" count="1">
            <x v="505"/>
          </reference>
        </references>
      </pivotArea>
    </format>
    <format dxfId="6373">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 field="85" count="1" selected="0">
            <x v="7"/>
          </reference>
          <reference field="87" count="1" selected="0">
            <x v="1720"/>
          </reference>
          <reference field="88" count="1">
            <x v="579"/>
          </reference>
        </references>
      </pivotArea>
    </format>
    <format dxfId="637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71"/>
          </reference>
          <reference field="82" count="1" selected="0">
            <x v="726"/>
          </reference>
          <reference field="85" count="1" selected="0">
            <x v="0"/>
          </reference>
          <reference field="87" count="1" selected="0">
            <x v="1653"/>
          </reference>
          <reference field="88" count="1">
            <x v="512"/>
          </reference>
        </references>
      </pivotArea>
    </format>
    <format dxfId="637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272"/>
          </reference>
          <reference field="82" count="1" selected="0">
            <x v="727"/>
          </reference>
          <reference field="85" count="1" selected="0">
            <x v="0"/>
          </reference>
          <reference field="87" count="1" selected="0">
            <x v="1654"/>
          </reference>
          <reference field="88" count="1">
            <x v="513"/>
          </reference>
        </references>
      </pivotArea>
    </format>
    <format dxfId="637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273"/>
          </reference>
          <reference field="82" count="1" selected="0">
            <x v="728"/>
          </reference>
          <reference field="85" count="1" selected="0">
            <x v="0"/>
          </reference>
          <reference field="87" count="1" selected="0">
            <x v="1655"/>
          </reference>
          <reference field="88" count="1">
            <x v="514"/>
          </reference>
        </references>
      </pivotArea>
    </format>
    <format dxfId="6369">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50"/>
          </reference>
          <reference field="82" count="1" selected="0">
            <x v="602"/>
          </reference>
          <reference field="85" count="1" selected="0">
            <x v="7"/>
          </reference>
          <reference field="87" count="1" selected="0">
            <x v="1531"/>
          </reference>
          <reference field="88" count="1">
            <x v="387"/>
          </reference>
        </references>
      </pivotArea>
    </format>
    <format dxfId="636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1"/>
          </reference>
          <reference field="82" count="1" selected="0">
            <x v="603"/>
          </reference>
          <reference field="85" count="1" selected="0">
            <x v="7"/>
          </reference>
          <reference field="87" count="1" selected="0">
            <x v="1532"/>
          </reference>
          <reference field="88" count="1">
            <x v="388"/>
          </reference>
        </references>
      </pivotArea>
    </format>
    <format dxfId="636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211"/>
          </reference>
          <reference field="82" count="1" selected="0">
            <x v="665"/>
          </reference>
          <reference field="85" count="1" selected="0">
            <x v="4"/>
          </reference>
          <reference field="87" count="1" selected="0">
            <x v="1593"/>
          </reference>
          <reference field="88" count="1">
            <x v="451"/>
          </reference>
        </references>
      </pivotArea>
    </format>
    <format dxfId="636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212"/>
          </reference>
          <reference field="82" count="1" selected="0">
            <x v="666"/>
          </reference>
          <reference field="85" count="1" selected="0">
            <x v="4"/>
          </reference>
          <reference field="87" count="1" selected="0">
            <x v="1594"/>
          </reference>
          <reference field="88" count="1">
            <x v="452"/>
          </reference>
        </references>
      </pivotArea>
    </format>
    <format dxfId="636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209"/>
          </reference>
          <reference field="82" count="1" selected="0">
            <x v="663"/>
          </reference>
          <reference field="85" count="1" selected="0">
            <x v="4"/>
          </reference>
          <reference field="87" count="1" selected="0">
            <x v="1591"/>
          </reference>
          <reference field="88" count="1">
            <x v="449"/>
          </reference>
        </references>
      </pivotArea>
    </format>
    <format dxfId="636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210"/>
          </reference>
          <reference field="82" count="1" selected="0">
            <x v="664"/>
          </reference>
          <reference field="85" count="1" selected="0">
            <x v="4"/>
          </reference>
          <reference field="87" count="1" selected="0">
            <x v="1592"/>
          </reference>
          <reference field="88" count="1">
            <x v="450"/>
          </reference>
        </references>
      </pivotArea>
    </format>
    <format dxfId="636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68"/>
          </reference>
          <reference field="82" count="1" selected="0">
            <x v="723"/>
          </reference>
          <reference field="85" count="1" selected="0">
            <x v="0"/>
          </reference>
          <reference field="87" count="1" selected="0">
            <x v="1650"/>
          </reference>
          <reference field="88" count="1">
            <x v="509"/>
          </reference>
        </references>
      </pivotArea>
    </format>
    <format dxfId="636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269"/>
          </reference>
          <reference field="82" count="1" selected="0">
            <x v="724"/>
          </reference>
          <reference field="85" count="1" selected="0">
            <x v="0"/>
          </reference>
          <reference field="87" count="1" selected="0">
            <x v="1651"/>
          </reference>
          <reference field="88" count="1">
            <x v="510"/>
          </reference>
        </references>
      </pivotArea>
    </format>
    <format dxfId="636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270"/>
          </reference>
          <reference field="82" count="1" selected="0">
            <x v="725"/>
          </reference>
          <reference field="85" count="1" selected="0">
            <x v="0"/>
          </reference>
          <reference field="87" count="1" selected="0">
            <x v="1652"/>
          </reference>
          <reference field="88" count="1">
            <x v="511"/>
          </reference>
        </references>
      </pivotArea>
    </format>
    <format dxfId="6360">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52"/>
          </reference>
          <reference field="82" count="1" selected="0">
            <x v="807"/>
          </reference>
          <reference field="85" count="1" selected="0">
            <x v="7"/>
          </reference>
          <reference field="87" count="1" selected="0">
            <x v="1734"/>
          </reference>
          <reference field="88" count="1">
            <x v="593"/>
          </reference>
        </references>
      </pivotArea>
    </format>
    <format dxfId="6359">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66"/>
          </reference>
          <reference field="82" count="1" selected="0">
            <x v="618"/>
          </reference>
          <reference field="85" count="1" selected="0">
            <x v="7"/>
          </reference>
          <reference field="87" count="1" selected="0">
            <x v="1547"/>
          </reference>
          <reference field="88" count="1">
            <x v="403"/>
          </reference>
        </references>
      </pivotArea>
    </format>
    <format dxfId="635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234"/>
          </reference>
          <reference field="82" count="1" selected="0">
            <x v="689"/>
          </reference>
          <reference field="85" count="1" selected="0">
            <x v="0"/>
          </reference>
          <reference field="87" count="1" selected="0">
            <x v="1616"/>
          </reference>
          <reference field="88" count="1">
            <x v="475"/>
          </reference>
        </references>
      </pivotArea>
    </format>
    <format dxfId="635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233"/>
          </reference>
          <reference field="82" count="1" selected="0">
            <x v="688"/>
          </reference>
          <reference field="85" count="1" selected="0">
            <x v="0"/>
          </reference>
          <reference field="87" count="1" selected="0">
            <x v="1615"/>
          </reference>
          <reference field="88" count="1">
            <x v="474"/>
          </reference>
        </references>
      </pivotArea>
    </format>
    <format dxfId="635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235"/>
          </reference>
          <reference field="82" count="1" selected="0">
            <x v="690"/>
          </reference>
          <reference field="85" count="1" selected="0">
            <x v="0"/>
          </reference>
          <reference field="87" count="1" selected="0">
            <x v="1617"/>
          </reference>
          <reference field="88" count="1">
            <x v="476"/>
          </reference>
        </references>
      </pivotArea>
    </format>
    <format dxfId="6355">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74"/>
          </reference>
          <reference field="82" count="1" selected="0">
            <x v="627"/>
          </reference>
          <reference field="85" count="1" selected="0">
            <x v="7"/>
          </reference>
          <reference field="87" count="1" selected="0">
            <x v="1555"/>
          </reference>
          <reference field="88" count="1">
            <x v="412"/>
          </reference>
        </references>
      </pivotArea>
    </format>
    <format dxfId="635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65"/>
          </reference>
          <reference field="82" count="1" selected="0">
            <x v="617"/>
          </reference>
          <reference field="85" count="1" selected="0">
            <x v="7"/>
          </reference>
          <reference field="87" count="1" selected="0">
            <x v="1546"/>
          </reference>
          <reference field="88" count="1">
            <x v="402"/>
          </reference>
        </references>
      </pivotArea>
    </format>
    <format dxfId="635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215"/>
          </reference>
          <reference field="82" count="1" selected="0">
            <x v="669"/>
          </reference>
          <reference field="85" count="1" selected="0">
            <x v="4"/>
          </reference>
          <reference field="87" count="1" selected="0">
            <x v="1597"/>
          </reference>
          <reference field="88" count="1">
            <x v="455"/>
          </reference>
        </references>
      </pivotArea>
    </format>
    <format dxfId="635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216"/>
          </reference>
          <reference field="82" count="1" selected="0">
            <x v="670"/>
          </reference>
          <reference field="85" count="1" selected="0">
            <x v="4"/>
          </reference>
          <reference field="87" count="1" selected="0">
            <x v="1598"/>
          </reference>
          <reference field="88" count="1">
            <x v="456"/>
          </reference>
        </references>
      </pivotArea>
    </format>
    <format dxfId="635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213"/>
          </reference>
          <reference field="82" count="1" selected="0">
            <x v="667"/>
          </reference>
          <reference field="85" count="1" selected="0">
            <x v="4"/>
          </reference>
          <reference field="87" count="1" selected="0">
            <x v="1595"/>
          </reference>
          <reference field="88" count="1">
            <x v="453"/>
          </reference>
        </references>
      </pivotArea>
    </format>
    <format dxfId="635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214"/>
          </reference>
          <reference field="82" count="1" selected="0">
            <x v="668"/>
          </reference>
          <reference field="85" count="1" selected="0">
            <x v="4"/>
          </reference>
          <reference field="87" count="1" selected="0">
            <x v="1596"/>
          </reference>
          <reference field="88" count="1">
            <x v="454"/>
          </reference>
        </references>
      </pivotArea>
    </format>
    <format dxfId="634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0"/>
          </reference>
          <reference field="82" count="1" selected="0">
            <x v="685"/>
          </reference>
          <reference field="85" count="1" selected="0">
            <x v="0"/>
          </reference>
          <reference field="87" count="1" selected="0">
            <x v="1612"/>
          </reference>
          <reference field="88" count="1">
            <x v="471"/>
          </reference>
        </references>
      </pivotArea>
    </format>
    <format dxfId="634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31"/>
          </reference>
          <reference field="82" count="1" selected="0">
            <x v="686"/>
          </reference>
          <reference field="85" count="1" selected="0">
            <x v="0"/>
          </reference>
          <reference field="87" count="1" selected="0">
            <x v="1613"/>
          </reference>
          <reference field="88" count="1">
            <x v="472"/>
          </reference>
        </references>
      </pivotArea>
    </format>
    <format dxfId="634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32"/>
          </reference>
          <reference field="82" count="1" selected="0">
            <x v="687"/>
          </reference>
          <reference field="85" count="1" selected="0">
            <x v="0"/>
          </reference>
          <reference field="87" count="1" selected="0">
            <x v="1614"/>
          </reference>
          <reference field="88" count="1">
            <x v="473"/>
          </reference>
        </references>
      </pivotArea>
    </format>
    <format dxfId="6346">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44"/>
          </reference>
          <reference field="82" count="1" selected="0">
            <x v="799"/>
          </reference>
          <reference field="85" count="1" selected="0">
            <x v="7"/>
          </reference>
          <reference field="87" count="1" selected="0">
            <x v="1726"/>
          </reference>
          <reference field="88" count="1">
            <x v="585"/>
          </reference>
        </references>
      </pivotArea>
    </format>
    <format dxfId="634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36"/>
          </reference>
          <reference field="82" count="1" selected="0">
            <x v="691"/>
          </reference>
          <reference field="85" count="1" selected="0">
            <x v="0"/>
          </reference>
          <reference field="87" count="1" selected="0">
            <x v="1618"/>
          </reference>
          <reference field="88" count="1">
            <x v="477"/>
          </reference>
        </references>
      </pivotArea>
    </format>
    <format dxfId="634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37"/>
          </reference>
          <reference field="82" count="1" selected="0">
            <x v="692"/>
          </reference>
          <reference field="85" count="1" selected="0">
            <x v="0"/>
          </reference>
          <reference field="87" count="1" selected="0">
            <x v="1619"/>
          </reference>
          <reference field="88" count="1">
            <x v="478"/>
          </reference>
        </references>
      </pivotArea>
    </format>
    <format dxfId="634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38"/>
          </reference>
          <reference field="82" count="1" selected="0">
            <x v="693"/>
          </reference>
          <reference field="85" count="1" selected="0">
            <x v="0"/>
          </reference>
          <reference field="87" count="1" selected="0">
            <x v="1620"/>
          </reference>
          <reference field="88" count="1">
            <x v="479"/>
          </reference>
        </references>
      </pivotArea>
    </format>
    <format dxfId="6342">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59"/>
          </reference>
          <reference field="82" count="1" selected="0">
            <x v="611"/>
          </reference>
          <reference field="85" count="1" selected="0">
            <x v="7"/>
          </reference>
          <reference field="87" count="1" selected="0">
            <x v="1540"/>
          </reference>
          <reference field="88" count="1">
            <x v="396"/>
          </reference>
        </references>
      </pivotArea>
    </format>
    <format dxfId="634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60"/>
          </reference>
          <reference field="82" count="1" selected="0">
            <x v="612"/>
          </reference>
          <reference field="85" count="1" selected="0">
            <x v="7"/>
          </reference>
          <reference field="87" count="1" selected="0">
            <x v="1541"/>
          </reference>
          <reference field="88" count="1">
            <x v="397"/>
          </reference>
        </references>
      </pivotArea>
    </format>
    <format dxfId="634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39"/>
          </reference>
          <reference field="82" count="1" selected="0">
            <x v="694"/>
          </reference>
          <reference field="85" count="1" selected="0">
            <x v="0"/>
          </reference>
          <reference field="87" count="1" selected="0">
            <x v="1621"/>
          </reference>
          <reference field="88" count="1">
            <x v="480"/>
          </reference>
        </references>
      </pivotArea>
    </format>
    <format dxfId="633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240"/>
          </reference>
          <reference field="82" count="1" selected="0">
            <x v="695"/>
          </reference>
          <reference field="85" count="1" selected="0">
            <x v="0"/>
          </reference>
          <reference field="87" count="1" selected="0">
            <x v="1622"/>
          </reference>
          <reference field="88" count="1">
            <x v="481"/>
          </reference>
        </references>
      </pivotArea>
    </format>
    <format dxfId="633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41"/>
          </reference>
          <reference field="82" count="1" selected="0">
            <x v="696"/>
          </reference>
          <reference field="85" count="1" selected="0">
            <x v="0"/>
          </reference>
          <reference field="87" count="1" selected="0">
            <x v="1623"/>
          </reference>
          <reference field="88" count="1">
            <x v="482"/>
          </reference>
        </references>
      </pivotArea>
    </format>
    <format dxfId="633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98"/>
          </reference>
          <reference field="82" count="1" selected="0">
            <x v="753"/>
          </reference>
          <reference field="85" count="1" selected="0">
            <x v="2"/>
          </reference>
          <reference field="87" count="1" selected="0">
            <x v="1680"/>
          </reference>
          <reference field="88" count="1">
            <x v="539"/>
          </reference>
        </references>
      </pivotArea>
    </format>
    <format dxfId="633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297"/>
          </reference>
          <reference field="82" count="1" selected="0">
            <x v="752"/>
          </reference>
          <reference field="85" count="1" selected="0">
            <x v="2"/>
          </reference>
          <reference field="87" count="1" selected="0">
            <x v="1679"/>
          </reference>
          <reference field="88" count="1">
            <x v="538"/>
          </reference>
        </references>
      </pivotArea>
    </format>
    <format dxfId="633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299"/>
          </reference>
          <reference field="82" count="1" selected="0">
            <x v="754"/>
          </reference>
          <reference field="85" count="1" selected="0">
            <x v="2"/>
          </reference>
          <reference field="87" count="1" selected="0">
            <x v="1681"/>
          </reference>
          <reference field="88" count="1">
            <x v="540"/>
          </reference>
        </references>
      </pivotArea>
    </format>
    <format dxfId="633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42"/>
          </reference>
          <reference field="82" count="1" selected="0">
            <x v="697"/>
          </reference>
          <reference field="85" count="1" selected="0">
            <x v="0"/>
          </reference>
          <reference field="87" count="1" selected="0">
            <x v="1624"/>
          </reference>
          <reference field="88" count="1">
            <x v="483"/>
          </reference>
        </references>
      </pivotArea>
    </format>
    <format dxfId="633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003"/>
          </reference>
          <reference field="82" count="1" selected="0">
            <x v="538"/>
          </reference>
          <reference field="85" count="1" selected="0">
            <x v="0"/>
          </reference>
          <reference field="87" count="1" selected="0">
            <x v="1472"/>
          </reference>
          <reference field="88" count="1">
            <x v="322"/>
          </reference>
        </references>
      </pivotArea>
    </format>
    <format dxfId="633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43"/>
          </reference>
          <reference field="82" count="1" selected="0">
            <x v="698"/>
          </reference>
          <reference field="85" count="1" selected="0">
            <x v="0"/>
          </reference>
          <reference field="87" count="1" selected="0">
            <x v="1625"/>
          </reference>
          <reference field="88" count="1">
            <x v="484"/>
          </reference>
        </references>
      </pivotArea>
    </format>
    <format dxfId="6331">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35"/>
          </reference>
          <reference field="82" count="1" selected="0">
            <x v="790"/>
          </reference>
          <reference field="85" count="1" selected="0">
            <x v="7"/>
          </reference>
          <reference field="87" count="1" selected="0">
            <x v="1717"/>
          </reference>
          <reference field="88" count="1">
            <x v="576"/>
          </reference>
        </references>
      </pivotArea>
    </format>
    <format dxfId="633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38"/>
          </reference>
          <reference field="82" count="1" selected="0">
            <x v="893"/>
          </reference>
          <reference field="85" count="1" selected="0">
            <x v="4"/>
          </reference>
          <reference field="87" count="1" selected="0">
            <x v="1820"/>
          </reference>
          <reference field="88" count="1">
            <x v="679"/>
          </reference>
        </references>
      </pivotArea>
    </format>
    <format dxfId="632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39"/>
          </reference>
          <reference field="82" count="1" selected="0">
            <x v="894"/>
          </reference>
          <reference field="85" count="1" selected="0">
            <x v="4"/>
          </reference>
          <reference field="87" count="1" selected="0">
            <x v="1821"/>
          </reference>
          <reference field="88" count="1">
            <x v="680"/>
          </reference>
        </references>
      </pivotArea>
    </format>
    <format dxfId="632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40"/>
          </reference>
          <reference field="82" count="1" selected="0">
            <x v="895"/>
          </reference>
          <reference field="85" count="1" selected="0">
            <x v="4"/>
          </reference>
          <reference field="87" count="1" selected="0">
            <x v="1822"/>
          </reference>
          <reference field="88" count="1">
            <x v="681"/>
          </reference>
        </references>
      </pivotArea>
    </format>
    <format dxfId="632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41"/>
          </reference>
          <reference field="82" count="1" selected="0">
            <x v="896"/>
          </reference>
          <reference field="85" count="1" selected="0">
            <x v="4"/>
          </reference>
          <reference field="87" count="1" selected="0">
            <x v="1823"/>
          </reference>
          <reference field="88" count="1">
            <x v="682"/>
          </reference>
        </references>
      </pivotArea>
    </format>
    <format dxfId="632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62"/>
          </reference>
          <reference field="82" count="1" selected="0">
            <x v="817"/>
          </reference>
          <reference field="85" count="1" selected="0">
            <x v="4"/>
          </reference>
          <reference field="87" count="1" selected="0">
            <x v="1744"/>
          </reference>
          <reference field="88" count="1">
            <x v="603"/>
          </reference>
        </references>
      </pivotArea>
    </format>
    <format dxfId="632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63"/>
          </reference>
          <reference field="82" count="1" selected="0">
            <x v="818"/>
          </reference>
          <reference field="85" count="1" selected="0">
            <x v="4"/>
          </reference>
          <reference field="87" count="1" selected="0">
            <x v="1745"/>
          </reference>
          <reference field="88" count="1">
            <x v="604"/>
          </reference>
        </references>
      </pivotArea>
    </format>
    <format dxfId="632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64"/>
          </reference>
          <reference field="82" count="1" selected="0">
            <x v="819"/>
          </reference>
          <reference field="85" count="1" selected="0">
            <x v="4"/>
          </reference>
          <reference field="87" count="1" selected="0">
            <x v="1746"/>
          </reference>
          <reference field="88" count="1">
            <x v="605"/>
          </reference>
        </references>
      </pivotArea>
    </format>
    <format dxfId="632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65"/>
          </reference>
          <reference field="82" count="1" selected="0">
            <x v="820"/>
          </reference>
          <reference field="85" count="1" selected="0">
            <x v="4"/>
          </reference>
          <reference field="87" count="1" selected="0">
            <x v="1747"/>
          </reference>
          <reference field="88" count="1">
            <x v="606"/>
          </reference>
        </references>
      </pivotArea>
    </format>
    <format dxfId="632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39"/>
          </reference>
          <reference field="82" count="1" selected="0">
            <x v="591"/>
          </reference>
          <reference field="85" count="1" selected="0">
            <x v="3"/>
          </reference>
          <reference field="87" count="1" selected="0">
            <x v="1520"/>
          </reference>
          <reference field="88" count="1">
            <x v="376"/>
          </reference>
        </references>
      </pivotArea>
    </format>
    <format dxfId="632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138"/>
          </reference>
          <reference field="82" count="1" selected="0">
            <x v="590"/>
          </reference>
          <reference field="85" count="1" selected="0">
            <x v="3"/>
          </reference>
          <reference field="87" count="1" selected="0">
            <x v="1519"/>
          </reference>
          <reference field="88" count="1">
            <x v="375"/>
          </reference>
        </references>
      </pivotArea>
    </format>
    <format dxfId="632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8"/>
          </reference>
          <reference field="82" count="1" selected="0">
            <x v="813"/>
          </reference>
          <reference field="85" count="1" selected="0">
            <x v="4"/>
          </reference>
          <reference field="87" count="1" selected="0">
            <x v="1740"/>
          </reference>
          <reference field="88" count="1">
            <x v="599"/>
          </reference>
        </references>
      </pivotArea>
    </format>
    <format dxfId="631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9"/>
          </reference>
          <reference field="82" count="1" selected="0">
            <x v="814"/>
          </reference>
          <reference field="85" count="1" selected="0">
            <x v="4"/>
          </reference>
          <reference field="87" count="1" selected="0">
            <x v="1741"/>
          </reference>
          <reference field="88" count="1">
            <x v="600"/>
          </reference>
        </references>
      </pivotArea>
    </format>
    <format dxfId="631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60"/>
          </reference>
          <reference field="82" count="1" selected="0">
            <x v="815"/>
          </reference>
          <reference field="85" count="1" selected="0">
            <x v="4"/>
          </reference>
          <reference field="87" count="1" selected="0">
            <x v="1742"/>
          </reference>
          <reference field="88" count="1">
            <x v="601"/>
          </reference>
        </references>
      </pivotArea>
    </format>
    <format dxfId="631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61"/>
          </reference>
          <reference field="82" count="1" selected="0">
            <x v="816"/>
          </reference>
          <reference field="85" count="1" selected="0">
            <x v="4"/>
          </reference>
          <reference field="87" count="1" selected="0">
            <x v="1743"/>
          </reference>
          <reference field="88" count="1">
            <x v="602"/>
          </reference>
        </references>
      </pivotArea>
    </format>
    <format dxfId="631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54"/>
          </reference>
          <reference field="82" count="1" selected="0">
            <x v="809"/>
          </reference>
          <reference field="85" count="1" selected="0">
            <x v="4"/>
          </reference>
          <reference field="87" count="1" selected="0">
            <x v="1736"/>
          </reference>
          <reference field="88" count="1">
            <x v="595"/>
          </reference>
        </references>
      </pivotArea>
    </format>
    <format dxfId="631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55"/>
          </reference>
          <reference field="82" count="1" selected="0">
            <x v="810"/>
          </reference>
          <reference field="85" count="1" selected="0">
            <x v="4"/>
          </reference>
          <reference field="87" count="1" selected="0">
            <x v="1737"/>
          </reference>
          <reference field="88" count="1">
            <x v="596"/>
          </reference>
        </references>
      </pivotArea>
    </format>
    <format dxfId="631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56"/>
          </reference>
          <reference field="82" count="1" selected="0">
            <x v="811"/>
          </reference>
          <reference field="85" count="1" selected="0">
            <x v="4"/>
          </reference>
          <reference field="87" count="1" selected="0">
            <x v="1738"/>
          </reference>
          <reference field="88" count="1">
            <x v="597"/>
          </reference>
        </references>
      </pivotArea>
    </format>
    <format dxfId="631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57"/>
          </reference>
          <reference field="82" count="1" selected="0">
            <x v="812"/>
          </reference>
          <reference field="85" count="1" selected="0">
            <x v="4"/>
          </reference>
          <reference field="87" count="1" selected="0">
            <x v="1739"/>
          </reference>
          <reference field="88" count="1">
            <x v="598"/>
          </reference>
        </references>
      </pivotArea>
    </format>
    <format dxfId="631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75"/>
          </reference>
          <reference field="82" count="1" selected="0">
            <x v="730"/>
          </reference>
          <reference field="85" count="1" selected="0">
            <x v="0"/>
          </reference>
          <reference field="87" count="1" selected="0">
            <x v="1657"/>
          </reference>
          <reference field="88" count="1">
            <x v="516"/>
          </reference>
        </references>
      </pivotArea>
    </format>
    <format dxfId="631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276"/>
          </reference>
          <reference field="82" count="1" selected="0">
            <x v="731"/>
          </reference>
          <reference field="85" count="1" selected="0">
            <x v="0"/>
          </reference>
          <reference field="87" count="1" selected="0">
            <x v="1658"/>
          </reference>
          <reference field="88" count="1">
            <x v="517"/>
          </reference>
        </references>
      </pivotArea>
    </format>
    <format dxfId="631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274"/>
          </reference>
          <reference field="82" count="1" selected="0">
            <x v="729"/>
          </reference>
          <reference field="85" count="1" selected="0">
            <x v="0"/>
          </reference>
          <reference field="87" count="1" selected="0">
            <x v="1656"/>
          </reference>
          <reference field="88" count="1">
            <x v="515"/>
          </reference>
        </references>
      </pivotArea>
    </format>
    <format dxfId="630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52"/>
          </reference>
          <reference field="82" count="1" selected="0">
            <x v="604"/>
          </reference>
          <reference field="85" count="1" selected="0">
            <x v="7"/>
          </reference>
          <reference field="87" count="1" selected="0">
            <x v="1533"/>
          </reference>
          <reference field="88" count="1">
            <x v="389"/>
          </reference>
        </references>
      </pivotArea>
    </format>
    <format dxfId="630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53"/>
          </reference>
          <reference field="82" count="1" selected="0">
            <x v="605"/>
          </reference>
          <reference field="85" count="1" selected="0">
            <x v="7"/>
          </reference>
          <reference field="87" count="1" selected="0">
            <x v="1534"/>
          </reference>
          <reference field="88" count="1">
            <x v="390"/>
          </reference>
        </references>
      </pivotArea>
    </format>
    <format dxfId="630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selected="0">
            <x v="606"/>
          </reference>
          <reference field="85" count="1" selected="0">
            <x v="7"/>
          </reference>
          <reference field="87" count="1" selected="0">
            <x v="1535"/>
          </reference>
          <reference field="88" count="1">
            <x v="391"/>
          </reference>
        </references>
      </pivotArea>
    </format>
    <format dxfId="630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205"/>
          </reference>
          <reference field="82" count="1" selected="0">
            <x v="659"/>
          </reference>
          <reference field="85" count="1" selected="0">
            <x v="4"/>
          </reference>
          <reference field="87" count="1" selected="0">
            <x v="1587"/>
          </reference>
          <reference field="88" count="1">
            <x v="445"/>
          </reference>
        </references>
      </pivotArea>
    </format>
    <format dxfId="630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206"/>
          </reference>
          <reference field="82" count="1" selected="0">
            <x v="660"/>
          </reference>
          <reference field="85" count="1" selected="0">
            <x v="4"/>
          </reference>
          <reference field="87" count="1" selected="0">
            <x v="1588"/>
          </reference>
          <reference field="88" count="1">
            <x v="446"/>
          </reference>
        </references>
      </pivotArea>
    </format>
    <format dxfId="630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207"/>
          </reference>
          <reference field="82" count="1" selected="0">
            <x v="661"/>
          </reference>
          <reference field="85" count="1" selected="0">
            <x v="4"/>
          </reference>
          <reference field="87" count="1" selected="0">
            <x v="1589"/>
          </reference>
          <reference field="88" count="1">
            <x v="447"/>
          </reference>
        </references>
      </pivotArea>
    </format>
    <format dxfId="630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208"/>
          </reference>
          <reference field="82" count="1" selected="0">
            <x v="662"/>
          </reference>
          <reference field="85" count="1" selected="0">
            <x v="4"/>
          </reference>
          <reference field="87" count="1" selected="0">
            <x v="1590"/>
          </reference>
          <reference field="88" count="1">
            <x v="448"/>
          </reference>
        </references>
      </pivotArea>
    </format>
    <format dxfId="630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86"/>
          </reference>
          <reference field="82" count="1" selected="0">
            <x v="741"/>
          </reference>
          <reference field="85" count="1" selected="0">
            <x v="0"/>
          </reference>
          <reference field="87" count="1" selected="0">
            <x v="1668"/>
          </reference>
          <reference field="88" count="1">
            <x v="527"/>
          </reference>
        </references>
      </pivotArea>
    </format>
    <format dxfId="630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287"/>
          </reference>
          <reference field="82" count="1" selected="0">
            <x v="742"/>
          </reference>
          <reference field="85" count="1" selected="0">
            <x v="0"/>
          </reference>
          <reference field="87" count="1" selected="0">
            <x v="1669"/>
          </reference>
          <reference field="88" count="1">
            <x v="528"/>
          </reference>
        </references>
      </pivotArea>
    </format>
    <format dxfId="630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288"/>
          </reference>
          <reference field="82" count="1" selected="0">
            <x v="743"/>
          </reference>
          <reference field="85" count="1" selected="0">
            <x v="0"/>
          </reference>
          <reference field="87" count="1" selected="0">
            <x v="1670"/>
          </reference>
          <reference field="88" count="1">
            <x v="529"/>
          </reference>
        </references>
      </pivotArea>
    </format>
    <format dxfId="6299">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50"/>
          </reference>
          <reference field="82" count="1" selected="0">
            <x v="805"/>
          </reference>
          <reference field="85" count="1" selected="0">
            <x v="7"/>
          </reference>
          <reference field="87" count="1" selected="0">
            <x v="1732"/>
          </reference>
          <reference field="88" count="1">
            <x v="591"/>
          </reference>
        </references>
      </pivotArea>
    </format>
    <format dxfId="629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51"/>
          </reference>
          <reference field="82" count="1" selected="0">
            <x v="806"/>
          </reference>
          <reference field="85" count="1" selected="0">
            <x v="7"/>
          </reference>
          <reference field="87" count="1" selected="0">
            <x v="1733"/>
          </reference>
          <reference field="88" count="1">
            <x v="592"/>
          </reference>
        </references>
      </pivotArea>
    </format>
    <format dxfId="629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8"/>
          </reference>
          <reference field="82" count="1" selected="0">
            <x v="600"/>
          </reference>
          <reference field="85" count="1" selected="0">
            <x v="3"/>
          </reference>
          <reference field="87" count="1" selected="0">
            <x v="1529"/>
          </reference>
          <reference field="88" count="1">
            <x v="385"/>
          </reference>
        </references>
      </pivotArea>
    </format>
    <format dxfId="6296">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1"/>
          </reference>
          <reference field="82" count="1" selected="0">
            <x v="613"/>
          </reference>
          <reference field="85" count="1" selected="0">
            <x v="7"/>
          </reference>
          <reference field="87" count="1" selected="0">
            <x v="1542"/>
          </reference>
          <reference field="88" count="1">
            <x v="398"/>
          </reference>
        </references>
      </pivotArea>
    </format>
    <format dxfId="629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62"/>
          </reference>
          <reference field="82" count="1" selected="0">
            <x v="614"/>
          </reference>
          <reference field="85" count="1" selected="0">
            <x v="7"/>
          </reference>
          <reference field="87" count="1" selected="0">
            <x v="1543"/>
          </reference>
          <reference field="88" count="1">
            <x v="399"/>
          </reference>
        </references>
      </pivotArea>
    </format>
    <format dxfId="629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55"/>
          </reference>
          <reference field="82" count="1" selected="0">
            <x v="607"/>
          </reference>
          <reference field="85" count="1" selected="0">
            <x v="7"/>
          </reference>
          <reference field="87" count="1" selected="0">
            <x v="1536"/>
          </reference>
          <reference field="88" count="1">
            <x v="392"/>
          </reference>
        </references>
      </pivotArea>
    </format>
    <format dxfId="629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56"/>
          </reference>
          <reference field="82" count="1" selected="0">
            <x v="608"/>
          </reference>
          <reference field="85" count="1" selected="0">
            <x v="7"/>
          </reference>
          <reference field="87" count="1" selected="0">
            <x v="1537"/>
          </reference>
          <reference field="88" count="1">
            <x v="393"/>
          </reference>
        </references>
      </pivotArea>
    </format>
    <format dxfId="629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54"/>
          </reference>
          <reference field="82" count="1" selected="0">
            <x v="606"/>
          </reference>
          <reference field="85" count="1" selected="0">
            <x v="7"/>
          </reference>
          <reference field="87" count="1" selected="0">
            <x v="1535"/>
          </reference>
          <reference field="88" count="1">
            <x v="391"/>
          </reference>
        </references>
      </pivotArea>
    </format>
    <format dxfId="629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202"/>
          </reference>
          <reference field="82" count="1" selected="0">
            <x v="655"/>
          </reference>
          <reference field="85" count="1" selected="0">
            <x v="4"/>
          </reference>
          <reference field="87" count="1" selected="0">
            <x v="1584"/>
          </reference>
          <reference field="88" count="1">
            <x v="441"/>
          </reference>
        </references>
      </pivotArea>
    </format>
    <format dxfId="629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200"/>
          </reference>
          <reference field="82" count="1" selected="0">
            <x v="656"/>
          </reference>
          <reference field="85" count="1" selected="0">
            <x v="4"/>
          </reference>
          <reference field="87" count="1" selected="0">
            <x v="1582"/>
          </reference>
          <reference field="88" count="1">
            <x v="442"/>
          </reference>
        </references>
      </pivotArea>
    </format>
    <format dxfId="628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203"/>
          </reference>
          <reference field="82" count="1" selected="0">
            <x v="657"/>
          </reference>
          <reference field="85" count="1" selected="0">
            <x v="4"/>
          </reference>
          <reference field="87" count="1" selected="0">
            <x v="1585"/>
          </reference>
          <reference field="88" count="1">
            <x v="443"/>
          </reference>
        </references>
      </pivotArea>
    </format>
    <format dxfId="628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204"/>
          </reference>
          <reference field="82" count="1" selected="0">
            <x v="658"/>
          </reference>
          <reference field="85" count="1" selected="0">
            <x v="4"/>
          </reference>
          <reference field="87" count="1" selected="0">
            <x v="1586"/>
          </reference>
          <reference field="88" count="1">
            <x v="444"/>
          </reference>
        </references>
      </pivotArea>
    </format>
    <format dxfId="628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83"/>
          </reference>
          <reference field="82" count="1" selected="0">
            <x v="738"/>
          </reference>
          <reference field="85" count="1" selected="0">
            <x v="0"/>
          </reference>
          <reference field="87" count="1" selected="0">
            <x v="1665"/>
          </reference>
          <reference field="88" count="1">
            <x v="524"/>
          </reference>
        </references>
      </pivotArea>
    </format>
    <format dxfId="628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284"/>
          </reference>
          <reference field="82" count="1" selected="0">
            <x v="739"/>
          </reference>
          <reference field="85" count="1" selected="0">
            <x v="0"/>
          </reference>
          <reference field="87" count="1" selected="0">
            <x v="1666"/>
          </reference>
          <reference field="88" count="1">
            <x v="525"/>
          </reference>
        </references>
      </pivotArea>
    </format>
    <format dxfId="628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285"/>
          </reference>
          <reference field="82" count="1" selected="0">
            <x v="740"/>
          </reference>
          <reference field="85" count="1" selected="0">
            <x v="0"/>
          </reference>
          <reference field="87" count="1" selected="0">
            <x v="1667"/>
          </reference>
          <reference field="88" count="1">
            <x v="526"/>
          </reference>
        </references>
      </pivotArea>
    </format>
    <format dxfId="6284">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49"/>
          </reference>
          <reference field="82" count="1" selected="0">
            <x v="804"/>
          </reference>
          <reference field="85" count="1" selected="0">
            <x v="7"/>
          </reference>
          <reference field="87" count="1" selected="0">
            <x v="1731"/>
          </reference>
          <reference field="88" count="1">
            <x v="590"/>
          </reference>
        </references>
      </pivotArea>
    </format>
    <format dxfId="628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49"/>
          </reference>
          <reference field="82" count="1" selected="0">
            <x v="601"/>
          </reference>
          <reference field="85" count="1" selected="0">
            <x v="3"/>
          </reference>
          <reference field="87" count="1" selected="0">
            <x v="1530"/>
          </reference>
          <reference field="88" count="1">
            <x v="386"/>
          </reference>
        </references>
      </pivotArea>
    </format>
    <format dxfId="628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63"/>
          </reference>
          <reference field="82" count="1" selected="0">
            <x v="615"/>
          </reference>
          <reference field="85" count="1" selected="0">
            <x v="7"/>
          </reference>
          <reference field="87" count="1" selected="0">
            <x v="1544"/>
          </reference>
          <reference field="88" count="1">
            <x v="400"/>
          </reference>
        </references>
      </pivotArea>
    </format>
    <format dxfId="628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64"/>
          </reference>
          <reference field="82" count="1" selected="0">
            <x v="616"/>
          </reference>
          <reference field="85" count="1" selected="0">
            <x v="7"/>
          </reference>
          <reference field="87" count="1" selected="0">
            <x v="1545"/>
          </reference>
          <reference field="88" count="1">
            <x v="401"/>
          </reference>
        </references>
      </pivotArea>
    </format>
    <format dxfId="628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43"/>
          </reference>
          <reference field="82" count="1" selected="0">
            <x v="595"/>
          </reference>
          <reference field="85" count="1" selected="0">
            <x v="3"/>
          </reference>
          <reference field="87" count="1" selected="0">
            <x v="1524"/>
          </reference>
          <reference field="88" count="1">
            <x v="380"/>
          </reference>
        </references>
      </pivotArea>
    </format>
    <format dxfId="627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142"/>
          </reference>
          <reference field="82" count="1" selected="0">
            <x v="594"/>
          </reference>
          <reference field="85" count="1" selected="0">
            <x v="3"/>
          </reference>
          <reference field="87" count="1" selected="0">
            <x v="1523"/>
          </reference>
          <reference field="88" count="1">
            <x v="379"/>
          </reference>
        </references>
      </pivotArea>
    </format>
    <format dxfId="627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140"/>
          </reference>
          <reference field="82" count="1" selected="0">
            <x v="592"/>
          </reference>
          <reference field="85" count="1" selected="0">
            <x v="3"/>
          </reference>
          <reference field="87" count="1" selected="0">
            <x v="1521"/>
          </reference>
          <reference field="88" count="1">
            <x v="377"/>
          </reference>
        </references>
      </pivotArea>
    </format>
    <format dxfId="627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141"/>
          </reference>
          <reference field="82" count="1" selected="0">
            <x v="593"/>
          </reference>
          <reference field="85" count="1" selected="0">
            <x v="3"/>
          </reference>
          <reference field="87" count="1" selected="0">
            <x v="1522"/>
          </reference>
          <reference field="88" count="1">
            <x v="378"/>
          </reference>
        </references>
      </pivotArea>
    </format>
    <format dxfId="6276">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7"/>
          </reference>
          <reference field="82" count="1" selected="0">
            <x v="671"/>
          </reference>
          <reference field="85" count="1" selected="0">
            <x v="4"/>
          </reference>
          <reference field="87" count="1" selected="0">
            <x v="1599"/>
          </reference>
          <reference field="88" count="1">
            <x v="457"/>
          </reference>
        </references>
      </pivotArea>
    </format>
    <format dxfId="627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77"/>
          </reference>
          <reference field="82" count="1" selected="0">
            <x v="732"/>
          </reference>
          <reference field="85" count="1" selected="0">
            <x v="0"/>
          </reference>
          <reference field="87" count="1" selected="0">
            <x v="1659"/>
          </reference>
          <reference field="88" count="1">
            <x v="518"/>
          </reference>
        </references>
      </pivotArea>
    </format>
    <format dxfId="627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278"/>
          </reference>
          <reference field="82" count="1" selected="0">
            <x v="733"/>
          </reference>
          <reference field="85" count="1" selected="0">
            <x v="0"/>
          </reference>
          <reference field="87" count="1" selected="0">
            <x v="1660"/>
          </reference>
          <reference field="88" count="1">
            <x v="519"/>
          </reference>
        </references>
      </pivotArea>
    </format>
    <format dxfId="627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279"/>
          </reference>
          <reference field="82" count="1" selected="0">
            <x v="734"/>
          </reference>
          <reference field="85" count="1" selected="0">
            <x v="0"/>
          </reference>
          <reference field="87" count="1" selected="0">
            <x v="1661"/>
          </reference>
          <reference field="88" count="1">
            <x v="520"/>
          </reference>
        </references>
      </pivotArea>
    </format>
    <format dxfId="627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0"/>
          </reference>
          <reference field="82" count="1" selected="0">
            <x v="745"/>
          </reference>
          <reference field="85" count="1" selected="0">
            <x v="2"/>
          </reference>
          <reference field="87" count="1" selected="0">
            <x v="1672"/>
          </reference>
          <reference field="88" count="1">
            <x v="531"/>
          </reference>
        </references>
      </pivotArea>
    </format>
    <format dxfId="627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91"/>
          </reference>
          <reference field="82" count="1" selected="0">
            <x v="746"/>
          </reference>
          <reference field="85" count="1" selected="0">
            <x v="2"/>
          </reference>
          <reference field="87" count="1" selected="0">
            <x v="1673"/>
          </reference>
          <reference field="88" count="1">
            <x v="532"/>
          </reference>
        </references>
      </pivotArea>
    </format>
    <format dxfId="627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89"/>
          </reference>
          <reference field="82" count="1" selected="0">
            <x v="744"/>
          </reference>
          <reference field="85" count="1" selected="0">
            <x v="2"/>
          </reference>
          <reference field="87" count="1" selected="0">
            <x v="1671"/>
          </reference>
          <reference field="88" count="1">
            <x v="530"/>
          </reference>
        </references>
      </pivotArea>
    </format>
    <format dxfId="6269">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218"/>
          </reference>
          <reference field="82" count="1" selected="0">
            <x v="672"/>
          </reference>
          <reference field="85" count="1" selected="0">
            <x v="4"/>
          </reference>
          <reference field="87" count="1" selected="0">
            <x v="1600"/>
          </reference>
          <reference field="88" count="1">
            <x v="458"/>
          </reference>
        </references>
      </pivotArea>
    </format>
    <format dxfId="6268">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80"/>
          </reference>
          <reference field="82" count="1" selected="0">
            <x v="735"/>
          </reference>
          <reference field="85" count="1" selected="0">
            <x v="0"/>
          </reference>
          <reference field="87" count="1" selected="0">
            <x v="1662"/>
          </reference>
          <reference field="88" count="1">
            <x v="521"/>
          </reference>
        </references>
      </pivotArea>
    </format>
    <format dxfId="626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281"/>
          </reference>
          <reference field="82" count="1" selected="0">
            <x v="736"/>
          </reference>
          <reference field="85" count="1" selected="0">
            <x v="0"/>
          </reference>
          <reference field="87" count="1" selected="0">
            <x v="1663"/>
          </reference>
          <reference field="88" count="1">
            <x v="522"/>
          </reference>
        </references>
      </pivotArea>
    </format>
    <format dxfId="626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282"/>
          </reference>
          <reference field="82" count="1" selected="0">
            <x v="737"/>
          </reference>
          <reference field="85" count="1" selected="0">
            <x v="0"/>
          </reference>
          <reference field="87" count="1" selected="0">
            <x v="1664"/>
          </reference>
          <reference field="88" count="1">
            <x v="523"/>
          </reference>
        </references>
      </pivotArea>
    </format>
    <format dxfId="626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93"/>
          </reference>
          <reference field="82" count="1" selected="0">
            <x v="748"/>
          </reference>
          <reference field="85" count="1" selected="0">
            <x v="2"/>
          </reference>
          <reference field="87" count="1" selected="0">
            <x v="1675"/>
          </reference>
          <reference field="88" count="1">
            <x v="534"/>
          </reference>
        </references>
      </pivotArea>
    </format>
    <format dxfId="626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94"/>
          </reference>
          <reference field="82" count="1" selected="0">
            <x v="749"/>
          </reference>
          <reference field="85" count="1" selected="0">
            <x v="2"/>
          </reference>
          <reference field="87" count="1" selected="0">
            <x v="1676"/>
          </reference>
          <reference field="88" count="1">
            <x v="535"/>
          </reference>
        </references>
      </pivotArea>
    </format>
    <format dxfId="626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295"/>
          </reference>
          <reference field="82" count="1" selected="0">
            <x v="750"/>
          </reference>
          <reference field="85" count="1" selected="0">
            <x v="2"/>
          </reference>
          <reference field="87" count="1" selected="0">
            <x v="1677"/>
          </reference>
          <reference field="88" count="1">
            <x v="536"/>
          </reference>
        </references>
      </pivotArea>
    </format>
    <format dxfId="626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92"/>
          </reference>
          <reference field="82" count="1" selected="0">
            <x v="747"/>
          </reference>
          <reference field="85" count="1" selected="0">
            <x v="2"/>
          </reference>
          <reference field="87" count="1" selected="0">
            <x v="1674"/>
          </reference>
          <reference field="88" count="1">
            <x v="533"/>
          </reference>
        </references>
      </pivotArea>
    </format>
    <format dxfId="626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296"/>
          </reference>
          <reference field="82" count="1" selected="0">
            <x v="751"/>
          </reference>
          <reference field="85" count="1" selected="0">
            <x v="2"/>
          </reference>
          <reference field="87" count="1" selected="0">
            <x v="1678"/>
          </reference>
          <reference field="88" count="1">
            <x v="537"/>
          </reference>
        </references>
      </pivotArea>
    </format>
    <format dxfId="6260">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47"/>
          </reference>
          <reference field="82" count="1" selected="0">
            <x v="802"/>
          </reference>
          <reference field="85" count="1" selected="0">
            <x v="7"/>
          </reference>
          <reference field="87" count="1" selected="0">
            <x v="1729"/>
          </reference>
          <reference field="88" count="1">
            <x v="588"/>
          </reference>
        </references>
      </pivotArea>
    </format>
    <format dxfId="625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348"/>
          </reference>
          <reference field="82" count="1" selected="0">
            <x v="803"/>
          </reference>
          <reference field="85" count="1" selected="0">
            <x v="7"/>
          </reference>
          <reference field="87" count="1" selected="0">
            <x v="1730"/>
          </reference>
          <reference field="88" count="1">
            <x v="589"/>
          </reference>
        </references>
      </pivotArea>
    </format>
    <format dxfId="625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17"/>
          </reference>
          <reference field="82" count="1" selected="0">
            <x v="872"/>
          </reference>
          <reference field="85" count="1" selected="0">
            <x v="4"/>
          </reference>
          <reference field="87" count="1" selected="0">
            <x v="1799"/>
          </reference>
          <reference field="88" count="1">
            <x v="658"/>
          </reference>
        </references>
      </pivotArea>
    </format>
    <format dxfId="625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18"/>
          </reference>
          <reference field="82" count="1" selected="0">
            <x v="873"/>
          </reference>
          <reference field="85" count="1" selected="0">
            <x v="4"/>
          </reference>
          <reference field="87" count="1" selected="0">
            <x v="1800"/>
          </reference>
          <reference field="88" count="1">
            <x v="659"/>
          </reference>
        </references>
      </pivotArea>
    </format>
    <format dxfId="625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419"/>
          </reference>
          <reference field="82" count="1" selected="0">
            <x v="874"/>
          </reference>
          <reference field="85" count="1" selected="0">
            <x v="4"/>
          </reference>
          <reference field="87" count="1" selected="0">
            <x v="1801"/>
          </reference>
          <reference field="88" count="1">
            <x v="660"/>
          </reference>
        </references>
      </pivotArea>
    </format>
    <format dxfId="625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16"/>
          </reference>
          <reference field="82" count="1" selected="0">
            <x v="871"/>
          </reference>
          <reference field="85" count="1" selected="0">
            <x v="4"/>
          </reference>
          <reference field="87" count="1" selected="0">
            <x v="1798"/>
          </reference>
          <reference field="88" count="1">
            <x v="657"/>
          </reference>
        </references>
      </pivotArea>
    </format>
    <format dxfId="625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425"/>
          </reference>
          <reference field="82" count="1" selected="0">
            <x v="880"/>
          </reference>
          <reference field="85" count="1" selected="0">
            <x v="4"/>
          </reference>
          <reference field="87" count="1" selected="0">
            <x v="1807"/>
          </reference>
          <reference field="88" count="1">
            <x v="666"/>
          </reference>
        </references>
      </pivotArea>
    </format>
    <format dxfId="625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426"/>
          </reference>
          <reference field="82" count="1" selected="0">
            <x v="881"/>
          </reference>
          <reference field="85" count="1" selected="0">
            <x v="4"/>
          </reference>
          <reference field="87" count="1" selected="0">
            <x v="1808"/>
          </reference>
          <reference field="88" count="1">
            <x v="667"/>
          </reference>
        </references>
      </pivotArea>
    </format>
    <format dxfId="625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427"/>
          </reference>
          <reference field="82" count="1" selected="0">
            <x v="882"/>
          </reference>
          <reference field="85" count="1" selected="0">
            <x v="4"/>
          </reference>
          <reference field="87" count="1" selected="0">
            <x v="1809"/>
          </reference>
          <reference field="88" count="1">
            <x v="668"/>
          </reference>
        </references>
      </pivotArea>
    </format>
    <format dxfId="625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424"/>
          </reference>
          <reference field="82" count="1" selected="0">
            <x v="879"/>
          </reference>
          <reference field="85" count="1" selected="0">
            <x v="4"/>
          </reference>
          <reference field="87" count="1" selected="0">
            <x v="1806"/>
          </reference>
          <reference field="88" count="1">
            <x v="665"/>
          </reference>
        </references>
      </pivotArea>
    </format>
    <format dxfId="625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422"/>
          </reference>
          <reference field="82" count="1" selected="0">
            <x v="877"/>
          </reference>
          <reference field="85" count="1" selected="0">
            <x v="4"/>
          </reference>
          <reference field="87" count="1" selected="0">
            <x v="1804"/>
          </reference>
          <reference field="88" count="1">
            <x v="663"/>
          </reference>
        </references>
      </pivotArea>
    </format>
    <format dxfId="624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423"/>
          </reference>
          <reference field="82" count="1" selected="0">
            <x v="878"/>
          </reference>
          <reference field="85" count="1" selected="0">
            <x v="4"/>
          </reference>
          <reference field="87" count="1" selected="0">
            <x v="1805"/>
          </reference>
          <reference field="88" count="1">
            <x v="664"/>
          </reference>
        </references>
      </pivotArea>
    </format>
    <format dxfId="624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421"/>
          </reference>
          <reference field="82" count="1" selected="0">
            <x v="876"/>
          </reference>
          <reference field="85" count="1" selected="0">
            <x v="4"/>
          </reference>
          <reference field="87" count="1" selected="0">
            <x v="1803"/>
          </reference>
          <reference field="88" count="1">
            <x v="662"/>
          </reference>
        </references>
      </pivotArea>
    </format>
    <format dxfId="624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420"/>
          </reference>
          <reference field="82" count="1" selected="0">
            <x v="875"/>
          </reference>
          <reference field="85" count="1" selected="0">
            <x v="4"/>
          </reference>
          <reference field="87" count="1" selected="0">
            <x v="1802"/>
          </reference>
          <reference field="88" count="1">
            <x v="661"/>
          </reference>
        </references>
      </pivotArea>
    </format>
    <format dxfId="624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69"/>
          </reference>
          <reference field="82" count="1" selected="0">
            <x v="622"/>
          </reference>
          <reference field="85" count="1" selected="0">
            <x v="7"/>
          </reference>
          <reference field="87" count="1" selected="0">
            <x v="1550"/>
          </reference>
          <reference field="88" count="1">
            <x v="407"/>
          </reference>
        </references>
      </pivotArea>
    </format>
    <format dxfId="624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170"/>
          </reference>
          <reference field="82" count="1" selected="0">
            <x v="623"/>
          </reference>
          <reference field="85" count="1" selected="0">
            <x v="7"/>
          </reference>
          <reference field="87" count="1" selected="0">
            <x v="1551"/>
          </reference>
          <reference field="88" count="1">
            <x v="408"/>
          </reference>
        </references>
      </pivotArea>
    </format>
    <format dxfId="6244">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318"/>
          </reference>
          <reference field="82" count="1" selected="0">
            <x v="773"/>
          </reference>
          <reference field="85" count="1" selected="0">
            <x v="2"/>
          </reference>
          <reference field="87" count="1" selected="0">
            <x v="1700"/>
          </reference>
          <reference field="88" count="1">
            <x v="559"/>
          </reference>
        </references>
      </pivotArea>
    </format>
    <format dxfId="6243">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434"/>
          </reference>
          <reference field="82" count="1" selected="0">
            <x v="889"/>
          </reference>
          <reference field="85" count="1" selected="0">
            <x v="4"/>
          </reference>
          <reference field="87" count="1" selected="0">
            <x v="1816"/>
          </reference>
          <reference field="88" count="1">
            <x v="675"/>
          </reference>
        </references>
      </pivotArea>
    </format>
    <format dxfId="6242">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435"/>
          </reference>
          <reference field="82" count="1" selected="0">
            <x v="890"/>
          </reference>
          <reference field="85" count="1" selected="0">
            <x v="4"/>
          </reference>
          <reference field="87" count="1" selected="0">
            <x v="1817"/>
          </reference>
          <reference field="88" count="1">
            <x v="676"/>
          </reference>
        </references>
      </pivotArea>
    </format>
    <format dxfId="6241">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37"/>
          </reference>
          <reference field="82" count="1" selected="0">
            <x v="892"/>
          </reference>
          <reference field="85" count="1" selected="0">
            <x v="4"/>
          </reference>
          <reference field="87" count="1" selected="0">
            <x v="1819"/>
          </reference>
          <reference field="88" count="1">
            <x v="678"/>
          </reference>
        </references>
      </pivotArea>
    </format>
    <format dxfId="624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88"/>
          </reference>
          <reference field="82" count="1" selected="0">
            <x v="641"/>
          </reference>
          <reference field="85" count="1" selected="0">
            <x v="4"/>
          </reference>
          <reference field="87" count="1" selected="0">
            <x v="1569"/>
          </reference>
          <reference field="88" count="1">
            <x v="426"/>
          </reference>
        </references>
      </pivotArea>
    </format>
    <format dxfId="623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91"/>
          </reference>
          <reference field="82" count="1" selected="0">
            <x v="644"/>
          </reference>
          <reference field="85" count="1" selected="0">
            <x v="4"/>
          </reference>
          <reference field="87" count="1" selected="0">
            <x v="1572"/>
          </reference>
          <reference field="88" count="1">
            <x v="429"/>
          </reference>
        </references>
      </pivotArea>
    </format>
    <format dxfId="623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89"/>
          </reference>
          <reference field="82" count="1" selected="0">
            <x v="642"/>
          </reference>
          <reference field="85" count="1" selected="0">
            <x v="4"/>
          </reference>
          <reference field="87" count="1" selected="0">
            <x v="1570"/>
          </reference>
          <reference field="88" count="1">
            <x v="427"/>
          </reference>
        </references>
      </pivotArea>
    </format>
    <format dxfId="623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0"/>
          </reference>
          <reference field="82" count="1" selected="0">
            <x v="643"/>
          </reference>
          <reference field="85" count="1" selected="0">
            <x v="4"/>
          </reference>
          <reference field="87" count="1" selected="0">
            <x v="1571"/>
          </reference>
          <reference field="88" count="1">
            <x v="428"/>
          </reference>
        </references>
      </pivotArea>
    </format>
    <format dxfId="623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84"/>
          </reference>
          <reference field="82" count="1" selected="0">
            <x v="839"/>
          </reference>
          <reference field="85" count="1" selected="0">
            <x v="4"/>
          </reference>
          <reference field="87" count="1" selected="0">
            <x v="1766"/>
          </reference>
          <reference field="88" count="1">
            <x v="625"/>
          </reference>
        </references>
      </pivotArea>
    </format>
    <format dxfId="623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0"/>
          </reference>
          <reference field="82" count="1" selected="0">
            <x v="835"/>
          </reference>
          <reference field="85" count="1" selected="0">
            <x v="4"/>
          </reference>
          <reference field="87" count="1" selected="0">
            <x v="1762"/>
          </reference>
          <reference field="88" count="1">
            <x v="621"/>
          </reference>
        </references>
      </pivotArea>
    </format>
    <format dxfId="623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81"/>
          </reference>
          <reference field="82" count="1" selected="0">
            <x v="836"/>
          </reference>
          <reference field="85" count="1" selected="0">
            <x v="4"/>
          </reference>
          <reference field="87" count="1" selected="0">
            <x v="1763"/>
          </reference>
          <reference field="88" count="1">
            <x v="622"/>
          </reference>
        </references>
      </pivotArea>
    </format>
    <format dxfId="623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82"/>
          </reference>
          <reference field="82" count="1" selected="0">
            <x v="837"/>
          </reference>
          <reference field="85" count="1" selected="0">
            <x v="4"/>
          </reference>
          <reference field="87" count="1" selected="0">
            <x v="1764"/>
          </reference>
          <reference field="88" count="1">
            <x v="623"/>
          </reference>
        </references>
      </pivotArea>
    </format>
    <format dxfId="623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83"/>
          </reference>
          <reference field="82" count="1" selected="0">
            <x v="838"/>
          </reference>
          <reference field="85" count="1" selected="0">
            <x v="4"/>
          </reference>
          <reference field="87" count="1" selected="0">
            <x v="1765"/>
          </reference>
          <reference field="88" count="1">
            <x v="624"/>
          </reference>
        </references>
      </pivotArea>
    </format>
    <format dxfId="623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84"/>
          </reference>
          <reference field="82" count="1" selected="0">
            <x v="637"/>
          </reference>
          <reference field="85" count="1" selected="0">
            <x v="4"/>
          </reference>
          <reference field="87" count="1" selected="0">
            <x v="1565"/>
          </reference>
          <reference field="88" count="1">
            <x v="422"/>
          </reference>
        </references>
      </pivotArea>
    </format>
    <format dxfId="623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87"/>
          </reference>
          <reference field="82" count="1" selected="0">
            <x v="640"/>
          </reference>
          <reference field="85" count="1" selected="0">
            <x v="4"/>
          </reference>
          <reference field="87" count="1" selected="0">
            <x v="1568"/>
          </reference>
          <reference field="88" count="1">
            <x v="425"/>
          </reference>
        </references>
      </pivotArea>
    </format>
    <format dxfId="622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85"/>
          </reference>
          <reference field="82" count="1" selected="0">
            <x v="638"/>
          </reference>
          <reference field="85" count="1" selected="0">
            <x v="4"/>
          </reference>
          <reference field="87" count="1" selected="0">
            <x v="1566"/>
          </reference>
          <reference field="88" count="1">
            <x v="423"/>
          </reference>
        </references>
      </pivotArea>
    </format>
    <format dxfId="622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86"/>
          </reference>
          <reference field="82" count="1" selected="0">
            <x v="639"/>
          </reference>
          <reference field="85" count="1" selected="0">
            <x v="4"/>
          </reference>
          <reference field="87" count="1" selected="0">
            <x v="1567"/>
          </reference>
          <reference field="88" count="1">
            <x v="424"/>
          </reference>
        </references>
      </pivotArea>
    </format>
    <format dxfId="622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9"/>
          </reference>
          <reference field="82" count="1" selected="0">
            <x v="834"/>
          </reference>
          <reference field="85" count="1" selected="0">
            <x v="4"/>
          </reference>
          <reference field="87" count="1" selected="0">
            <x v="1761"/>
          </reference>
          <reference field="88" count="1">
            <x v="620"/>
          </reference>
        </references>
      </pivotArea>
    </format>
    <format dxfId="622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75"/>
          </reference>
          <reference field="82" count="1" selected="0">
            <x v="830"/>
          </reference>
          <reference field="85" count="1" selected="0">
            <x v="4"/>
          </reference>
          <reference field="87" count="1" selected="0">
            <x v="1757"/>
          </reference>
          <reference field="88" count="1">
            <x v="616"/>
          </reference>
        </references>
      </pivotArea>
    </format>
    <format dxfId="622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76"/>
          </reference>
          <reference field="82" count="1" selected="0">
            <x v="831"/>
          </reference>
          <reference field="85" count="1" selected="0">
            <x v="4"/>
          </reference>
          <reference field="87" count="1" selected="0">
            <x v="1758"/>
          </reference>
          <reference field="88" count="1">
            <x v="617"/>
          </reference>
        </references>
      </pivotArea>
    </format>
    <format dxfId="622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77"/>
          </reference>
          <reference field="82" count="1" selected="0">
            <x v="832"/>
          </reference>
          <reference field="85" count="1" selected="0">
            <x v="4"/>
          </reference>
          <reference field="87" count="1" selected="0">
            <x v="1759"/>
          </reference>
          <reference field="88" count="1">
            <x v="618"/>
          </reference>
        </references>
      </pivotArea>
    </format>
    <format dxfId="622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78"/>
          </reference>
          <reference field="82" count="1" selected="0">
            <x v="833"/>
          </reference>
          <reference field="85" count="1" selected="0">
            <x v="4"/>
          </reference>
          <reference field="87" count="1" selected="0">
            <x v="1760"/>
          </reference>
          <reference field="88" count="1">
            <x v="619"/>
          </reference>
        </references>
      </pivotArea>
    </format>
    <format dxfId="622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227"/>
          </reference>
          <reference field="82" count="1" selected="0">
            <x v="681"/>
          </reference>
          <reference field="85" count="1" selected="0">
            <x v="4"/>
          </reference>
          <reference field="87" count="1" selected="0">
            <x v="1609"/>
          </reference>
          <reference field="88" count="1">
            <x v="467"/>
          </reference>
        </references>
      </pivotArea>
    </format>
    <format dxfId="622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222"/>
          </reference>
          <reference field="82" count="1" selected="0">
            <x v="684"/>
          </reference>
          <reference field="85" count="1" selected="0">
            <x v="4"/>
          </reference>
          <reference field="87" count="1" selected="0">
            <x v="1604"/>
          </reference>
          <reference field="88" count="1">
            <x v="470"/>
          </reference>
        </references>
      </pivotArea>
    </format>
    <format dxfId="622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228"/>
          </reference>
          <reference field="82" count="1" selected="0">
            <x v="682"/>
          </reference>
          <reference field="85" count="1" selected="0">
            <x v="4"/>
          </reference>
          <reference field="87" count="1" selected="0">
            <x v="1610"/>
          </reference>
          <reference field="88" count="1">
            <x v="468"/>
          </reference>
        </references>
      </pivotArea>
    </format>
    <format dxfId="621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229"/>
          </reference>
          <reference field="82" count="1" selected="0">
            <x v="683"/>
          </reference>
          <reference field="85" count="1" selected="0">
            <x v="4"/>
          </reference>
          <reference field="87" count="1" selected="0">
            <x v="1611"/>
          </reference>
          <reference field="88" count="1">
            <x v="469"/>
          </reference>
        </references>
      </pivotArea>
    </format>
    <format dxfId="621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74"/>
          </reference>
          <reference field="82" count="1" selected="0">
            <x v="829"/>
          </reference>
          <reference field="85" count="1" selected="0">
            <x v="4"/>
          </reference>
          <reference field="87" count="1" selected="0">
            <x v="1756"/>
          </reference>
          <reference field="88" count="1">
            <x v="615"/>
          </reference>
        </references>
      </pivotArea>
    </format>
    <format dxfId="621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70"/>
          </reference>
          <reference field="82" count="1" selected="0">
            <x v="825"/>
          </reference>
          <reference field="85" count="1" selected="0">
            <x v="4"/>
          </reference>
          <reference field="87" count="1" selected="0">
            <x v="1752"/>
          </reference>
          <reference field="88" count="1">
            <x v="611"/>
          </reference>
        </references>
      </pivotArea>
    </format>
    <format dxfId="621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71"/>
          </reference>
          <reference field="82" count="1" selected="0">
            <x v="826"/>
          </reference>
          <reference field="85" count="1" selected="0">
            <x v="4"/>
          </reference>
          <reference field="87" count="1" selected="0">
            <x v="1753"/>
          </reference>
          <reference field="88" count="1">
            <x v="612"/>
          </reference>
        </references>
      </pivotArea>
    </format>
    <format dxfId="621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72"/>
          </reference>
          <reference field="82" count="1" selected="0">
            <x v="827"/>
          </reference>
          <reference field="85" count="1" selected="0">
            <x v="4"/>
          </reference>
          <reference field="87" count="1" selected="0">
            <x v="1754"/>
          </reference>
          <reference field="88" count="1">
            <x v="613"/>
          </reference>
        </references>
      </pivotArea>
    </format>
    <format dxfId="621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73"/>
          </reference>
          <reference field="82" count="1" selected="0">
            <x v="828"/>
          </reference>
          <reference field="85" count="1" selected="0">
            <x v="4"/>
          </reference>
          <reference field="87" count="1" selected="0">
            <x v="1755"/>
          </reference>
          <reference field="88" count="1">
            <x v="614"/>
          </reference>
        </references>
      </pivotArea>
    </format>
    <format dxfId="621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430"/>
          </reference>
          <reference field="82" count="1" selected="0">
            <x v="885"/>
          </reference>
          <reference field="85" count="1" selected="0">
            <x v="4"/>
          </reference>
          <reference field="87" count="1" selected="0">
            <x v="1812"/>
          </reference>
          <reference field="88" count="1">
            <x v="671"/>
          </reference>
        </references>
      </pivotArea>
    </format>
    <format dxfId="621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433"/>
          </reference>
          <reference field="82" count="1" selected="0">
            <x v="888"/>
          </reference>
          <reference field="85" count="1" selected="0">
            <x v="4"/>
          </reference>
          <reference field="87" count="1" selected="0">
            <x v="1815"/>
          </reference>
          <reference field="88" count="1">
            <x v="674"/>
          </reference>
        </references>
      </pivotArea>
    </format>
    <format dxfId="621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431"/>
          </reference>
          <reference field="82" count="1" selected="0">
            <x v="886"/>
          </reference>
          <reference field="85" count="1" selected="0">
            <x v="4"/>
          </reference>
          <reference field="87" count="1" selected="0">
            <x v="1813"/>
          </reference>
          <reference field="88" count="1">
            <x v="672"/>
          </reference>
        </references>
      </pivotArea>
    </format>
    <format dxfId="621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432"/>
          </reference>
          <reference field="82" count="1" selected="0">
            <x v="887"/>
          </reference>
          <reference field="85" count="1" selected="0">
            <x v="4"/>
          </reference>
          <reference field="87" count="1" selected="0">
            <x v="1814"/>
          </reference>
          <reference field="88" count="1">
            <x v="673"/>
          </reference>
        </references>
      </pivotArea>
    </format>
    <format dxfId="620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93"/>
          </reference>
          <reference field="82" count="1" selected="0">
            <x v="848"/>
          </reference>
          <reference field="85" count="1" selected="0">
            <x v="4"/>
          </reference>
          <reference field="87" count="1" selected="0">
            <x v="1775"/>
          </reference>
          <reference field="88" count="1">
            <x v="634"/>
          </reference>
        </references>
      </pivotArea>
    </format>
    <format dxfId="620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94"/>
          </reference>
          <reference field="82" count="1" selected="0">
            <x v="849"/>
          </reference>
          <reference field="85" count="1" selected="0">
            <x v="4"/>
          </reference>
          <reference field="87" count="1" selected="0">
            <x v="1776"/>
          </reference>
          <reference field="88" count="1">
            <x v="635"/>
          </reference>
        </references>
      </pivotArea>
    </format>
    <format dxfId="620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95"/>
          </reference>
          <reference field="82" count="1" selected="0">
            <x v="850"/>
          </reference>
          <reference field="85" count="1" selected="0">
            <x v="4"/>
          </reference>
          <reference field="87" count="1" selected="0">
            <x v="1777"/>
          </reference>
          <reference field="88" count="1">
            <x v="636"/>
          </reference>
        </references>
      </pivotArea>
    </format>
    <format dxfId="620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96"/>
          </reference>
          <reference field="82" count="1" selected="0">
            <x v="851"/>
          </reference>
          <reference field="85" count="1" selected="0">
            <x v="4"/>
          </reference>
          <reference field="87" count="1" selected="0">
            <x v="1778"/>
          </reference>
          <reference field="88" count="1">
            <x v="637"/>
          </reference>
        </references>
      </pivotArea>
    </format>
    <format dxfId="620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97"/>
          </reference>
          <reference field="82" count="1" selected="0">
            <x v="852"/>
          </reference>
          <reference field="85" count="1" selected="0">
            <x v="4"/>
          </reference>
          <reference field="87" count="1" selected="0">
            <x v="1779"/>
          </reference>
          <reference field="88" count="1">
            <x v="638"/>
          </reference>
        </references>
      </pivotArea>
    </format>
    <format dxfId="620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98"/>
          </reference>
          <reference field="82" count="1" selected="0">
            <x v="853"/>
          </reference>
          <reference field="85" count="1" selected="0">
            <x v="4"/>
          </reference>
          <reference field="87" count="1" selected="0">
            <x v="1780"/>
          </reference>
          <reference field="88" count="1">
            <x v="639"/>
          </reference>
        </references>
      </pivotArea>
    </format>
    <format dxfId="620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99"/>
          </reference>
          <reference field="82" count="1" selected="0">
            <x v="854"/>
          </reference>
          <reference field="85" count="1" selected="0">
            <x v="4"/>
          </reference>
          <reference field="87" count="1" selected="0">
            <x v="1781"/>
          </reference>
          <reference field="88" count="1">
            <x v="640"/>
          </reference>
        </references>
      </pivotArea>
    </format>
    <format dxfId="620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400"/>
          </reference>
          <reference field="82" count="1" selected="0">
            <x v="855"/>
          </reference>
          <reference field="85" count="1" selected="0">
            <x v="4"/>
          </reference>
          <reference field="87" count="1" selected="0">
            <x v="1782"/>
          </reference>
          <reference field="88" count="1">
            <x v="641"/>
          </reference>
        </references>
      </pivotArea>
    </format>
    <format dxfId="620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66"/>
          </reference>
          <reference field="82" count="1" selected="0">
            <x v="821"/>
          </reference>
          <reference field="85" count="1" selected="0">
            <x v="4"/>
          </reference>
          <reference field="87" count="1" selected="0">
            <x v="1748"/>
          </reference>
          <reference field="88" count="1">
            <x v="607"/>
          </reference>
        </references>
      </pivotArea>
    </format>
    <format dxfId="620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68"/>
          </reference>
          <reference field="82" count="1" selected="0">
            <x v="823"/>
          </reference>
          <reference field="85" count="1" selected="0">
            <x v="4"/>
          </reference>
          <reference field="87" count="1" selected="0">
            <x v="1750"/>
          </reference>
          <reference field="88" count="1">
            <x v="609"/>
          </reference>
        </references>
      </pivotArea>
    </format>
    <format dxfId="619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69"/>
          </reference>
          <reference field="82" count="1" selected="0">
            <x v="824"/>
          </reference>
          <reference field="85" count="1" selected="0">
            <x v="4"/>
          </reference>
          <reference field="87" count="1" selected="0">
            <x v="1751"/>
          </reference>
          <reference field="88" count="1">
            <x v="610"/>
          </reference>
        </references>
      </pivotArea>
    </format>
    <format dxfId="619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67"/>
          </reference>
          <reference field="82" count="1" selected="0">
            <x v="822"/>
          </reference>
          <reference field="85" count="1" selected="0">
            <x v="4"/>
          </reference>
          <reference field="87" count="1" selected="0">
            <x v="1749"/>
          </reference>
          <reference field="88" count="1">
            <x v="608"/>
          </reference>
        </references>
      </pivotArea>
    </format>
    <format dxfId="619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316"/>
          </reference>
          <reference field="82" count="1" selected="0">
            <x v="771"/>
          </reference>
          <reference field="85" count="1" selected="0">
            <x v="2"/>
          </reference>
          <reference field="87" count="1" selected="0">
            <x v="1698"/>
          </reference>
          <reference field="88" count="1">
            <x v="557"/>
          </reference>
        </references>
      </pivotArea>
    </format>
    <format dxfId="619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317"/>
          </reference>
          <reference field="82" count="1" selected="0">
            <x v="772"/>
          </reference>
          <reference field="85" count="1" selected="0">
            <x v="2"/>
          </reference>
          <reference field="87" count="1" selected="0">
            <x v="1699"/>
          </reference>
          <reference field="88" count="1">
            <x v="558"/>
          </reference>
        </references>
      </pivotArea>
    </format>
    <format dxfId="619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315"/>
          </reference>
          <reference field="82" count="1" selected="0">
            <x v="770"/>
          </reference>
          <reference field="85" count="1" selected="0">
            <x v="2"/>
          </reference>
          <reference field="87" count="1" selected="0">
            <x v="1697"/>
          </reference>
          <reference field="88" count="1">
            <x v="556"/>
          </reference>
        </references>
      </pivotArea>
    </format>
    <format dxfId="619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26"/>
          </reference>
          <reference field="82" count="1" selected="0">
            <x v="437"/>
          </reference>
          <reference field="85" count="1" selected="0">
            <x v="4"/>
          </reference>
          <reference field="87" count="1" selected="0">
            <x v="1573"/>
          </reference>
          <reference field="88" count="1">
            <x v="430"/>
          </reference>
        </references>
      </pivotArea>
    </format>
    <format dxfId="619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94"/>
          </reference>
          <reference field="82" count="1" selected="0">
            <x v="647"/>
          </reference>
          <reference field="85" count="1" selected="0">
            <x v="4"/>
          </reference>
          <reference field="87" count="1" selected="0">
            <x v="1576"/>
          </reference>
          <reference field="88" count="1">
            <x v="433"/>
          </reference>
        </references>
      </pivotArea>
    </format>
    <format dxfId="619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selected="0">
            <x v="645"/>
          </reference>
          <reference field="85" count="1" selected="0">
            <x v="4"/>
          </reference>
          <reference field="87" count="1" selected="0">
            <x v="1574"/>
          </reference>
          <reference field="88" count="1">
            <x v="431"/>
          </reference>
        </references>
      </pivotArea>
    </format>
    <format dxfId="619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selected="0">
            <x v="646"/>
          </reference>
          <reference field="85" count="1" selected="0">
            <x v="4"/>
          </reference>
          <reference field="87" count="1" selected="0">
            <x v="1575"/>
          </reference>
          <reference field="88" count="1">
            <x v="432"/>
          </reference>
        </references>
      </pivotArea>
    </format>
    <format dxfId="619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5"/>
          </reference>
          <reference field="82" count="1" selected="0">
            <x v="840"/>
          </reference>
          <reference field="85" count="1" selected="0">
            <x v="4"/>
          </reference>
          <reference field="87" count="1" selected="0">
            <x v="1767"/>
          </reference>
          <reference field="88" count="1">
            <x v="626"/>
          </reference>
        </references>
      </pivotArea>
    </format>
    <format dxfId="618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86"/>
          </reference>
          <reference field="82" count="1" selected="0">
            <x v="841"/>
          </reference>
          <reference field="85" count="1" selected="0">
            <x v="4"/>
          </reference>
          <reference field="87" count="1" selected="0">
            <x v="1768"/>
          </reference>
          <reference field="88" count="1">
            <x v="627"/>
          </reference>
        </references>
      </pivotArea>
    </format>
    <format dxfId="618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87"/>
          </reference>
          <reference field="82" count="1" selected="0">
            <x v="842"/>
          </reference>
          <reference field="85" count="1" selected="0">
            <x v="4"/>
          </reference>
          <reference field="87" count="1" selected="0">
            <x v="1769"/>
          </reference>
          <reference field="88" count="1">
            <x v="628"/>
          </reference>
        </references>
      </pivotArea>
    </format>
    <format dxfId="618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88"/>
          </reference>
          <reference field="82" count="1" selected="0">
            <x v="843"/>
          </reference>
          <reference field="85" count="1" selected="0">
            <x v="4"/>
          </reference>
          <reference field="87" count="1" selected="0">
            <x v="1770"/>
          </reference>
          <reference field="88" count="1">
            <x v="629"/>
          </reference>
        </references>
      </pivotArea>
    </format>
    <format dxfId="618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89"/>
          </reference>
          <reference field="82" count="1" selected="0">
            <x v="844"/>
          </reference>
          <reference field="85" count="1" selected="0">
            <x v="4"/>
          </reference>
          <reference field="87" count="1" selected="0">
            <x v="1771"/>
          </reference>
          <reference field="88" count="1">
            <x v="630"/>
          </reference>
        </references>
      </pivotArea>
    </format>
    <format dxfId="618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90"/>
          </reference>
          <reference field="82" count="1" selected="0">
            <x v="845"/>
          </reference>
          <reference field="85" count="1" selected="0">
            <x v="4"/>
          </reference>
          <reference field="87" count="1" selected="0">
            <x v="1772"/>
          </reference>
          <reference field="88" count="1">
            <x v="631"/>
          </reference>
        </references>
      </pivotArea>
    </format>
    <format dxfId="618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91"/>
          </reference>
          <reference field="82" count="1" selected="0">
            <x v="846"/>
          </reference>
          <reference field="85" count="1" selected="0">
            <x v="4"/>
          </reference>
          <reference field="87" count="1" selected="0">
            <x v="1773"/>
          </reference>
          <reference field="88" count="1">
            <x v="632"/>
          </reference>
        </references>
      </pivotArea>
    </format>
    <format dxfId="618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92"/>
          </reference>
          <reference field="82" count="1" selected="0">
            <x v="847"/>
          </reference>
          <reference field="85" count="1" selected="0">
            <x v="4"/>
          </reference>
          <reference field="87" count="1" selected="0">
            <x v="1774"/>
          </reference>
          <reference field="88" count="1">
            <x v="633"/>
          </reference>
        </references>
      </pivotArea>
    </format>
    <format dxfId="618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45"/>
          </reference>
          <reference field="82" count="1" selected="0">
            <x v="597"/>
          </reference>
          <reference field="85" count="1" selected="0">
            <x v="3"/>
          </reference>
          <reference field="87" count="1" selected="0">
            <x v="1526"/>
          </reference>
          <reference field="88" count="1">
            <x v="382"/>
          </reference>
        </references>
      </pivotArea>
    </format>
    <format dxfId="6181">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42"/>
          </reference>
          <reference field="82" count="1" selected="0">
            <x v="897"/>
          </reference>
          <reference field="85" count="1" selected="0">
            <x v="4"/>
          </reference>
          <reference field="87" count="1" selected="0">
            <x v="1824"/>
          </reference>
          <reference field="88" count="1">
            <x v="683"/>
          </reference>
        </references>
      </pivotArea>
    </format>
    <format dxfId="6180">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2"/>
          </reference>
          <reference field="82" count="1" selected="0">
            <x v="635"/>
          </reference>
          <reference field="85" count="1" selected="0">
            <x v="7"/>
          </reference>
          <reference field="87" count="1" selected="0">
            <x v="1563"/>
          </reference>
          <reference field="88" count="1">
            <x v="420"/>
          </reference>
        </references>
      </pivotArea>
    </format>
    <format dxfId="6179">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46"/>
          </reference>
          <reference field="82" count="1" selected="0">
            <x v="598"/>
          </reference>
          <reference field="85" count="1" selected="0">
            <x v="3"/>
          </reference>
          <reference field="87" count="1" selected="0">
            <x v="1527"/>
          </reference>
          <reference field="88" count="1">
            <x v="383"/>
          </reference>
        </references>
      </pivotArea>
    </format>
    <format dxfId="6178">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83"/>
          </reference>
          <reference field="82" count="1" selected="0">
            <x v="636"/>
          </reference>
          <reference field="85" count="1" selected="0">
            <x v="7"/>
          </reference>
          <reference field="87" count="1" selected="0">
            <x v="1564"/>
          </reference>
          <reference field="88" count="1">
            <x v="421"/>
          </reference>
        </references>
      </pivotArea>
    </format>
    <format dxfId="6177">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44"/>
          </reference>
          <reference field="82" count="1" selected="0">
            <x v="899"/>
          </reference>
          <reference field="85" count="1" selected="0">
            <x v="7"/>
          </reference>
          <reference field="87" count="1" selected="0">
            <x v="1826"/>
          </reference>
          <reference field="88" count="1">
            <x v="685"/>
          </reference>
        </references>
      </pivotArea>
    </format>
    <format dxfId="617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46"/>
          </reference>
          <reference field="82" count="1" selected="0">
            <x v="901"/>
          </reference>
          <reference field="85" count="1" selected="0">
            <x v="7"/>
          </reference>
          <reference field="87" count="1" selected="0">
            <x v="1828"/>
          </reference>
          <reference field="88" count="1">
            <x v="687"/>
          </reference>
        </references>
      </pivotArea>
    </format>
    <format dxfId="617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45"/>
          </reference>
          <reference field="82" count="1" selected="0">
            <x v="900"/>
          </reference>
          <reference field="85" count="1" selected="0">
            <x v="7"/>
          </reference>
          <reference field="87" count="1" selected="0">
            <x v="1827"/>
          </reference>
          <reference field="88" count="1">
            <x v="686"/>
          </reference>
        </references>
      </pivotArea>
    </format>
    <format dxfId="617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75"/>
          </reference>
          <reference field="82" count="1" selected="0">
            <x v="628"/>
          </reference>
          <reference field="85" count="1" selected="0">
            <x v="2"/>
          </reference>
          <reference field="87" count="1" selected="0">
            <x v="1556"/>
          </reference>
          <reference field="88" count="1">
            <x v="413"/>
          </reference>
        </references>
      </pivotArea>
    </format>
    <format dxfId="617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47"/>
          </reference>
          <reference field="82" count="1" selected="0">
            <x v="902"/>
          </reference>
          <reference field="85" count="1" selected="0">
            <x v="7"/>
          </reference>
          <reference field="87" count="1" selected="0">
            <x v="1829"/>
          </reference>
          <reference field="88" count="1">
            <x v="688"/>
          </reference>
        </references>
      </pivotArea>
    </format>
    <format dxfId="617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44"/>
          </reference>
          <reference field="82" count="1" selected="0">
            <x v="596"/>
          </reference>
          <reference field="85" count="1" selected="0">
            <x v="3"/>
          </reference>
          <reference field="87" count="1" selected="0">
            <x v="1525"/>
          </reference>
          <reference field="88" count="1">
            <x v="381"/>
          </reference>
        </references>
      </pivotArea>
    </format>
    <format dxfId="617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36"/>
          </reference>
          <reference field="82" count="1" selected="0">
            <x v="891"/>
          </reference>
          <reference field="85" count="1" selected="0">
            <x v="4"/>
          </reference>
          <reference field="87" count="1" selected="0">
            <x v="1818"/>
          </reference>
          <reference field="88" count="1">
            <x v="677"/>
          </reference>
        </references>
      </pivotArea>
    </format>
    <format dxfId="617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01"/>
          </reference>
          <reference field="82" count="1" selected="0">
            <x v="756"/>
          </reference>
          <reference field="85" count="1" selected="0">
            <x v="2"/>
          </reference>
          <reference field="87" count="1" selected="0">
            <x v="1683"/>
          </reference>
          <reference field="88" count="1">
            <x v="542"/>
          </reference>
        </references>
      </pivotArea>
    </format>
    <format dxfId="616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04"/>
          </reference>
          <reference field="82" count="1" selected="0">
            <x v="759"/>
          </reference>
          <reference field="85" count="1" selected="0">
            <x v="2"/>
          </reference>
          <reference field="87" count="1" selected="0">
            <x v="1686"/>
          </reference>
          <reference field="88" count="1">
            <x v="545"/>
          </reference>
        </references>
      </pivotArea>
    </format>
    <format dxfId="616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02"/>
          </reference>
          <reference field="82" count="1" selected="0">
            <x v="757"/>
          </reference>
          <reference field="85" count="1" selected="0">
            <x v="2"/>
          </reference>
          <reference field="87" count="1" selected="0">
            <x v="1684"/>
          </reference>
          <reference field="88" count="1">
            <x v="543"/>
          </reference>
        </references>
      </pivotArea>
    </format>
    <format dxfId="616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305"/>
          </reference>
          <reference field="82" count="1" selected="0">
            <x v="760"/>
          </reference>
          <reference field="85" count="1" selected="0">
            <x v="2"/>
          </reference>
          <reference field="87" count="1" selected="0">
            <x v="1687"/>
          </reference>
          <reference field="88" count="1">
            <x v="546"/>
          </reference>
        </references>
      </pivotArea>
    </format>
    <format dxfId="616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310"/>
          </reference>
          <reference field="82" count="1" selected="0">
            <x v="765"/>
          </reference>
          <reference field="85" count="1" selected="0">
            <x v="2"/>
          </reference>
          <reference field="87" count="1" selected="0">
            <x v="1692"/>
          </reference>
          <reference field="88" count="1">
            <x v="551"/>
          </reference>
        </references>
      </pivotArea>
    </format>
    <format dxfId="616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308"/>
          </reference>
          <reference field="82" count="1" selected="0">
            <x v="763"/>
          </reference>
          <reference field="85" count="1" selected="0">
            <x v="2"/>
          </reference>
          <reference field="87" count="1" selected="0">
            <x v="1690"/>
          </reference>
          <reference field="88" count="1">
            <x v="549"/>
          </reference>
        </references>
      </pivotArea>
    </format>
    <format dxfId="616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307"/>
          </reference>
          <reference field="82" count="1" selected="0">
            <x v="762"/>
          </reference>
          <reference field="85" count="1" selected="0">
            <x v="2"/>
          </reference>
          <reference field="87" count="1" selected="0">
            <x v="1689"/>
          </reference>
          <reference field="88" count="1">
            <x v="548"/>
          </reference>
        </references>
      </pivotArea>
    </format>
    <format dxfId="616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306"/>
          </reference>
          <reference field="82" count="1" selected="0">
            <x v="761"/>
          </reference>
          <reference field="85" count="1" selected="0">
            <x v="2"/>
          </reference>
          <reference field="87" count="1" selected="0">
            <x v="1688"/>
          </reference>
          <reference field="88" count="1">
            <x v="547"/>
          </reference>
        </references>
      </pivotArea>
    </format>
    <format dxfId="616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00"/>
          </reference>
          <reference field="82" count="1" selected="0">
            <x v="755"/>
          </reference>
          <reference field="85" count="1" selected="0">
            <x v="2"/>
          </reference>
          <reference field="87" count="1" selected="0">
            <x v="1682"/>
          </reference>
          <reference field="88" count="1">
            <x v="541"/>
          </reference>
        </references>
      </pivotArea>
    </format>
    <format dxfId="616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03"/>
          </reference>
          <reference field="82" count="1" selected="0">
            <x v="758"/>
          </reference>
          <reference field="85" count="1" selected="0">
            <x v="2"/>
          </reference>
          <reference field="87" count="1" selected="0">
            <x v="1685"/>
          </reference>
          <reference field="88" count="1">
            <x v="544"/>
          </reference>
        </references>
      </pivotArea>
    </format>
    <format dxfId="616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309"/>
          </reference>
          <reference field="82" count="1" selected="0">
            <x v="764"/>
          </reference>
          <reference field="85" count="1" selected="0">
            <x v="2"/>
          </reference>
          <reference field="87" count="1" selected="0">
            <x v="1691"/>
          </reference>
          <reference field="88" count="1">
            <x v="550"/>
          </reference>
        </references>
      </pivotArea>
    </format>
    <format dxfId="6159">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43"/>
          </reference>
          <reference field="82" count="1" selected="0">
            <x v="898"/>
          </reference>
          <reference field="85" count="1" selected="0">
            <x v="4"/>
          </reference>
          <reference field="87" count="1" selected="0">
            <x v="1825"/>
          </reference>
          <reference field="88" count="1">
            <x v="684"/>
          </reference>
        </references>
      </pivotArea>
    </format>
    <format dxfId="6158">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81"/>
          </reference>
          <reference field="82" count="1" selected="0">
            <x v="634"/>
          </reference>
          <reference field="85" count="1" selected="0">
            <x v="2"/>
          </reference>
          <reference field="87" count="1" selected="0">
            <x v="1562"/>
          </reference>
          <reference field="88" count="1">
            <x v="419"/>
          </reference>
        </references>
      </pivotArea>
    </format>
    <format dxfId="6157">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79"/>
          </reference>
          <reference field="82" count="1" selected="0">
            <x v="632"/>
          </reference>
          <reference field="85" count="1" selected="0">
            <x v="7"/>
          </reference>
          <reference field="87" count="1" selected="0">
            <x v="1560"/>
          </reference>
          <reference field="88" count="1">
            <x v="417"/>
          </reference>
        </references>
      </pivotArea>
    </format>
    <format dxfId="6156">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12"/>
          </reference>
          <reference field="82" count="1" selected="0">
            <x v="767"/>
          </reference>
          <reference field="85" count="1" selected="0">
            <x v="2"/>
          </reference>
          <reference field="87" count="1" selected="0">
            <x v="1694"/>
          </reference>
          <reference field="88" count="1">
            <x v="553"/>
          </reference>
        </references>
      </pivotArea>
    </format>
    <format dxfId="615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314"/>
          </reference>
          <reference field="82" count="1" selected="0">
            <x v="769"/>
          </reference>
          <reference field="85" count="1" selected="0">
            <x v="2"/>
          </reference>
          <reference field="87" count="1" selected="0">
            <x v="1696"/>
          </reference>
          <reference field="88" count="1">
            <x v="555"/>
          </reference>
        </references>
      </pivotArea>
    </format>
    <format dxfId="615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11"/>
          </reference>
          <reference field="82" count="1" selected="0">
            <x v="766"/>
          </reference>
          <reference field="85" count="1" selected="0">
            <x v="2"/>
          </reference>
          <reference field="87" count="1" selected="0">
            <x v="1693"/>
          </reference>
          <reference field="88" count="1">
            <x v="552"/>
          </reference>
        </references>
      </pivotArea>
    </format>
    <format dxfId="615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313"/>
          </reference>
          <reference field="82" count="1" selected="0">
            <x v="768"/>
          </reference>
          <reference field="85" count="1" selected="0">
            <x v="2"/>
          </reference>
          <reference field="87" count="1" selected="0">
            <x v="1695"/>
          </reference>
          <reference field="88" count="1">
            <x v="554"/>
          </reference>
        </references>
      </pivotArea>
    </format>
    <format dxfId="6152">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80"/>
          </reference>
          <reference field="82" count="1" selected="0">
            <x v="633"/>
          </reference>
          <reference field="85" count="1" selected="0">
            <x v="7"/>
          </reference>
          <reference field="87" count="1" selected="0">
            <x v="1561"/>
          </reference>
          <reference field="88" count="1">
            <x v="418"/>
          </reference>
        </references>
      </pivotArea>
    </format>
    <format dxfId="6151">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28"/>
          </reference>
          <reference field="82" count="1" selected="0">
            <x v="883"/>
          </reference>
          <reference field="85" count="1" selected="0">
            <x v="4"/>
          </reference>
          <reference field="87" count="1" selected="0">
            <x v="1810"/>
          </reference>
          <reference field="88" count="1">
            <x v="669"/>
          </reference>
        </references>
      </pivotArea>
    </format>
    <format dxfId="6150">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429"/>
          </reference>
          <reference field="82" count="1" selected="0">
            <x v="884"/>
          </reference>
          <reference field="85" count="1" selected="0">
            <x v="4"/>
          </reference>
          <reference field="87" count="1" selected="0">
            <x v="1811"/>
          </reference>
          <reference field="88" count="1">
            <x v="670"/>
          </reference>
        </references>
      </pivotArea>
    </format>
    <format dxfId="6149">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37"/>
          </reference>
          <reference field="82" count="1" selected="0">
            <x v="792"/>
          </reference>
          <reference field="85" count="1" selected="0">
            <x v="7"/>
          </reference>
          <reference field="87" count="1" selected="0">
            <x v="1719"/>
          </reference>
          <reference field="88" count="1">
            <x v="578"/>
          </reference>
        </references>
      </pivotArea>
    </format>
    <format dxfId="6148">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343"/>
          </reference>
          <reference field="82" count="1" selected="0">
            <x v="798"/>
          </reference>
          <reference field="85" count="1" selected="0">
            <x v="7"/>
          </reference>
          <reference field="87" count="1" selected="0">
            <x v="1725"/>
          </reference>
          <reference field="88" count="1">
            <x v="584"/>
          </reference>
        </references>
      </pivotArea>
    </format>
    <format dxfId="6147">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172"/>
          </reference>
          <reference field="82" count="1" selected="0">
            <x v="625"/>
          </reference>
          <reference field="85" count="1" selected="0">
            <x v="7"/>
          </reference>
          <reference field="87" count="1" selected="0">
            <x v="1553"/>
          </reference>
          <reference field="88" count="1">
            <x v="410"/>
          </reference>
        </references>
      </pivotArea>
    </format>
    <format dxfId="614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171"/>
          </reference>
          <reference field="82" count="1" selected="0">
            <x v="624"/>
          </reference>
          <reference field="85" count="1" selected="0">
            <x v="7"/>
          </reference>
          <reference field="87" count="1" selected="0">
            <x v="1552"/>
          </reference>
          <reference field="88" count="1">
            <x v="409"/>
          </reference>
        </references>
      </pivotArea>
    </format>
    <format dxfId="6145">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200"/>
          </reference>
          <reference field="82" count="1" selected="0">
            <x v="653"/>
          </reference>
          <reference field="85" count="1" selected="0">
            <x v="4"/>
          </reference>
          <reference field="87" count="1" selected="0">
            <x v="1582"/>
          </reference>
          <reference field="88" count="1">
            <x v="439"/>
          </reference>
        </references>
      </pivotArea>
    </format>
    <format dxfId="6144">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201"/>
          </reference>
          <reference field="82" count="1" selected="0">
            <x v="654"/>
          </reference>
          <reference field="85" count="1" selected="0">
            <x v="4"/>
          </reference>
          <reference field="87" count="1" selected="0">
            <x v="1583"/>
          </reference>
          <reference field="88" count="1">
            <x v="440"/>
          </reference>
        </references>
      </pivotArea>
    </format>
    <format dxfId="6143">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198"/>
          </reference>
          <reference field="82" count="1" selected="0">
            <x v="651"/>
          </reference>
          <reference field="85" count="1" selected="0">
            <x v="4"/>
          </reference>
          <reference field="87" count="1" selected="0">
            <x v="1580"/>
          </reference>
          <reference field="88" count="1">
            <x v="437"/>
          </reference>
        </references>
      </pivotArea>
    </format>
    <format dxfId="6142">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199"/>
          </reference>
          <reference field="82" count="1" selected="0">
            <x v="652"/>
          </reference>
          <reference field="85" count="1" selected="0">
            <x v="4"/>
          </reference>
          <reference field="87" count="1" selected="0">
            <x v="1581"/>
          </reference>
          <reference field="88" count="1">
            <x v="438"/>
          </reference>
        </references>
      </pivotArea>
    </format>
    <format dxfId="6141">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195"/>
          </reference>
          <reference field="82" count="1" selected="0">
            <x v="648"/>
          </reference>
          <reference field="85" count="1" selected="0">
            <x v="4"/>
          </reference>
          <reference field="87" count="1" selected="0">
            <x v="1577"/>
          </reference>
          <reference field="88" count="1">
            <x v="434"/>
          </reference>
        </references>
      </pivotArea>
    </format>
    <format dxfId="6140">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196"/>
          </reference>
          <reference field="82" count="1" selected="0">
            <x v="649"/>
          </reference>
          <reference field="85" count="1" selected="0">
            <x v="4"/>
          </reference>
          <reference field="87" count="1" selected="0">
            <x v="1578"/>
          </reference>
          <reference field="88" count="1">
            <x v="435"/>
          </reference>
        </references>
      </pivotArea>
    </format>
    <format dxfId="6139">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197"/>
          </reference>
          <reference field="82" count="1" selected="0">
            <x v="650"/>
          </reference>
          <reference field="85" count="1" selected="0">
            <x v="4"/>
          </reference>
          <reference field="87" count="1" selected="0">
            <x v="1579"/>
          </reference>
          <reference field="88" count="1">
            <x v="436"/>
          </reference>
        </references>
      </pivotArea>
    </format>
    <format dxfId="6138">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047"/>
          </reference>
          <reference field="82" count="1" selected="0">
            <x v="462"/>
          </reference>
          <reference field="85" count="1" selected="0">
            <x v="4"/>
          </reference>
          <reference field="87" count="1" selected="0">
            <x v="1410"/>
          </reference>
          <reference field="88" count="1">
            <x v="245"/>
          </reference>
        </references>
      </pivotArea>
    </format>
    <format dxfId="6137">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413"/>
          </reference>
          <reference field="82" count="1" selected="0">
            <x v="868"/>
          </reference>
          <reference field="85" count="1" selected="0">
            <x v="4"/>
          </reference>
          <reference field="87" count="1" selected="0">
            <x v="1795"/>
          </reference>
          <reference field="88" count="1">
            <x v="654"/>
          </reference>
        </references>
      </pivotArea>
    </format>
    <format dxfId="6136">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414"/>
          </reference>
          <reference field="82" count="1" selected="0">
            <x v="869"/>
          </reference>
          <reference field="85" count="1" selected="0">
            <x v="4"/>
          </reference>
          <reference field="87" count="1" selected="0">
            <x v="1796"/>
          </reference>
          <reference field="88" count="1">
            <x v="655"/>
          </reference>
        </references>
      </pivotArea>
    </format>
    <format dxfId="6135">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415"/>
          </reference>
          <reference field="82" count="1" selected="0">
            <x v="870"/>
          </reference>
          <reference field="85" count="1" selected="0">
            <x v="4"/>
          </reference>
          <reference field="87" count="1" selected="0">
            <x v="1797"/>
          </reference>
          <reference field="88" count="1">
            <x v="656"/>
          </reference>
        </references>
      </pivotArea>
    </format>
    <format dxfId="6134">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013"/>
          </reference>
          <reference field="82" count="1" selected="0">
            <x v="415"/>
          </reference>
          <reference field="85" count="1" selected="0">
            <x v="4"/>
          </reference>
          <reference field="87" count="1" selected="0">
            <x v="1372"/>
          </reference>
          <reference field="88" count="1">
            <x v="197"/>
          </reference>
        </references>
      </pivotArea>
    </format>
    <format dxfId="6133">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38"/>
          </reference>
          <reference field="82" count="1" selected="0">
            <x v="793"/>
          </reference>
          <reference field="85" count="1" selected="0">
            <x v="7"/>
          </reference>
          <reference field="87" count="1" selected="0">
            <x v="1720"/>
          </reference>
          <reference field="88" count="1">
            <x v="579"/>
          </reference>
        </references>
      </pivotArea>
    </format>
    <format dxfId="6132">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53"/>
          </reference>
          <reference field="82" count="1" selected="0">
            <x v="808"/>
          </reference>
          <reference field="85" count="1" selected="0">
            <x v="7"/>
          </reference>
          <reference field="87" count="1" selected="0">
            <x v="1735"/>
          </reference>
          <reference field="88" count="1">
            <x v="594"/>
          </reference>
        </references>
      </pivotArea>
    </format>
    <format dxfId="6131">
      <pivotArea field="13" type="button" dataOnly="0" labelOnly="1" outline="0" axis="axisRow" fieldPosition="6"/>
    </format>
    <format dxfId="613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6129">
      <pivotArea field="72" type="button" dataOnly="0" labelOnly="1" outline="0" axis="axisRow" fieldPosition="5"/>
    </format>
    <format dxfId="6128">
      <pivotArea field="13" type="button" dataOnly="0" labelOnly="1" outline="0" axis="axisRow" fieldPosition="6"/>
    </format>
    <format dxfId="6127">
      <pivotArea field="81" type="button" dataOnly="0" labelOnly="1" outline="0" axis="axisRow" fieldPosition="8"/>
    </format>
    <format dxfId="6126">
      <pivotArea field="82" type="button" dataOnly="0" labelOnly="1" outline="0" axis="axisRow" fieldPosition="9"/>
    </format>
    <format dxfId="6125">
      <pivotArea field="87" type="button" dataOnly="0" labelOnly="1" outline="0" axis="axisRow" fieldPosition="12"/>
    </format>
    <format dxfId="6124">
      <pivotArea field="88" type="button" dataOnly="0" labelOnly="1" outline="0" axis="axisRow" fieldPosition="13"/>
    </format>
    <format dxfId="6123">
      <pivotArea field="72" type="button" dataOnly="0" labelOnly="1" outline="0" axis="axisRow" fieldPosition="5"/>
    </format>
    <format dxfId="6122">
      <pivotArea field="13" type="button" dataOnly="0" labelOnly="1" outline="0" axis="axisRow" fieldPosition="6"/>
    </format>
    <format dxfId="6121">
      <pivotArea field="81" type="button" dataOnly="0" labelOnly="1" outline="0" axis="axisRow" fieldPosition="8"/>
    </format>
    <format dxfId="6120">
      <pivotArea field="82" type="button" dataOnly="0" labelOnly="1" outline="0" axis="axisRow" fieldPosition="9"/>
    </format>
    <format dxfId="6119">
      <pivotArea field="87" type="button" dataOnly="0" labelOnly="1" outline="0" axis="axisRow" fieldPosition="12"/>
    </format>
    <format dxfId="6118">
      <pivotArea field="88" type="button" dataOnly="0" labelOnly="1" outline="0" axis="axisRow" fieldPosition="13"/>
    </format>
    <format dxfId="6117">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3"/>
            <x v="44"/>
            <x v="46"/>
            <x v="47"/>
            <x v="48"/>
            <x v="49"/>
            <x v="50"/>
            <x v="51"/>
          </reference>
        </references>
      </pivotArea>
    </format>
    <format dxfId="6116">
      <pivotArea dataOnly="0" labelOnly="1" outline="0" fieldPosition="0">
        <references count="1">
          <reference field="1" count="1">
            <x v="52"/>
          </reference>
        </references>
      </pivotArea>
    </format>
    <format dxfId="6115">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1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1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1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11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1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0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0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10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0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0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0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10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610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610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610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6099">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6098">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9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9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95">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9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93">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92">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609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6090">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6089">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088">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6087">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608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08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08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08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08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608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608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607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607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607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607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607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607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7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7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7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70">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69">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6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6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6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6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6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6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62">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061">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606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605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605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605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6056">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55">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5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5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605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605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605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6049">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6048">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6047">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604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37"/>
          </reference>
          <reference field="82" count="1" selected="0">
            <x v="1095"/>
          </reference>
        </references>
      </pivotArea>
    </format>
    <format dxfId="6045">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23"/>
          </reference>
          <reference field="82" count="1" selected="0">
            <x v="1181"/>
          </reference>
        </references>
      </pivotArea>
    </format>
    <format dxfId="6044">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s>
      </pivotArea>
    </format>
    <format dxfId="6043">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70"/>
          </reference>
          <reference field="82" count="1" selected="0">
            <x v="1028"/>
          </reference>
        </references>
      </pivotArea>
    </format>
    <format dxfId="6042">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s>
      </pivotArea>
    </format>
    <format dxfId="604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s>
      </pivotArea>
    </format>
    <format dxfId="6040">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41"/>
          </reference>
          <reference field="82" count="1" selected="0">
            <x v="1099"/>
          </reference>
        </references>
      </pivotArea>
    </format>
    <format dxfId="6039">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557"/>
          </reference>
          <reference field="82" count="1" selected="0">
            <x v="1015"/>
          </reference>
        </references>
      </pivotArea>
    </format>
    <format dxfId="6038">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33"/>
          </reference>
          <reference field="82" count="1" selected="0">
            <x v="1091"/>
          </reference>
        </references>
      </pivotArea>
    </format>
    <format dxfId="6037">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15"/>
          </reference>
          <reference field="82" count="1" selected="0">
            <x v="1173"/>
          </reference>
        </references>
      </pivotArea>
    </format>
    <format dxfId="6036">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943"/>
          </reference>
        </references>
      </pivotArea>
    </format>
    <format dxfId="6035">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532"/>
          </reference>
          <reference field="82" count="1" selected="0">
            <x v="989"/>
          </reference>
        </references>
      </pivotArea>
    </format>
    <format dxfId="6034">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s>
      </pivotArea>
    </format>
    <format dxfId="6033">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86"/>
          </reference>
          <reference field="82" count="1" selected="0">
            <x v="942"/>
          </reference>
        </references>
      </pivotArea>
    </format>
    <format dxfId="603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35"/>
          </reference>
          <reference field="82" count="1" selected="0">
            <x v="1093"/>
          </reference>
        </references>
      </pivotArea>
    </format>
    <format dxfId="603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563"/>
          </reference>
          <reference field="82" count="1" selected="0">
            <x v="1021"/>
          </reference>
        </references>
      </pivotArea>
    </format>
    <format dxfId="603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39"/>
          </reference>
          <reference field="82" count="1" selected="0">
            <x v="1097"/>
          </reference>
        </references>
      </pivotArea>
    </format>
    <format dxfId="6029">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19"/>
          </reference>
          <reference field="82" count="1" selected="0">
            <x v="1177"/>
          </reference>
        </references>
      </pivotArea>
    </format>
    <format dxfId="6028">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s>
      </pivotArea>
    </format>
    <format dxfId="602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72"/>
          </reference>
          <reference field="82" count="1" selected="0">
            <x v="1030"/>
          </reference>
        </references>
      </pivotArea>
    </format>
    <format dxfId="602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483"/>
          </reference>
          <reference field="82" count="1" selected="0">
            <x v="939"/>
          </reference>
        </references>
      </pivotArea>
    </format>
    <format dxfId="602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573"/>
          </reference>
          <reference field="82" count="1" selected="0">
            <x v="1031"/>
          </reference>
        </references>
      </pivotArea>
    </format>
    <format dxfId="6024">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45"/>
          </reference>
          <reference field="82" count="1" selected="0">
            <x v="1103"/>
          </reference>
        </references>
      </pivotArea>
    </format>
    <format dxfId="6023">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576"/>
          </reference>
          <reference field="82" count="1" selected="0">
            <x v="1034"/>
          </reference>
        </references>
      </pivotArea>
    </format>
    <format dxfId="602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s>
      </pivotArea>
    </format>
    <format dxfId="6021">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585"/>
          </reference>
          <reference field="82" count="1" selected="0">
            <x v="1043"/>
          </reference>
        </references>
      </pivotArea>
    </format>
    <format dxfId="602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460"/>
          </reference>
          <reference field="82" count="1" selected="0">
            <x v="915"/>
          </reference>
        </references>
      </pivotArea>
    </format>
    <format dxfId="6019">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523"/>
          </reference>
          <reference field="82" count="1" selected="0">
            <x v="980"/>
          </reference>
        </references>
      </pivotArea>
    </format>
    <format dxfId="6018">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582"/>
          </reference>
          <reference field="82" count="1" selected="0">
            <x v="1040"/>
          </reference>
        </references>
      </pivotArea>
    </format>
    <format dxfId="601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666"/>
          </reference>
          <reference field="82" count="1" selected="0">
            <x v="1124"/>
          </reference>
        </references>
      </pivotArea>
    </format>
    <format dxfId="6016">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546"/>
          </reference>
          <reference field="82" count="1" selected="0">
            <x v="1004"/>
          </reference>
        </references>
      </pivotArea>
    </format>
    <format dxfId="601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484"/>
          </reference>
          <reference field="82" count="1" selected="0">
            <x v="940"/>
          </reference>
        </references>
      </pivotArea>
    </format>
    <format dxfId="6014">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527"/>
          </reference>
          <reference field="82" count="1" selected="0">
            <x v="984"/>
          </reference>
        </references>
      </pivotArea>
    </format>
    <format dxfId="6013">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42"/>
          </reference>
          <reference field="82" count="1" selected="0">
            <x v="1000"/>
          </reference>
        </references>
      </pivotArea>
    </format>
    <format dxfId="601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658"/>
          </reference>
          <reference field="82" count="1" selected="0">
            <x v="1116"/>
          </reference>
        </references>
      </pivotArea>
    </format>
    <format dxfId="6011">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48"/>
          </reference>
          <reference field="82" count="1" selected="0">
            <x v="1006"/>
          </reference>
        </references>
      </pivotArea>
    </format>
    <format dxfId="601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469"/>
          </reference>
          <reference field="82" count="1" selected="0">
            <x v="924"/>
          </reference>
        </references>
      </pivotArea>
    </format>
    <format dxfId="6009">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551"/>
          </reference>
          <reference field="82" count="1" selected="0">
            <x v="1009"/>
          </reference>
        </references>
      </pivotArea>
    </format>
    <format dxfId="6008">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612"/>
          </reference>
          <reference field="82" count="1" selected="0">
            <x v="1070"/>
          </reference>
        </references>
      </pivotArea>
    </format>
    <format dxfId="600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554"/>
          </reference>
          <reference field="82" count="1" selected="0">
            <x v="1012"/>
          </reference>
        </references>
      </pivotArea>
    </format>
    <format dxfId="6006">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649"/>
          </reference>
          <reference field="82" count="1" selected="0">
            <x v="1107"/>
          </reference>
        </references>
      </pivotArea>
    </format>
    <format dxfId="600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53"/>
          </reference>
          <reference field="82" count="1" selected="0">
            <x v="1211"/>
          </reference>
        </references>
      </pivotArea>
    </format>
    <format dxfId="6004">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76"/>
          </reference>
          <reference field="82" count="1" selected="0">
            <x v="1134"/>
          </reference>
        </references>
      </pivotArea>
    </format>
    <format dxfId="6003">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449"/>
          </reference>
          <reference field="82" count="1" selected="0">
            <x v="904"/>
          </reference>
        </references>
      </pivotArea>
    </format>
    <format dxfId="600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72"/>
          </reference>
          <reference field="82" count="1" selected="0">
            <x v="1130"/>
          </reference>
        </references>
      </pivotArea>
    </format>
    <format dxfId="6001">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68"/>
          </reference>
          <reference field="82" count="1" selected="0">
            <x v="1126"/>
          </reference>
        </references>
      </pivotArea>
    </format>
    <format dxfId="600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589"/>
          </reference>
          <reference field="82" count="1" selected="0">
            <x v="1047"/>
          </reference>
        </references>
      </pivotArea>
    </format>
    <format dxfId="5999">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62"/>
          </reference>
          <reference field="82" count="1" selected="0">
            <x v="917"/>
          </reference>
        </references>
      </pivotArea>
    </format>
    <format dxfId="5998">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517"/>
          </reference>
          <reference field="82" count="1" selected="0">
            <x v="974"/>
          </reference>
        </references>
      </pivotArea>
    </format>
    <format dxfId="5997">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600"/>
          </reference>
          <reference field="82" count="1" selected="0">
            <x v="1058"/>
          </reference>
        </references>
      </pivotArea>
    </format>
    <format dxfId="5996">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664"/>
          </reference>
          <reference field="82" count="1" selected="0">
            <x v="1122"/>
          </reference>
        </references>
      </pivotArea>
    </format>
    <format dxfId="599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71"/>
          </reference>
          <reference field="82" count="1" selected="0">
            <x v="926"/>
          </reference>
        </references>
      </pivotArea>
    </format>
    <format dxfId="5994">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514"/>
          </reference>
          <reference field="82" count="1" selected="0">
            <x v="970"/>
          </reference>
        </references>
      </pivotArea>
    </format>
    <format dxfId="5993">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597"/>
          </reference>
          <reference field="82" count="1" selected="0">
            <x v="1055"/>
          </reference>
        </references>
      </pivotArea>
    </format>
    <format dxfId="5992">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663"/>
          </reference>
          <reference field="82" count="1" selected="0">
            <x v="1121"/>
          </reference>
        </references>
      </pivotArea>
    </format>
    <format dxfId="5991">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529"/>
          </reference>
          <reference field="82" count="1" selected="0">
            <x v="986"/>
          </reference>
        </references>
      </pivotArea>
    </format>
    <format dxfId="599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591"/>
          </reference>
          <reference field="82" count="1" selected="0">
            <x v="1049"/>
          </reference>
        </references>
      </pivotArea>
    </format>
    <format dxfId="5989">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04"/>
          </reference>
          <reference field="82" count="1" selected="0">
            <x v="1062"/>
          </reference>
        </references>
      </pivotArea>
    </format>
    <format dxfId="598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530"/>
          </reference>
          <reference field="82" count="1" selected="0">
            <x v="987"/>
          </reference>
        </references>
      </pivotArea>
    </format>
    <format dxfId="598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594"/>
          </reference>
          <reference field="82" count="1" selected="0">
            <x v="1052"/>
          </reference>
        </references>
      </pivotArea>
    </format>
    <format dxfId="5986">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607"/>
          </reference>
          <reference field="82" count="1" selected="0">
            <x v="1065"/>
          </reference>
        </references>
      </pivotArea>
    </format>
    <format dxfId="598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661"/>
          </reference>
          <reference field="82" count="1" selected="0">
            <x v="1119"/>
          </reference>
        </references>
      </pivotArea>
    </format>
    <format dxfId="5984">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732"/>
          </reference>
          <reference field="82" count="1" selected="0">
            <x v="1190"/>
          </reference>
        </references>
      </pivotArea>
    </format>
    <format dxfId="5983">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479"/>
          </reference>
          <reference field="82" count="1" selected="0">
            <x v="935"/>
          </reference>
        </references>
      </pivotArea>
    </format>
    <format dxfId="598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632"/>
          </reference>
          <reference field="82" count="1" selected="0">
            <x v="1090"/>
          </reference>
        </references>
      </pivotArea>
    </format>
    <format dxfId="5981">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749"/>
          </reference>
          <reference field="82" count="1" selected="0">
            <x v="1207"/>
          </reference>
        </references>
      </pivotArea>
    </format>
    <format dxfId="598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752"/>
          </reference>
          <reference field="82" count="1" selected="0">
            <x v="1210"/>
          </reference>
        </references>
      </pivotArea>
    </format>
    <format dxfId="597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98"/>
          </reference>
          <reference field="82" count="1" selected="0">
            <x v="1156"/>
          </reference>
        </references>
      </pivotArea>
    </format>
    <format dxfId="5978">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93"/>
          </reference>
          <reference field="82" count="1" selected="0">
            <x v="1151"/>
          </reference>
        </references>
      </pivotArea>
    </format>
    <format dxfId="5977">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88"/>
          </reference>
          <reference field="82" count="1" selected="0">
            <x v="1146"/>
          </reference>
        </references>
      </pivotArea>
    </format>
    <format dxfId="5976">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745"/>
          </reference>
          <reference field="82" count="1" selected="0">
            <x v="1203"/>
          </reference>
        </references>
      </pivotArea>
    </format>
    <format dxfId="597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630"/>
          </reference>
          <reference field="82" count="1" selected="0">
            <x v="1088"/>
          </reference>
        </references>
      </pivotArea>
    </format>
    <format dxfId="5974">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502"/>
          </reference>
          <reference field="82" count="1" selected="0">
            <x v="958"/>
          </reference>
        </references>
      </pivotArea>
    </format>
    <format dxfId="5973">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455"/>
          </reference>
          <reference field="82" count="1" selected="0">
            <x v="910"/>
          </reference>
        </references>
      </pivotArea>
    </format>
    <format dxfId="5972">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757"/>
          </reference>
          <reference field="82" count="1" selected="0">
            <x v="1215"/>
          </reference>
        </references>
      </pivotArea>
    </format>
    <format dxfId="5971">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492"/>
          </reference>
          <reference field="82" count="1" selected="0">
            <x v="948"/>
          </reference>
        </references>
      </pivotArea>
    </format>
    <format dxfId="5970">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5969">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759"/>
          </reference>
          <reference field="82" count="1" selected="0">
            <x v="1217"/>
          </reference>
        </references>
      </pivotArea>
    </format>
    <format dxfId="5968">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5967">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760"/>
          </reference>
          <reference field="82" count="1" selected="0">
            <x v="1218"/>
          </reference>
        </references>
      </pivotArea>
    </format>
    <format dxfId="5966">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485"/>
          </reference>
          <reference field="82" count="1" selected="0">
            <x v="941"/>
          </reference>
        </references>
      </pivotArea>
    </format>
    <format dxfId="5965">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762"/>
          </reference>
          <reference field="82" count="1" selected="0">
            <x v="1220"/>
          </reference>
        </references>
      </pivotArea>
    </format>
    <format dxfId="5964">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5963">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454"/>
          </reference>
          <reference field="82" count="1" selected="0">
            <x v="909"/>
          </reference>
        </references>
      </pivotArea>
    </format>
    <format dxfId="5962">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751"/>
          </reference>
          <reference field="82" count="1" selected="0">
            <x v="1209"/>
          </reference>
        </references>
      </pivotArea>
    </format>
    <format dxfId="5961">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615"/>
          </reference>
          <reference field="82" count="1" selected="0">
            <x v="1073"/>
          </reference>
        </references>
      </pivotArea>
    </format>
    <format dxfId="5960">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758"/>
          </reference>
          <reference field="82" count="1" selected="0">
            <x v="1216"/>
          </reference>
        </references>
      </pivotArea>
    </format>
    <format dxfId="5959">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491"/>
          </reference>
          <reference field="82" count="1" selected="0">
            <x v="947"/>
          </reference>
        </references>
      </pivotArea>
    </format>
    <format dxfId="5958">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89"/>
          </reference>
          <reference field="82" count="1" selected="0">
            <x v="945"/>
          </reference>
        </references>
      </pivotArea>
    </format>
    <format dxfId="5957">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626"/>
          </reference>
          <reference field="82" count="1" selected="0">
            <x v="1084"/>
          </reference>
        </references>
      </pivotArea>
    </format>
    <format dxfId="5956">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90"/>
          </reference>
          <reference field="82" count="1" selected="0">
            <x v="946"/>
          </reference>
        </references>
      </pivotArea>
    </format>
    <format dxfId="5955">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743"/>
          </reference>
          <reference field="82" count="1" selected="0">
            <x v="1201"/>
          </reference>
        </references>
      </pivotArea>
    </format>
    <format dxfId="5954">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651"/>
          </reference>
          <reference field="82" count="1" selected="0">
            <x v="1109"/>
          </reference>
        </references>
      </pivotArea>
    </format>
    <format dxfId="5953">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2512"/>
          </reference>
          <reference field="82" count="1" selected="0">
            <x v="968"/>
          </reference>
        </references>
      </pivotArea>
    </format>
    <format dxfId="5952">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727"/>
          </reference>
          <reference field="82" count="1" selected="0">
            <x v="1185"/>
          </reference>
        </references>
      </pivotArea>
    </format>
    <format dxfId="5951">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7"/>
          </reference>
          <reference field="82" count="1" selected="0">
            <x v="1095"/>
          </reference>
          <reference field="85" count="1">
            <x v="7"/>
          </reference>
        </references>
      </pivotArea>
    </format>
    <format dxfId="5950">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23"/>
          </reference>
          <reference field="82" count="1" selected="0">
            <x v="1181"/>
          </reference>
          <reference field="85" count="1">
            <x v="4"/>
          </reference>
        </references>
      </pivotArea>
    </format>
    <format dxfId="5949">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x v="7"/>
          </reference>
        </references>
      </pivotArea>
    </format>
    <format dxfId="5948">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0"/>
          </reference>
          <reference field="82" count="1" selected="0">
            <x v="1028"/>
          </reference>
          <reference field="85" count="1">
            <x v="0"/>
          </reference>
        </references>
      </pivotArea>
    </format>
    <format dxfId="5947">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x v="7"/>
          </reference>
        </references>
      </pivotArea>
    </format>
    <format dxfId="5946">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x v="0"/>
          </reference>
        </references>
      </pivotArea>
    </format>
    <format dxfId="5945">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1"/>
          </reference>
          <reference field="82" count="1" selected="0">
            <x v="1099"/>
          </reference>
          <reference field="85" count="1">
            <x v="7"/>
          </reference>
        </references>
      </pivotArea>
    </format>
    <format dxfId="5944">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57"/>
          </reference>
          <reference field="82" count="1" selected="0">
            <x v="1015"/>
          </reference>
          <reference field="85" count="1">
            <x v="0"/>
          </reference>
        </references>
      </pivotArea>
    </format>
    <format dxfId="5943">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3"/>
          </reference>
          <reference field="82" count="1" selected="0">
            <x v="1091"/>
          </reference>
          <reference field="85" count="1">
            <x v="7"/>
          </reference>
        </references>
      </pivotArea>
    </format>
    <format dxfId="5942">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5"/>
          </reference>
          <reference field="82" count="1" selected="0">
            <x v="1173"/>
          </reference>
          <reference field="85" count="1">
            <x v="4"/>
          </reference>
        </references>
      </pivotArea>
    </format>
    <format dxfId="5941">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943"/>
          </reference>
          <reference field="85" count="1">
            <x v="7"/>
          </reference>
        </references>
      </pivotArea>
    </format>
    <format dxfId="5940">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32"/>
          </reference>
          <reference field="82" count="1" selected="0">
            <x v="989"/>
          </reference>
          <reference field="85" count="1">
            <x v="4"/>
          </reference>
        </references>
      </pivotArea>
    </format>
    <format dxfId="5939">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x v="0"/>
          </reference>
        </references>
      </pivotArea>
    </format>
    <format dxfId="5938">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6"/>
          </reference>
          <reference field="82" count="1" selected="0">
            <x v="942"/>
          </reference>
          <reference field="85" count="1">
            <x v="7"/>
          </reference>
        </references>
      </pivotArea>
    </format>
    <format dxfId="5937">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5"/>
          </reference>
          <reference field="82" count="1" selected="0">
            <x v="1093"/>
          </reference>
          <reference field="85" count="1">
            <x v="7"/>
          </reference>
        </references>
      </pivotArea>
    </format>
    <format dxfId="5936">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63"/>
          </reference>
          <reference field="82" count="1" selected="0">
            <x v="1021"/>
          </reference>
          <reference field="85" count="1">
            <x v="0"/>
          </reference>
        </references>
      </pivotArea>
    </format>
    <format dxfId="5935">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9"/>
          </reference>
          <reference field="82" count="1" selected="0">
            <x v="1097"/>
          </reference>
          <reference field="85" count="1">
            <x v="7"/>
          </reference>
        </references>
      </pivotArea>
    </format>
    <format dxfId="5934">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9"/>
          </reference>
          <reference field="82" count="1" selected="0">
            <x v="1177"/>
          </reference>
          <reference field="85" count="1">
            <x v="4"/>
          </reference>
        </references>
      </pivotArea>
    </format>
    <format dxfId="5933">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x v="7"/>
          </reference>
        </references>
      </pivotArea>
    </format>
    <format dxfId="5932">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2"/>
          </reference>
          <reference field="82" count="1" selected="0">
            <x v="1030"/>
          </reference>
          <reference field="85" count="1">
            <x v="0"/>
          </reference>
        </references>
      </pivotArea>
    </format>
    <format dxfId="5931">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3"/>
          </reference>
          <reference field="82" count="1" selected="0">
            <x v="939"/>
          </reference>
          <reference field="85" count="1">
            <x v="7"/>
          </reference>
        </references>
      </pivotArea>
    </format>
    <format dxfId="5930">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3"/>
          </reference>
          <reference field="82" count="1" selected="0">
            <x v="1031"/>
          </reference>
          <reference field="85" count="1">
            <x v="0"/>
          </reference>
        </references>
      </pivotArea>
    </format>
    <format dxfId="5929">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45"/>
          </reference>
          <reference field="82" count="1" selected="0">
            <x v="1103"/>
          </reference>
          <reference field="85" count="1">
            <x v="7"/>
          </reference>
        </references>
      </pivotArea>
    </format>
    <format dxfId="5928">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6"/>
          </reference>
          <reference field="82" count="1" selected="0">
            <x v="1034"/>
          </reference>
          <reference field="85" count="1">
            <x v="0"/>
          </reference>
        </references>
      </pivotArea>
    </format>
    <format dxfId="5927">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 field="85" count="1">
            <x v="7"/>
          </reference>
        </references>
      </pivotArea>
    </format>
    <format dxfId="5926">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85"/>
          </reference>
          <reference field="82" count="1" selected="0">
            <x v="1043"/>
          </reference>
          <reference field="85" count="1">
            <x v="0"/>
          </reference>
        </references>
      </pivotArea>
    </format>
    <format dxfId="5925">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60"/>
          </reference>
          <reference field="82" count="1" selected="0">
            <x v="915"/>
          </reference>
          <reference field="85" count="1">
            <x v="7"/>
          </reference>
        </references>
      </pivotArea>
    </format>
    <format dxfId="5924">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23"/>
          </reference>
          <reference field="82" count="1" selected="0">
            <x v="980"/>
          </reference>
          <reference field="85" count="1">
            <x v="4"/>
          </reference>
        </references>
      </pivotArea>
    </format>
    <format dxfId="5923">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82"/>
          </reference>
          <reference field="82" count="1" selected="0">
            <x v="1040"/>
          </reference>
          <reference field="85" count="1">
            <x v="0"/>
          </reference>
        </references>
      </pivotArea>
    </format>
    <format dxfId="5922">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66"/>
          </reference>
          <reference field="82" count="1" selected="0">
            <x v="1124"/>
          </reference>
          <reference field="85" count="1">
            <x v="7"/>
          </reference>
        </references>
      </pivotArea>
    </format>
    <format dxfId="5921">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46"/>
          </reference>
          <reference field="82" count="1" selected="0">
            <x v="1004"/>
          </reference>
          <reference field="85" count="1">
            <x v="0"/>
          </reference>
        </references>
      </pivotArea>
    </format>
    <format dxfId="5920">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84"/>
          </reference>
          <reference field="82" count="1" selected="0">
            <x v="940"/>
          </reference>
          <reference field="85" count="1">
            <x v="7"/>
          </reference>
        </references>
      </pivotArea>
    </format>
    <format dxfId="5919">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27"/>
          </reference>
          <reference field="82" count="1" selected="0">
            <x v="984"/>
          </reference>
          <reference field="85" count="1">
            <x v="4"/>
          </reference>
        </references>
      </pivotArea>
    </format>
    <format dxfId="5918">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2"/>
          </reference>
          <reference field="82" count="1" selected="0">
            <x v="1000"/>
          </reference>
          <reference field="85" count="1">
            <x v="0"/>
          </reference>
        </references>
      </pivotArea>
    </format>
    <format dxfId="5917">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58"/>
          </reference>
          <reference field="82" count="1" selected="0">
            <x v="1116"/>
          </reference>
          <reference field="85" count="1">
            <x v="7"/>
          </reference>
        </references>
      </pivotArea>
    </format>
    <format dxfId="5916">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8"/>
          </reference>
          <reference field="82" count="1" selected="0">
            <x v="1006"/>
          </reference>
          <reference field="85" count="1">
            <x v="0"/>
          </reference>
        </references>
      </pivotArea>
    </format>
    <format dxfId="5915">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69"/>
          </reference>
          <reference field="82" count="1" selected="0">
            <x v="924"/>
          </reference>
          <reference field="85" count="1">
            <x v="7"/>
          </reference>
        </references>
      </pivotArea>
    </format>
    <format dxfId="5914">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1"/>
          </reference>
          <reference field="82" count="1" selected="0">
            <x v="1009"/>
          </reference>
          <reference field="85" count="1">
            <x v="0"/>
          </reference>
        </references>
      </pivotArea>
    </format>
    <format dxfId="5913">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12"/>
          </reference>
          <reference field="82" count="1" selected="0">
            <x v="1070"/>
          </reference>
          <reference field="85" count="1">
            <x v="2"/>
          </reference>
        </references>
      </pivotArea>
    </format>
    <format dxfId="5912">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4"/>
          </reference>
          <reference field="82" count="1" selected="0">
            <x v="1012"/>
          </reference>
          <reference field="85" count="1">
            <x v="0"/>
          </reference>
        </references>
      </pivotArea>
    </format>
    <format dxfId="5911">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49"/>
          </reference>
          <reference field="82" count="1" selected="0">
            <x v="1107"/>
          </reference>
          <reference field="85" count="1">
            <x v="7"/>
          </reference>
        </references>
      </pivotArea>
    </format>
    <format dxfId="5910">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53"/>
          </reference>
          <reference field="82" count="1" selected="0">
            <x v="1211"/>
          </reference>
          <reference field="85" count="1">
            <x v="4"/>
          </reference>
        </references>
      </pivotArea>
    </format>
    <format dxfId="5909">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6"/>
          </reference>
          <reference field="82" count="1" selected="0">
            <x v="1134"/>
          </reference>
          <reference field="85" count="1">
            <x v="4"/>
          </reference>
        </references>
      </pivotArea>
    </format>
    <format dxfId="5908">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49"/>
          </reference>
          <reference field="82" count="1" selected="0">
            <x v="904"/>
          </reference>
          <reference field="85" count="1">
            <x v="3"/>
          </reference>
        </references>
      </pivotArea>
    </format>
    <format dxfId="5907">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2"/>
          </reference>
          <reference field="82" count="1" selected="0">
            <x v="1130"/>
          </reference>
          <reference field="85" count="1">
            <x v="4"/>
          </reference>
        </references>
      </pivotArea>
    </format>
    <format dxfId="5906">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68"/>
          </reference>
          <reference field="82" count="1" selected="0">
            <x v="1126"/>
          </reference>
          <reference field="85" count="1">
            <x v="4"/>
          </reference>
        </references>
      </pivotArea>
    </format>
    <format dxfId="5905">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89"/>
          </reference>
          <reference field="82" count="1" selected="0">
            <x v="1047"/>
          </reference>
          <reference field="85" count="1">
            <x v="0"/>
          </reference>
        </references>
      </pivotArea>
    </format>
    <format dxfId="5904">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62"/>
          </reference>
          <reference field="82" count="1" selected="0">
            <x v="917"/>
          </reference>
          <reference field="85" count="1">
            <x v="7"/>
          </reference>
        </references>
      </pivotArea>
    </format>
    <format dxfId="5903">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17"/>
          </reference>
          <reference field="82" count="1" selected="0">
            <x v="974"/>
          </reference>
          <reference field="85" count="1">
            <x v="4"/>
          </reference>
        </references>
      </pivotArea>
    </format>
    <format dxfId="5902">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00"/>
          </reference>
          <reference field="82" count="1" selected="0">
            <x v="1058"/>
          </reference>
          <reference field="85" count="1">
            <x v="0"/>
          </reference>
        </references>
      </pivotArea>
    </format>
    <format dxfId="5901">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4"/>
          </reference>
          <reference field="82" count="1" selected="0">
            <x v="1122"/>
          </reference>
          <reference field="85" count="1">
            <x v="7"/>
          </reference>
        </references>
      </pivotArea>
    </format>
    <format dxfId="5900">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8"/>
          </reference>
          <reference field="82" count="1" selected="0">
            <x v="913"/>
          </reference>
          <reference field="85" count="1">
            <x v="3"/>
          </reference>
        </references>
      </pivotArea>
    </format>
    <format dxfId="5899">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1"/>
          </reference>
          <reference field="82" count="1" selected="0">
            <x v="926"/>
          </reference>
          <reference field="85" count="1">
            <x v="7"/>
          </reference>
        </references>
      </pivotArea>
    </format>
    <format dxfId="5898">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14"/>
          </reference>
          <reference field="82" count="1" selected="0">
            <x v="970"/>
          </reference>
          <reference field="85" count="1">
            <x v="4"/>
          </reference>
        </references>
      </pivotArea>
    </format>
    <format dxfId="5897">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97"/>
          </reference>
          <reference field="82" count="1" selected="0">
            <x v="1055"/>
          </reference>
          <reference field="85" count="1">
            <x v="0"/>
          </reference>
        </references>
      </pivotArea>
    </format>
    <format dxfId="5896">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3"/>
          </reference>
          <reference field="82" count="1" selected="0">
            <x v="1121"/>
          </reference>
          <reference field="85" count="1">
            <x v="7"/>
          </reference>
        </references>
      </pivotArea>
    </format>
    <format dxfId="5895">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9"/>
          </reference>
          <reference field="82" count="1" selected="0">
            <x v="914"/>
          </reference>
          <reference field="85" count="1">
            <x v="3"/>
          </reference>
        </references>
      </pivotArea>
    </format>
    <format dxfId="5894">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3"/>
          </reference>
          <reference field="82" count="1" selected="0">
            <x v="928"/>
          </reference>
          <reference field="85" count="1">
            <x v="7"/>
          </reference>
        </references>
      </pivotArea>
    </format>
    <format dxfId="5893">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3"/>
          </reference>
          <reference field="82" count="1" selected="0">
            <x v="908"/>
          </reference>
          <reference field="85" count="1">
            <x v="3"/>
          </reference>
        </references>
      </pivotArea>
    </format>
    <format dxfId="5892">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29"/>
          </reference>
          <reference field="82" count="1" selected="0">
            <x v="986"/>
          </reference>
          <reference field="85" count="1">
            <x v="4"/>
          </reference>
        </references>
      </pivotArea>
    </format>
    <format dxfId="5891">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91"/>
          </reference>
          <reference field="82" count="1" selected="0">
            <x v="1049"/>
          </reference>
          <reference field="85" count="1">
            <x v="0"/>
          </reference>
        </references>
      </pivotArea>
    </format>
    <format dxfId="5890">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4"/>
          </reference>
          <reference field="82" count="1" selected="0">
            <x v="1062"/>
          </reference>
          <reference field="85" count="1">
            <x v="2"/>
          </reference>
        </references>
      </pivotArea>
    </format>
    <format dxfId="5889">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30"/>
          </reference>
          <reference field="82" count="1" selected="0">
            <x v="987"/>
          </reference>
          <reference field="85" count="1">
            <x v="4"/>
          </reference>
        </references>
      </pivotArea>
    </format>
    <format dxfId="5888">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94"/>
          </reference>
          <reference field="82" count="1" selected="0">
            <x v="1052"/>
          </reference>
          <reference field="85" count="1">
            <x v="0"/>
          </reference>
        </references>
      </pivotArea>
    </format>
    <format dxfId="5887">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7"/>
          </reference>
          <reference field="82" count="1" selected="0">
            <x v="1065"/>
          </reference>
          <reference field="85" count="1">
            <x v="2"/>
          </reference>
        </references>
      </pivotArea>
    </format>
    <format dxfId="5886">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61"/>
          </reference>
          <reference field="82" count="1" selected="0">
            <x v="1119"/>
          </reference>
          <reference field="85" count="1">
            <x v="7"/>
          </reference>
        </references>
      </pivotArea>
    </format>
    <format dxfId="5885">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32"/>
          </reference>
          <reference field="82" count="1" selected="0">
            <x v="1190"/>
          </reference>
          <reference field="85" count="1">
            <x v="4"/>
          </reference>
        </references>
      </pivotArea>
    </format>
    <format dxfId="5884">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79"/>
          </reference>
          <reference field="82" count="1" selected="0">
            <x v="935"/>
          </reference>
          <reference field="85" count="1">
            <x v="7"/>
          </reference>
        </references>
      </pivotArea>
    </format>
    <format dxfId="5883">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32"/>
          </reference>
          <reference field="82" count="1" selected="0">
            <x v="1090"/>
          </reference>
          <reference field="85" count="1">
            <x v="2"/>
          </reference>
        </references>
      </pivotArea>
    </format>
    <format dxfId="5882">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49"/>
          </reference>
          <reference field="82" count="1" selected="0">
            <x v="1207"/>
          </reference>
          <reference field="85" count="1">
            <x v="4"/>
          </reference>
        </references>
      </pivotArea>
    </format>
    <format dxfId="5881">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52"/>
          </reference>
          <reference field="82" count="1" selected="0">
            <x v="1210"/>
          </reference>
          <reference field="85" count="1">
            <x v="4"/>
          </reference>
        </references>
      </pivotArea>
    </format>
    <format dxfId="5880">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8"/>
          </reference>
          <reference field="82" count="1" selected="0">
            <x v="1156"/>
          </reference>
          <reference field="85" count="1">
            <x v="4"/>
          </reference>
        </references>
      </pivotArea>
    </format>
    <format dxfId="5879">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3"/>
          </reference>
          <reference field="82" count="1" selected="0">
            <x v="1151"/>
          </reference>
          <reference field="85" count="1">
            <x v="4"/>
          </reference>
        </references>
      </pivotArea>
    </format>
    <format dxfId="5878">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88"/>
          </reference>
          <reference field="82" count="1" selected="0">
            <x v="1146"/>
          </reference>
          <reference field="85" count="1">
            <x v="4"/>
          </reference>
        </references>
      </pivotArea>
    </format>
    <format dxfId="5877">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45"/>
          </reference>
          <reference field="82" count="1" selected="0">
            <x v="1203"/>
          </reference>
          <reference field="85" count="1">
            <x v="4"/>
          </reference>
        </references>
      </pivotArea>
    </format>
    <format dxfId="5876">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02"/>
          </reference>
          <reference field="82" count="1" selected="0">
            <x v="958"/>
          </reference>
          <reference field="85" count="1">
            <x v="4"/>
          </reference>
        </references>
      </pivotArea>
    </format>
    <format dxfId="5875">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55"/>
          </reference>
          <reference field="82" count="1" selected="0">
            <x v="910"/>
          </reference>
          <reference field="85" count="1">
            <x v="3"/>
          </reference>
        </references>
      </pivotArea>
    </format>
    <format dxfId="5874">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57"/>
          </reference>
          <reference field="82" count="1" selected="0">
            <x v="1215"/>
          </reference>
          <reference field="85" count="1">
            <x v="4"/>
          </reference>
        </references>
      </pivotArea>
    </format>
    <format dxfId="5873">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2"/>
          </reference>
          <reference field="82" count="1" selected="0">
            <x v="948"/>
          </reference>
          <reference field="85" count="1">
            <x v="7"/>
          </reference>
        </references>
      </pivotArea>
    </format>
    <format dxfId="5872">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56"/>
          </reference>
          <reference field="82" count="1" selected="0">
            <x v="911"/>
          </reference>
          <reference field="85" count="1">
            <x v="3"/>
          </reference>
        </references>
      </pivotArea>
    </format>
    <format dxfId="5871">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3"/>
          </reference>
          <reference field="82" count="1" selected="0">
            <x v="949"/>
          </reference>
          <reference field="85" count="1">
            <x v="7"/>
          </reference>
        </references>
      </pivotArea>
    </format>
    <format dxfId="5870">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5869">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59"/>
          </reference>
          <reference field="82" count="1" selected="0">
            <x v="1217"/>
          </reference>
          <reference field="85" count="1">
            <x v="7"/>
          </reference>
        </references>
      </pivotArea>
    </format>
    <format dxfId="5868">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5867">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60"/>
          </reference>
          <reference field="82" count="1" selected="0">
            <x v="1218"/>
          </reference>
          <reference field="85" count="1">
            <x v="7"/>
          </reference>
        </references>
      </pivotArea>
    </format>
    <format dxfId="5866">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5"/>
          </reference>
          <reference field="82" count="1" selected="0">
            <x v="941"/>
          </reference>
          <reference field="85" count="1">
            <x v="2"/>
          </reference>
        </references>
      </pivotArea>
    </format>
    <format dxfId="5865">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62"/>
          </reference>
          <reference field="82" count="1" selected="0">
            <x v="1220"/>
          </reference>
          <reference field="85" count="1">
            <x v="7"/>
          </reference>
        </references>
      </pivotArea>
    </format>
    <format dxfId="5864">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5863">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51"/>
          </reference>
          <reference field="82" count="1" selected="0">
            <x v="1209"/>
          </reference>
          <reference field="85" count="1">
            <x v="4"/>
          </reference>
        </references>
      </pivotArea>
    </format>
    <format dxfId="5862">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15"/>
          </reference>
          <reference field="82" count="1" selected="0">
            <x v="1073"/>
          </reference>
          <reference field="85" count="1">
            <x v="2"/>
          </reference>
        </references>
      </pivotArea>
    </format>
    <format dxfId="5861">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58"/>
          </reference>
          <reference field="82" count="1" selected="0">
            <x v="1216"/>
          </reference>
          <reference field="85" count="1">
            <x v="4"/>
          </reference>
        </references>
      </pivotArea>
    </format>
    <format dxfId="5860">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1"/>
          </reference>
          <reference field="82" count="1" selected="0">
            <x v="947"/>
          </reference>
          <reference field="85" count="1">
            <x v="2"/>
          </reference>
        </references>
      </pivotArea>
    </format>
    <format dxfId="5859">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89"/>
          </reference>
          <reference field="82" count="1" selected="0">
            <x v="945"/>
          </reference>
          <reference field="85" count="1">
            <x v="7"/>
          </reference>
        </references>
      </pivotArea>
    </format>
    <format dxfId="5858">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26"/>
          </reference>
          <reference field="82" count="1" selected="0">
            <x v="1084"/>
          </reference>
          <reference field="85" count="1">
            <x v="2"/>
          </reference>
        </references>
      </pivotArea>
    </format>
    <format dxfId="5857">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0"/>
          </reference>
          <reference field="82" count="1" selected="0">
            <x v="946"/>
          </reference>
          <reference field="85" count="1">
            <x v="7"/>
          </reference>
        </references>
      </pivotArea>
    </format>
    <format dxfId="5856">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43"/>
          </reference>
          <reference field="82" count="1" selected="0">
            <x v="1201"/>
          </reference>
          <reference field="85" count="1">
            <x v="4"/>
          </reference>
        </references>
      </pivotArea>
    </format>
    <format dxfId="5855">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51"/>
          </reference>
          <reference field="82" count="1" selected="0">
            <x v="1109"/>
          </reference>
          <reference field="85" count="1">
            <x v="7"/>
          </reference>
        </references>
      </pivotArea>
    </format>
    <format dxfId="5854">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12"/>
          </reference>
          <reference field="82" count="1" selected="0">
            <x v="968"/>
          </reference>
          <reference field="85" count="1">
            <x v="4"/>
          </reference>
        </references>
      </pivotArea>
    </format>
    <format dxfId="5853">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27"/>
          </reference>
          <reference field="82" count="1" selected="0">
            <x v="1185"/>
          </reference>
          <reference field="85" count="1">
            <x v="4"/>
          </reference>
        </references>
      </pivotArea>
    </format>
    <format dxfId="5852">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37"/>
          </reference>
          <reference field="82" count="1" selected="0">
            <x v="1095"/>
          </reference>
          <reference field="85" count="1" selected="0">
            <x v="7"/>
          </reference>
          <reference field="87" count="1" selected="0">
            <x v="2019"/>
          </reference>
          <reference field="88" count="1" selected="0">
            <x v="881"/>
          </reference>
        </references>
      </pivotArea>
    </format>
    <format dxfId="585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38"/>
          </reference>
          <reference field="82" count="1" selected="0">
            <x v="1096"/>
          </reference>
          <reference field="85" count="1" selected="0">
            <x v="7"/>
          </reference>
          <reference field="87" count="1" selected="0">
            <x v="2020"/>
          </reference>
          <reference field="88" count="1" selected="0">
            <x v="882"/>
          </reference>
        </references>
      </pivotArea>
    </format>
    <format dxfId="5850">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23"/>
          </reference>
          <reference field="82" count="1" selected="0">
            <x v="1181"/>
          </reference>
          <reference field="85" count="1" selected="0">
            <x v="4"/>
          </reference>
          <reference field="87" count="1" selected="0">
            <x v="2105"/>
          </reference>
          <reference field="88" count="1" selected="0">
            <x v="967"/>
          </reference>
        </references>
      </pivotArea>
    </format>
    <format dxfId="584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24"/>
          </reference>
          <reference field="82" count="1" selected="0">
            <x v="1182"/>
          </reference>
          <reference field="85" count="1" selected="0">
            <x v="4"/>
          </reference>
          <reference field="87" count="1" selected="0">
            <x v="2106"/>
          </reference>
          <reference field="88" count="1" selected="0">
            <x v="968"/>
          </reference>
        </references>
      </pivotArea>
    </format>
    <format dxfId="584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25"/>
          </reference>
          <reference field="82" count="1" selected="0">
            <x v="1183"/>
          </reference>
          <reference field="85" count="1" selected="0">
            <x v="4"/>
          </reference>
          <reference field="87" count="1" selected="0">
            <x v="2107"/>
          </reference>
          <reference field="88" count="1" selected="0">
            <x v="969"/>
          </reference>
        </references>
      </pivotArea>
    </format>
    <format dxfId="584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26"/>
          </reference>
          <reference field="82" count="1" selected="0">
            <x v="1184"/>
          </reference>
          <reference field="85" count="1" selected="0">
            <x v="4"/>
          </reference>
          <reference field="87" count="1" selected="0">
            <x v="2108"/>
          </reference>
          <reference field="88" count="1" selected="0">
            <x v="970"/>
          </reference>
        </references>
      </pivotArea>
    </format>
    <format dxfId="5846">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43"/>
          </reference>
          <reference field="82" count="1" selected="0">
            <x v="1101"/>
          </reference>
          <reference field="85" count="1" selected="0">
            <x v="7"/>
          </reference>
          <reference field="87" count="1" selected="0">
            <x v="2025"/>
          </reference>
          <reference field="88" count="1" selected="0">
            <x v="887"/>
          </reference>
        </references>
      </pivotArea>
    </format>
    <format dxfId="5845">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42"/>
          </reference>
          <reference field="82" count="1" selected="0">
            <x v="1100"/>
          </reference>
          <reference field="85" count="1" selected="0">
            <x v="7"/>
          </reference>
          <reference field="87" count="1" selected="0">
            <x v="2024"/>
          </reference>
          <reference field="88" count="1" selected="0">
            <x v="886"/>
          </reference>
        </references>
      </pivotArea>
    </format>
    <format dxfId="5844">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843">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70"/>
          </reference>
          <reference field="82" count="1" selected="0">
            <x v="1028"/>
          </reference>
          <reference field="85" count="1" selected="0">
            <x v="0"/>
          </reference>
          <reference field="87" count="1" selected="0">
            <x v="1952"/>
          </reference>
          <reference field="88" count="1" selected="0">
            <x v="814"/>
          </reference>
        </references>
      </pivotArea>
    </format>
    <format dxfId="584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71"/>
          </reference>
          <reference field="82" count="1" selected="0">
            <x v="1029"/>
          </reference>
          <reference field="85" count="1" selected="0">
            <x v="0"/>
          </reference>
          <reference field="87" count="1" selected="0">
            <x v="1953"/>
          </reference>
          <reference field="88" count="1" selected="0">
            <x v="815"/>
          </reference>
        </references>
      </pivotArea>
    </format>
    <format dxfId="584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68"/>
          </reference>
          <reference field="82" count="1" selected="0">
            <x v="1026"/>
          </reference>
          <reference field="85" count="1" selected="0">
            <x v="0"/>
          </reference>
          <reference field="87" count="1" selected="0">
            <x v="1950"/>
          </reference>
          <reference field="88" count="1" selected="0">
            <x v="812"/>
          </reference>
        </references>
      </pivotArea>
    </format>
    <format dxfId="584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69"/>
          </reference>
          <reference field="82" count="1" selected="0">
            <x v="1027"/>
          </reference>
          <reference field="85" count="1" selected="0">
            <x v="0"/>
          </reference>
          <reference field="87" count="1" selected="0">
            <x v="1951"/>
          </reference>
          <reference field="88" count="1" selected="0">
            <x v="813"/>
          </reference>
        </references>
      </pivotArea>
    </format>
    <format dxfId="5839">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43"/>
          </reference>
          <reference field="82" count="1" selected="0">
            <x v="1101"/>
          </reference>
          <reference field="85" count="1" selected="0">
            <x v="7"/>
          </reference>
          <reference field="87" count="1" selected="0">
            <x v="2025"/>
          </reference>
          <reference field="88" count="1" selected="0">
            <x v="887"/>
          </reference>
        </references>
      </pivotArea>
    </format>
    <format dxfId="5838">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42"/>
          </reference>
          <reference field="82" count="1" selected="0">
            <x v="1100"/>
          </reference>
          <reference field="85" count="1" selected="0">
            <x v="7"/>
          </reference>
          <reference field="87" count="1" selected="0">
            <x v="2024"/>
          </reference>
          <reference field="88" count="1" selected="0">
            <x v="886"/>
          </reference>
        </references>
      </pivotArea>
    </format>
    <format dxfId="5837">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65"/>
          </reference>
          <reference field="82" count="1" selected="0">
            <x v="1023"/>
          </reference>
          <reference field="85" count="1" selected="0">
            <x v="0"/>
          </reference>
          <reference field="87" count="1" selected="0">
            <x v="1947"/>
          </reference>
          <reference field="88" count="1" selected="0">
            <x v="809"/>
          </reference>
        </references>
      </pivotArea>
    </format>
    <format dxfId="583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66"/>
          </reference>
          <reference field="82" count="1" selected="0">
            <x v="1024"/>
          </reference>
          <reference field="85" count="1" selected="0">
            <x v="0"/>
          </reference>
          <reference field="87" count="1" selected="0">
            <x v="1948"/>
          </reference>
          <reference field="88" count="1" selected="0">
            <x v="810"/>
          </reference>
        </references>
      </pivotArea>
    </format>
    <format dxfId="5835">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68"/>
          </reference>
          <reference field="82" count="1" selected="0">
            <x v="1026"/>
          </reference>
          <reference field="85" count="1" selected="0">
            <x v="0"/>
          </reference>
          <reference field="87" count="1" selected="0">
            <x v="1950"/>
          </reference>
          <reference field="88" count="1" selected="0">
            <x v="812"/>
          </reference>
        </references>
      </pivotArea>
    </format>
    <format dxfId="583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64"/>
          </reference>
          <reference field="82" count="1" selected="0">
            <x v="1022"/>
          </reference>
          <reference field="85" count="1" selected="0">
            <x v="0"/>
          </reference>
          <reference field="87" count="1" selected="0">
            <x v="1946"/>
          </reference>
          <reference field="88" count="1" selected="0">
            <x v="808"/>
          </reference>
        </references>
      </pivotArea>
    </format>
    <format dxfId="5833">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832">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41"/>
          </reference>
          <reference field="82" count="1" selected="0">
            <x v="1099"/>
          </reference>
          <reference field="85" count="1" selected="0">
            <x v="7"/>
          </reference>
          <reference field="87" count="1" selected="0">
            <x v="2023"/>
          </reference>
          <reference field="88" count="1" selected="0">
            <x v="885"/>
          </reference>
        </references>
      </pivotArea>
    </format>
    <format dxfId="5831">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42"/>
          </reference>
          <reference field="82" count="1" selected="0">
            <x v="1100"/>
          </reference>
          <reference field="85" count="1" selected="0">
            <x v="7"/>
          </reference>
          <reference field="87" count="1" selected="0">
            <x v="2024"/>
          </reference>
          <reference field="88" count="1" selected="0">
            <x v="886"/>
          </reference>
        </references>
      </pivotArea>
    </format>
    <format dxfId="5830">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77"/>
          </reference>
          <reference field="82" count="1" selected="0">
            <x v="932"/>
          </reference>
          <reference field="85" count="1" selected="0">
            <x v="7"/>
          </reference>
          <reference field="87" count="1" selected="0">
            <x v="1859"/>
          </reference>
          <reference field="88" count="1" selected="0">
            <x v="718"/>
          </reference>
        </references>
      </pivotArea>
    </format>
    <format dxfId="5829">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478"/>
          </reference>
          <reference field="82" count="1" selected="0">
            <x v="934"/>
          </reference>
          <reference field="85" count="1" selected="0">
            <x v="7"/>
          </reference>
          <reference field="87" count="1" selected="0">
            <x v="1860"/>
          </reference>
          <reference field="88" count="1" selected="0">
            <x v="720"/>
          </reference>
        </references>
      </pivotArea>
    </format>
    <format dxfId="5828">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557"/>
          </reference>
          <reference field="82" count="1" selected="0">
            <x v="1015"/>
          </reference>
          <reference field="85" count="1" selected="0">
            <x v="0"/>
          </reference>
          <reference field="87" count="1" selected="0">
            <x v="1939"/>
          </reference>
          <reference field="88" count="1" selected="0">
            <x v="801"/>
          </reference>
        </references>
      </pivotArea>
    </format>
    <format dxfId="582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560"/>
          </reference>
          <reference field="82" count="1" selected="0">
            <x v="1018"/>
          </reference>
          <reference field="85" count="1" selected="0">
            <x v="0"/>
          </reference>
          <reference field="87" count="1" selected="0">
            <x v="1942"/>
          </reference>
          <reference field="88" count="1" selected="0">
            <x v="804"/>
          </reference>
        </references>
      </pivotArea>
    </format>
    <format dxfId="582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58"/>
          </reference>
          <reference field="82" count="1" selected="0">
            <x v="1016"/>
          </reference>
          <reference field="85" count="1" selected="0">
            <x v="0"/>
          </reference>
          <reference field="87" count="1" selected="0">
            <x v="1940"/>
          </reference>
          <reference field="88" count="1" selected="0">
            <x v="802"/>
          </reference>
        </references>
      </pivotArea>
    </format>
    <format dxfId="582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59"/>
          </reference>
          <reference field="82" count="1" selected="0">
            <x v="1017"/>
          </reference>
          <reference field="85" count="1" selected="0">
            <x v="0"/>
          </reference>
          <reference field="87" count="1" selected="0">
            <x v="1941"/>
          </reference>
          <reference field="88" count="1" selected="0">
            <x v="803"/>
          </reference>
        </references>
      </pivotArea>
    </format>
    <format dxfId="5824">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823">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33"/>
          </reference>
          <reference field="82" count="1" selected="0">
            <x v="1091"/>
          </reference>
          <reference field="85" count="1" selected="0">
            <x v="7"/>
          </reference>
          <reference field="87" count="1" selected="0">
            <x v="2015"/>
          </reference>
          <reference field="88" count="1" selected="0">
            <x v="877"/>
          </reference>
        </references>
      </pivotArea>
    </format>
    <format dxfId="582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34"/>
          </reference>
          <reference field="82" count="1" selected="0">
            <x v="1092"/>
          </reference>
          <reference field="85" count="1" selected="0">
            <x v="7"/>
          </reference>
          <reference field="87" count="1" selected="0">
            <x v="2016"/>
          </reference>
          <reference field="88" count="1" selected="0">
            <x v="878"/>
          </reference>
        </references>
      </pivotArea>
    </format>
    <format dxfId="5821">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15"/>
          </reference>
          <reference field="82" count="1" selected="0">
            <x v="1173"/>
          </reference>
          <reference field="85" count="1" selected="0">
            <x v="4"/>
          </reference>
          <reference field="87" count="1" selected="0">
            <x v="2097"/>
          </reference>
          <reference field="88" count="1" selected="0">
            <x v="959"/>
          </reference>
        </references>
      </pivotArea>
    </format>
    <format dxfId="582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16"/>
          </reference>
          <reference field="82" count="1" selected="0">
            <x v="1174"/>
          </reference>
          <reference field="85" count="1" selected="0">
            <x v="4"/>
          </reference>
          <reference field="87" count="1" selected="0">
            <x v="2098"/>
          </reference>
          <reference field="88" count="1" selected="0">
            <x v="960"/>
          </reference>
        </references>
      </pivotArea>
    </format>
    <format dxfId="581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17"/>
          </reference>
          <reference field="82" count="1" selected="0">
            <x v="1175"/>
          </reference>
          <reference field="85" count="1" selected="0">
            <x v="4"/>
          </reference>
          <reference field="87" count="1" selected="0">
            <x v="2099"/>
          </reference>
          <reference field="88" count="1" selected="0">
            <x v="961"/>
          </reference>
        </references>
      </pivotArea>
    </format>
    <format dxfId="581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18"/>
          </reference>
          <reference field="82" count="1" selected="0">
            <x v="1176"/>
          </reference>
          <reference field="85" count="1" selected="0">
            <x v="4"/>
          </reference>
          <reference field="87" count="1" selected="0">
            <x v="2100"/>
          </reference>
          <reference field="88" count="1" selected="0">
            <x v="962"/>
          </reference>
        </references>
      </pivotArea>
    </format>
    <format dxfId="5817">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87"/>
          </reference>
          <reference field="82" count="1" selected="0">
            <x v="943"/>
          </reference>
          <reference field="85" count="1" selected="0">
            <x v="7"/>
          </reference>
          <reference field="87" count="1" selected="0">
            <x v="1869"/>
          </reference>
          <reference field="88" count="1" selected="0">
            <x v="729"/>
          </reference>
        </references>
      </pivotArea>
    </format>
    <format dxfId="5816">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77"/>
          </reference>
          <reference field="82" count="1" selected="0">
            <x v="933"/>
          </reference>
          <reference field="85" count="1" selected="0">
            <x v="7"/>
          </reference>
          <reference field="87" count="1" selected="0">
            <x v="1859"/>
          </reference>
          <reference field="88" count="1" selected="0">
            <x v="719"/>
          </reference>
        </references>
      </pivotArea>
    </format>
    <format dxfId="5815">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532"/>
          </reference>
          <reference field="82" count="1" selected="0">
            <x v="989"/>
          </reference>
          <reference field="85" count="1" selected="0">
            <x v="4"/>
          </reference>
          <reference field="87" count="1" selected="0">
            <x v="1914"/>
          </reference>
          <reference field="88" count="1" selected="0">
            <x v="775"/>
          </reference>
        </references>
      </pivotArea>
    </format>
    <format dxfId="581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534"/>
          </reference>
          <reference field="82" count="1" selected="0">
            <x v="991"/>
          </reference>
          <reference field="85" count="1" selected="0">
            <x v="4"/>
          </reference>
          <reference field="87" count="1" selected="0">
            <x v="1916"/>
          </reference>
          <reference field="88" count="1" selected="0">
            <x v="777"/>
          </reference>
        </references>
      </pivotArea>
    </format>
    <format dxfId="581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535"/>
          </reference>
          <reference field="82" count="1" selected="0">
            <x v="992"/>
          </reference>
          <reference field="85" count="1" selected="0">
            <x v="4"/>
          </reference>
          <reference field="87" count="1" selected="0">
            <x v="1917"/>
          </reference>
          <reference field="88" count="1" selected="0">
            <x v="778"/>
          </reference>
        </references>
      </pivotArea>
    </format>
    <format dxfId="581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531"/>
          </reference>
          <reference field="82" count="1" selected="0">
            <x v="988"/>
          </reference>
          <reference field="85" count="1" selected="0">
            <x v="4"/>
          </reference>
          <reference field="87" count="1" selected="0">
            <x v="1913"/>
          </reference>
          <reference field="88" count="1" selected="0">
            <x v="774"/>
          </reference>
        </references>
      </pivotArea>
    </format>
    <format dxfId="581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536"/>
          </reference>
          <reference field="82" count="1" selected="0">
            <x v="993"/>
          </reference>
          <reference field="85" count="1" selected="0">
            <x v="4"/>
          </reference>
          <reference field="87" count="1" selected="0">
            <x v="1918"/>
          </reference>
          <reference field="88" count="1" selected="0">
            <x v="779"/>
          </reference>
        </references>
      </pivotArea>
    </format>
    <format dxfId="581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537"/>
          </reference>
          <reference field="82" count="1" selected="0">
            <x v="994"/>
          </reference>
          <reference field="85" count="1" selected="0">
            <x v="4"/>
          </reference>
          <reference field="87" count="1" selected="0">
            <x v="1919"/>
          </reference>
          <reference field="88" count="1" selected="0">
            <x v="780"/>
          </reference>
        </references>
      </pivotArea>
    </format>
    <format dxfId="580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538"/>
          </reference>
          <reference field="82" count="1" selected="0">
            <x v="995"/>
          </reference>
          <reference field="85" count="1" selected="0">
            <x v="4"/>
          </reference>
          <reference field="87" count="1" selected="0">
            <x v="1920"/>
          </reference>
          <reference field="88" count="1" selected="0">
            <x v="781"/>
          </reference>
        </references>
      </pivotArea>
    </format>
    <format dxfId="580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533"/>
          </reference>
          <reference field="82" count="1" selected="0">
            <x v="990"/>
          </reference>
          <reference field="85" count="1" selected="0">
            <x v="4"/>
          </reference>
          <reference field="87" count="1" selected="0">
            <x v="1915"/>
          </reference>
          <reference field="88" count="1" selected="0">
            <x v="776"/>
          </reference>
        </references>
      </pivotArea>
    </format>
    <format dxfId="5807">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65"/>
          </reference>
          <reference field="82" count="1" selected="0">
            <x v="1023"/>
          </reference>
          <reference field="85" count="1" selected="0">
            <x v="0"/>
          </reference>
          <reference field="87" count="1" selected="0">
            <x v="1947"/>
          </reference>
          <reference field="88" count="1" selected="0">
            <x v="809"/>
          </reference>
        </references>
      </pivotArea>
    </format>
    <format dxfId="580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66"/>
          </reference>
          <reference field="82" count="1" selected="0">
            <x v="1024"/>
          </reference>
          <reference field="85" count="1" selected="0">
            <x v="0"/>
          </reference>
          <reference field="87" count="1" selected="0">
            <x v="1948"/>
          </reference>
          <reference field="88" count="1" selected="0">
            <x v="810"/>
          </reference>
        </references>
      </pivotArea>
    </format>
    <format dxfId="580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67"/>
          </reference>
          <reference field="82" count="1" selected="0">
            <x v="1025"/>
          </reference>
          <reference field="85" count="1" selected="0">
            <x v="0"/>
          </reference>
          <reference field="87" count="1" selected="0">
            <x v="1949"/>
          </reference>
          <reference field="88" count="1" selected="0">
            <x v="811"/>
          </reference>
        </references>
      </pivotArea>
    </format>
    <format dxfId="580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64"/>
          </reference>
          <reference field="82" count="1" selected="0">
            <x v="1022"/>
          </reference>
          <reference field="85" count="1" selected="0">
            <x v="0"/>
          </reference>
          <reference field="87" count="1" selected="0">
            <x v="1946"/>
          </reference>
          <reference field="88" count="1" selected="0">
            <x v="808"/>
          </reference>
        </references>
      </pivotArea>
    </format>
    <format dxfId="5803">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86"/>
          </reference>
          <reference field="82" count="1" selected="0">
            <x v="942"/>
          </reference>
          <reference field="85" count="1" selected="0">
            <x v="7"/>
          </reference>
          <reference field="87" count="1" selected="0">
            <x v="1868"/>
          </reference>
          <reference field="88" count="1" selected="0">
            <x v="728"/>
          </reference>
        </references>
      </pivotArea>
    </format>
    <format dxfId="5802">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801">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35"/>
          </reference>
          <reference field="82" count="1" selected="0">
            <x v="1093"/>
          </reference>
          <reference field="85" count="1" selected="0">
            <x v="7"/>
          </reference>
          <reference field="87" count="1" selected="0">
            <x v="2017"/>
          </reference>
          <reference field="88" count="1" selected="0">
            <x v="879"/>
          </reference>
        </references>
      </pivotArea>
    </format>
    <format dxfId="580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36"/>
          </reference>
          <reference field="82" count="1" selected="0">
            <x v="1094"/>
          </reference>
          <reference field="85" count="1" selected="0">
            <x v="7"/>
          </reference>
          <reference field="87" count="1" selected="0">
            <x v="2018"/>
          </reference>
          <reference field="88" count="1" selected="0">
            <x v="880"/>
          </reference>
        </references>
      </pivotArea>
    </format>
    <format dxfId="579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563"/>
          </reference>
          <reference field="82" count="1" selected="0">
            <x v="1021"/>
          </reference>
          <reference field="85" count="1" selected="0">
            <x v="0"/>
          </reference>
          <reference field="87" count="1" selected="0">
            <x v="1945"/>
          </reference>
          <reference field="88" count="1" selected="0">
            <x v="807"/>
          </reference>
        </references>
      </pivotArea>
    </format>
    <format dxfId="5798">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61"/>
          </reference>
          <reference field="82" count="1" selected="0">
            <x v="1019"/>
          </reference>
          <reference field="85" count="1" selected="0">
            <x v="0"/>
          </reference>
          <reference field="87" count="1" selected="0">
            <x v="1943"/>
          </reference>
          <reference field="88" count="1" selected="0">
            <x v="805"/>
          </reference>
        </references>
      </pivotArea>
    </format>
    <format dxfId="5797">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62"/>
          </reference>
          <reference field="82" count="1" selected="0">
            <x v="1020"/>
          </reference>
          <reference field="85" count="1" selected="0">
            <x v="0"/>
          </reference>
          <reference field="87" count="1" selected="0">
            <x v="1944"/>
          </reference>
          <reference field="88" count="1" selected="0">
            <x v="806"/>
          </reference>
        </references>
      </pivotArea>
    </format>
    <format dxfId="5796">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795">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39"/>
          </reference>
          <reference field="82" count="1" selected="0">
            <x v="1097"/>
          </reference>
          <reference field="85" count="1" selected="0">
            <x v="7"/>
          </reference>
          <reference field="87" count="1" selected="0">
            <x v="2021"/>
          </reference>
          <reference field="88" count="1" selected="0">
            <x v="883"/>
          </reference>
        </references>
      </pivotArea>
    </format>
    <format dxfId="5794">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40"/>
          </reference>
          <reference field="82" count="1" selected="0">
            <x v="1098"/>
          </reference>
          <reference field="85" count="1" selected="0">
            <x v="7"/>
          </reference>
          <reference field="87" count="1" selected="0">
            <x v="2022"/>
          </reference>
          <reference field="88" count="1" selected="0">
            <x v="884"/>
          </reference>
        </references>
      </pivotArea>
    </format>
    <format dxfId="579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19"/>
          </reference>
          <reference field="82" count="1" selected="0">
            <x v="1177"/>
          </reference>
          <reference field="85" count="1" selected="0">
            <x v="4"/>
          </reference>
          <reference field="87" count="1" selected="0">
            <x v="2101"/>
          </reference>
          <reference field="88" count="1" selected="0">
            <x v="963"/>
          </reference>
        </references>
      </pivotArea>
    </format>
    <format dxfId="579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20"/>
          </reference>
          <reference field="82" count="1" selected="0">
            <x v="1178"/>
          </reference>
          <reference field="85" count="1" selected="0">
            <x v="4"/>
          </reference>
          <reference field="87" count="1" selected="0">
            <x v="2102"/>
          </reference>
          <reference field="88" count="1" selected="0">
            <x v="964"/>
          </reference>
        </references>
      </pivotArea>
    </format>
    <format dxfId="579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21"/>
          </reference>
          <reference field="82" count="1" selected="0">
            <x v="1179"/>
          </reference>
          <reference field="85" count="1" selected="0">
            <x v="4"/>
          </reference>
          <reference field="87" count="1" selected="0">
            <x v="2103"/>
          </reference>
          <reference field="88" count="1" selected="0">
            <x v="965"/>
          </reference>
        </references>
      </pivotArea>
    </format>
    <format dxfId="579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22"/>
          </reference>
          <reference field="82" count="1" selected="0">
            <x v="1180"/>
          </reference>
          <reference field="85" count="1" selected="0">
            <x v="4"/>
          </reference>
          <reference field="87" count="1" selected="0">
            <x v="2104"/>
          </reference>
          <reference field="88" count="1" selected="0">
            <x v="966"/>
          </reference>
        </references>
      </pivotArea>
    </format>
    <format dxfId="5789">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43"/>
          </reference>
          <reference field="82" count="1" selected="0">
            <x v="1101"/>
          </reference>
          <reference field="85" count="1" selected="0">
            <x v="7"/>
          </reference>
          <reference field="87" count="1" selected="0">
            <x v="2025"/>
          </reference>
          <reference field="88" count="1" selected="0">
            <x v="887"/>
          </reference>
        </references>
      </pivotArea>
    </format>
    <format dxfId="5788">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44"/>
          </reference>
          <reference field="82" count="1" selected="0">
            <x v="1102"/>
          </reference>
          <reference field="85" count="1" selected="0">
            <x v="7"/>
          </reference>
          <reference field="87" count="1" selected="0">
            <x v="2026"/>
          </reference>
          <reference field="88" count="1" selected="0">
            <x v="888"/>
          </reference>
        </references>
      </pivotArea>
    </format>
    <format dxfId="5787">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72"/>
          </reference>
          <reference field="82" count="1" selected="0">
            <x v="1030"/>
          </reference>
          <reference field="85" count="1" selected="0">
            <x v="0"/>
          </reference>
          <reference field="87" count="1" selected="0">
            <x v="1954"/>
          </reference>
          <reference field="88" count="1" selected="0">
            <x v="816"/>
          </reference>
        </references>
      </pivotArea>
    </format>
    <format dxfId="578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579"/>
          </reference>
          <reference field="82" count="1" selected="0">
            <x v="1037"/>
          </reference>
          <reference field="85" count="1" selected="0">
            <x v="0"/>
          </reference>
          <reference field="87" count="1" selected="0">
            <x v="1961"/>
          </reference>
          <reference field="88" count="1" selected="0">
            <x v="823"/>
          </reference>
        </references>
      </pivotArea>
    </format>
    <format dxfId="5785">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580"/>
          </reference>
          <reference field="82" count="1" selected="0">
            <x v="1038"/>
          </reference>
          <reference field="85" count="1" selected="0">
            <x v="0"/>
          </reference>
          <reference field="87" count="1" selected="0">
            <x v="1962"/>
          </reference>
          <reference field="88" count="1" selected="0">
            <x v="824"/>
          </reference>
        </references>
      </pivotArea>
    </format>
    <format dxfId="5784">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581"/>
          </reference>
          <reference field="82" count="1" selected="0">
            <x v="1039"/>
          </reference>
          <reference field="85" count="1" selected="0">
            <x v="0"/>
          </reference>
          <reference field="87" count="1" selected="0">
            <x v="1963"/>
          </reference>
          <reference field="88" count="1" selected="0">
            <x v="825"/>
          </reference>
        </references>
      </pivotArea>
    </format>
    <format dxfId="5783">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483"/>
          </reference>
          <reference field="82" count="1" selected="0">
            <x v="939"/>
          </reference>
          <reference field="85" count="1" selected="0">
            <x v="7"/>
          </reference>
          <reference field="87" count="1" selected="0">
            <x v="1865"/>
          </reference>
          <reference field="88" count="1" selected="0">
            <x v="725"/>
          </reference>
        </references>
      </pivotArea>
    </format>
    <format dxfId="5782">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467"/>
          </reference>
          <reference field="82" count="1" selected="0">
            <x v="922"/>
          </reference>
          <reference field="85" count="1" selected="0">
            <x v="7"/>
          </reference>
          <reference field="87" count="1" selected="0">
            <x v="1849"/>
          </reference>
          <reference field="88" count="1" selected="0">
            <x v="708"/>
          </reference>
        </references>
      </pivotArea>
    </format>
    <format dxfId="5781">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468"/>
          </reference>
          <reference field="82" count="1" selected="0">
            <x v="923"/>
          </reference>
          <reference field="85" count="1" selected="0">
            <x v="7"/>
          </reference>
          <reference field="87" count="1" selected="0">
            <x v="1850"/>
          </reference>
          <reference field="88" count="1" selected="0">
            <x v="709"/>
          </reference>
        </references>
      </pivotArea>
    </format>
    <format dxfId="578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573"/>
          </reference>
          <reference field="82" count="1" selected="0">
            <x v="1031"/>
          </reference>
          <reference field="85" count="1" selected="0">
            <x v="0"/>
          </reference>
          <reference field="87" count="1" selected="0">
            <x v="1955"/>
          </reference>
          <reference field="88" count="1" selected="0">
            <x v="817"/>
          </reference>
        </references>
      </pivotArea>
    </format>
    <format dxfId="5779">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74"/>
          </reference>
          <reference field="82" count="1" selected="0">
            <x v="1032"/>
          </reference>
          <reference field="85" count="1" selected="0">
            <x v="0"/>
          </reference>
          <reference field="87" count="1" selected="0">
            <x v="1956"/>
          </reference>
          <reference field="88" count="1" selected="0">
            <x v="818"/>
          </reference>
        </references>
      </pivotArea>
    </format>
    <format dxfId="5778">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75"/>
          </reference>
          <reference field="82" count="1" selected="0">
            <x v="1033"/>
          </reference>
          <reference field="85" count="1" selected="0">
            <x v="0"/>
          </reference>
          <reference field="87" count="1" selected="0">
            <x v="1957"/>
          </reference>
          <reference field="88" count="1" selected="0">
            <x v="819"/>
          </reference>
        </references>
      </pivotArea>
    </format>
    <format dxfId="5777">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45"/>
          </reference>
          <reference field="82" count="1" selected="0">
            <x v="1103"/>
          </reference>
          <reference field="85" count="1" selected="0">
            <x v="7"/>
          </reference>
          <reference field="87" count="1" selected="0">
            <x v="2027"/>
          </reference>
          <reference field="88" count="1" selected="0">
            <x v="889"/>
          </reference>
        </references>
      </pivotArea>
    </format>
    <format dxfId="5776">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646"/>
          </reference>
          <reference field="82" count="1" selected="0">
            <x v="1104"/>
          </reference>
          <reference field="85" count="1" selected="0">
            <x v="7"/>
          </reference>
          <reference field="87" count="1" selected="0">
            <x v="2028"/>
          </reference>
          <reference field="88" count="1" selected="0">
            <x v="890"/>
          </reference>
        </references>
      </pivotArea>
    </format>
    <format dxfId="5775">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488"/>
          </reference>
          <reference field="82" count="1" selected="0">
            <x v="944"/>
          </reference>
          <reference field="85" count="1" selected="0">
            <x v="7"/>
          </reference>
          <reference field="87" count="1" selected="0">
            <x v="1870"/>
          </reference>
          <reference field="88" count="1" selected="0">
            <x v="730"/>
          </reference>
        </references>
      </pivotArea>
    </format>
    <format dxfId="5774">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576"/>
          </reference>
          <reference field="82" count="1" selected="0">
            <x v="1034"/>
          </reference>
          <reference field="85" count="1" selected="0">
            <x v="0"/>
          </reference>
          <reference field="87" count="1" selected="0">
            <x v="1958"/>
          </reference>
          <reference field="88" count="1" selected="0">
            <x v="820"/>
          </reference>
        </references>
      </pivotArea>
    </format>
    <format dxfId="5773">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77"/>
          </reference>
          <reference field="82" count="1" selected="0">
            <x v="1035"/>
          </reference>
          <reference field="85" count="1" selected="0">
            <x v="0"/>
          </reference>
          <reference field="87" count="1" selected="0">
            <x v="1959"/>
          </reference>
          <reference field="88" count="1" selected="0">
            <x v="821"/>
          </reference>
        </references>
      </pivotArea>
    </format>
    <format dxfId="5772">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78"/>
          </reference>
          <reference field="82" count="1" selected="0">
            <x v="1036"/>
          </reference>
          <reference field="85" count="1" selected="0">
            <x v="0"/>
          </reference>
          <reference field="87" count="1" selected="0">
            <x v="1960"/>
          </reference>
          <reference field="88" count="1" selected="0">
            <x v="822"/>
          </reference>
        </references>
      </pivotArea>
    </format>
    <format dxfId="5771">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52"/>
          </reference>
          <reference field="82" count="1" selected="0">
            <x v="1110"/>
          </reference>
          <reference field="85" count="1" selected="0">
            <x v="7"/>
          </reference>
          <reference field="87" count="1" selected="0">
            <x v="2034"/>
          </reference>
          <reference field="88" count="1" selected="0">
            <x v="896"/>
          </reference>
        </references>
      </pivotArea>
    </format>
    <format dxfId="577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585"/>
          </reference>
          <reference field="82" count="1" selected="0">
            <x v="1043"/>
          </reference>
          <reference field="85" count="1" selected="0">
            <x v="0"/>
          </reference>
          <reference field="87" count="1" selected="0">
            <x v="1967"/>
          </reference>
          <reference field="88" count="1" selected="0">
            <x v="829"/>
          </reference>
        </references>
      </pivotArea>
    </format>
    <format dxfId="5769">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586"/>
          </reference>
          <reference field="82" count="1" selected="0">
            <x v="1044"/>
          </reference>
          <reference field="85" count="1" selected="0">
            <x v="0"/>
          </reference>
          <reference field="87" count="1" selected="0">
            <x v="1968"/>
          </reference>
          <reference field="88" count="1" selected="0">
            <x v="830"/>
          </reference>
        </references>
      </pivotArea>
    </format>
    <format dxfId="5768">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587"/>
          </reference>
          <reference field="82" count="1" selected="0">
            <x v="1045"/>
          </reference>
          <reference field="85" count="1" selected="0">
            <x v="0"/>
          </reference>
          <reference field="87" count="1" selected="0">
            <x v="1969"/>
          </reference>
          <reference field="88" count="1" selected="0">
            <x v="831"/>
          </reference>
        </references>
      </pivotArea>
    </format>
    <format dxfId="5767">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460"/>
          </reference>
          <reference field="82" count="1" selected="0">
            <x v="915"/>
          </reference>
          <reference field="85" count="1" selected="0">
            <x v="7"/>
          </reference>
          <reference field="87" count="1" selected="0">
            <x v="1842"/>
          </reference>
          <reference field="88" count="1" selected="0">
            <x v="701"/>
          </reference>
        </references>
      </pivotArea>
    </format>
    <format dxfId="5766">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61"/>
          </reference>
          <reference field="82" count="1" selected="0">
            <x v="916"/>
          </reference>
          <reference field="85" count="1" selected="0">
            <x v="7"/>
          </reference>
          <reference field="87" count="1" selected="0">
            <x v="1843"/>
          </reference>
          <reference field="88" count="1" selected="0">
            <x v="702"/>
          </reference>
        </references>
      </pivotArea>
    </format>
    <format dxfId="576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523"/>
          </reference>
          <reference field="82" count="1" selected="0">
            <x v="980"/>
          </reference>
          <reference field="85" count="1" selected="0">
            <x v="4"/>
          </reference>
          <reference field="87" count="1" selected="0">
            <x v="1905"/>
          </reference>
          <reference field="88" count="1" selected="0">
            <x v="766"/>
          </reference>
        </references>
      </pivotArea>
    </format>
    <format dxfId="576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524"/>
          </reference>
          <reference field="82" count="1" selected="0">
            <x v="981"/>
          </reference>
          <reference field="85" count="1" selected="0">
            <x v="4"/>
          </reference>
          <reference field="87" count="1" selected="0">
            <x v="1906"/>
          </reference>
          <reference field="88" count="1" selected="0">
            <x v="767"/>
          </reference>
        </references>
      </pivotArea>
    </format>
    <format dxfId="576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521"/>
          </reference>
          <reference field="82" count="1" selected="0">
            <x v="978"/>
          </reference>
          <reference field="85" count="1" selected="0">
            <x v="4"/>
          </reference>
          <reference field="87" count="1" selected="0">
            <x v="1903"/>
          </reference>
          <reference field="88" count="1" selected="0">
            <x v="764"/>
          </reference>
        </references>
      </pivotArea>
    </format>
    <format dxfId="5762">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522"/>
          </reference>
          <reference field="82" count="1" selected="0">
            <x v="979"/>
          </reference>
          <reference field="85" count="1" selected="0">
            <x v="4"/>
          </reference>
          <reference field="87" count="1" selected="0">
            <x v="1904"/>
          </reference>
          <reference field="88" count="1" selected="0">
            <x v="765"/>
          </reference>
        </references>
      </pivotArea>
    </format>
    <format dxfId="576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582"/>
          </reference>
          <reference field="82" count="1" selected="0">
            <x v="1040"/>
          </reference>
          <reference field="85" count="1" selected="0">
            <x v="0"/>
          </reference>
          <reference field="87" count="1" selected="0">
            <x v="1964"/>
          </reference>
          <reference field="88" count="1" selected="0">
            <x v="826"/>
          </reference>
        </references>
      </pivotArea>
    </format>
    <format dxfId="5760">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583"/>
          </reference>
          <reference field="82" count="1" selected="0">
            <x v="1041"/>
          </reference>
          <reference field="85" count="1" selected="0">
            <x v="0"/>
          </reference>
          <reference field="87" count="1" selected="0">
            <x v="1965"/>
          </reference>
          <reference field="88" count="1" selected="0">
            <x v="827"/>
          </reference>
        </references>
      </pivotArea>
    </format>
    <format dxfId="5759">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584"/>
          </reference>
          <reference field="82" count="1" selected="0">
            <x v="1042"/>
          </reference>
          <reference field="85" count="1" selected="0">
            <x v="0"/>
          </reference>
          <reference field="87" count="1" selected="0">
            <x v="1966"/>
          </reference>
          <reference field="88" count="1" selected="0">
            <x v="828"/>
          </reference>
        </references>
      </pivotArea>
    </format>
    <format dxfId="5758">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666"/>
          </reference>
          <reference field="82" count="1" selected="0">
            <x v="1124"/>
          </reference>
          <reference field="85" count="1" selected="0">
            <x v="7"/>
          </reference>
          <reference field="87" count="1" selected="0">
            <x v="2048"/>
          </reference>
          <reference field="88" count="1" selected="0">
            <x v="910"/>
          </reference>
        </references>
      </pivotArea>
    </format>
    <format dxfId="5757">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76"/>
          </reference>
          <reference field="82" count="1" selected="0">
            <x v="931"/>
          </reference>
          <reference field="85" count="1" selected="0">
            <x v="7"/>
          </reference>
          <reference field="87" count="1" selected="0">
            <x v="1858"/>
          </reference>
          <reference field="88" count="1" selected="0">
            <x v="717"/>
          </reference>
        </references>
      </pivotArea>
    </format>
    <format dxfId="575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546"/>
          </reference>
          <reference field="82" count="1" selected="0">
            <x v="1004"/>
          </reference>
          <reference field="85" count="1" selected="0">
            <x v="0"/>
          </reference>
          <reference field="87" count="1" selected="0">
            <x v="1928"/>
          </reference>
          <reference field="88" count="1" selected="0">
            <x v="790"/>
          </reference>
        </references>
      </pivotArea>
    </format>
    <format dxfId="5755">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545"/>
          </reference>
          <reference field="82" count="1" selected="0">
            <x v="1003"/>
          </reference>
          <reference field="85" count="1" selected="0">
            <x v="0"/>
          </reference>
          <reference field="87" count="1" selected="0">
            <x v="1927"/>
          </reference>
          <reference field="88" count="1" selected="0">
            <x v="789"/>
          </reference>
        </references>
      </pivotArea>
    </format>
    <format dxfId="5754">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547"/>
          </reference>
          <reference field="82" count="1" selected="0">
            <x v="1005"/>
          </reference>
          <reference field="85" count="1" selected="0">
            <x v="0"/>
          </reference>
          <reference field="87" count="1" selected="0">
            <x v="1929"/>
          </reference>
          <reference field="88" count="1" selected="0">
            <x v="791"/>
          </reference>
        </references>
      </pivotArea>
    </format>
    <format dxfId="5753">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484"/>
          </reference>
          <reference field="82" count="1" selected="0">
            <x v="940"/>
          </reference>
          <reference field="85" count="1" selected="0">
            <x v="7"/>
          </reference>
          <reference field="87" count="1" selected="0">
            <x v="1866"/>
          </reference>
          <reference field="88" count="1" selected="0">
            <x v="726"/>
          </reference>
        </references>
      </pivotArea>
    </format>
    <format dxfId="5752">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75"/>
          </reference>
          <reference field="82" count="1" selected="0">
            <x v="930"/>
          </reference>
          <reference field="85" count="1" selected="0">
            <x v="7"/>
          </reference>
          <reference field="87" count="1" selected="0">
            <x v="1857"/>
          </reference>
          <reference field="88" count="1" selected="0">
            <x v="716"/>
          </reference>
        </references>
      </pivotArea>
    </format>
    <format dxfId="575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527"/>
          </reference>
          <reference field="82" count="1" selected="0">
            <x v="984"/>
          </reference>
          <reference field="85" count="1" selected="0">
            <x v="4"/>
          </reference>
          <reference field="87" count="1" selected="0">
            <x v="1909"/>
          </reference>
          <reference field="88" count="1" selected="0">
            <x v="770"/>
          </reference>
        </references>
      </pivotArea>
    </format>
    <format dxfId="575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528"/>
          </reference>
          <reference field="82" count="1" selected="0">
            <x v="985"/>
          </reference>
          <reference field="85" count="1" selected="0">
            <x v="4"/>
          </reference>
          <reference field="87" count="1" selected="0">
            <x v="1910"/>
          </reference>
          <reference field="88" count="1" selected="0">
            <x v="771"/>
          </reference>
        </references>
      </pivotArea>
    </format>
    <format dxfId="574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525"/>
          </reference>
          <reference field="82" count="1" selected="0">
            <x v="982"/>
          </reference>
          <reference field="85" count="1" selected="0">
            <x v="4"/>
          </reference>
          <reference field="87" count="1" selected="0">
            <x v="1907"/>
          </reference>
          <reference field="88" count="1" selected="0">
            <x v="768"/>
          </reference>
        </references>
      </pivotArea>
    </format>
    <format dxfId="574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526"/>
          </reference>
          <reference field="82" count="1" selected="0">
            <x v="983"/>
          </reference>
          <reference field="85" count="1" selected="0">
            <x v="4"/>
          </reference>
          <reference field="87" count="1" selected="0">
            <x v="1908"/>
          </reference>
          <reference field="88" count="1" selected="0">
            <x v="769"/>
          </reference>
        </references>
      </pivotArea>
    </format>
    <format dxfId="574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42"/>
          </reference>
          <reference field="82" count="1" selected="0">
            <x v="1000"/>
          </reference>
          <reference field="85" count="1" selected="0">
            <x v="0"/>
          </reference>
          <reference field="87" count="1" selected="0">
            <x v="1924"/>
          </reference>
          <reference field="88" count="1" selected="0">
            <x v="786"/>
          </reference>
        </references>
      </pivotArea>
    </format>
    <format dxfId="5746">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43"/>
          </reference>
          <reference field="82" count="1" selected="0">
            <x v="1001"/>
          </reference>
          <reference field="85" count="1" selected="0">
            <x v="0"/>
          </reference>
          <reference field="87" count="1" selected="0">
            <x v="1925"/>
          </reference>
          <reference field="88" count="1" selected="0">
            <x v="787"/>
          </reference>
        </references>
      </pivotArea>
    </format>
    <format dxfId="5745">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44"/>
          </reference>
          <reference field="82" count="1" selected="0">
            <x v="1002"/>
          </reference>
          <reference field="85" count="1" selected="0">
            <x v="0"/>
          </reference>
          <reference field="87" count="1" selected="0">
            <x v="1926"/>
          </reference>
          <reference field="88" count="1" selected="0">
            <x v="788"/>
          </reference>
        </references>
      </pivotArea>
    </format>
    <format dxfId="5744">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658"/>
          </reference>
          <reference field="82" count="1" selected="0">
            <x v="1116"/>
          </reference>
          <reference field="85" count="1" selected="0">
            <x v="7"/>
          </reference>
          <reference field="87" count="1" selected="0">
            <x v="2040"/>
          </reference>
          <reference field="88" count="1" selected="0">
            <x v="902"/>
          </reference>
        </references>
      </pivotArea>
    </format>
    <format dxfId="5743">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48"/>
          </reference>
          <reference field="82" count="1" selected="0">
            <x v="1006"/>
          </reference>
          <reference field="85" count="1" selected="0">
            <x v="0"/>
          </reference>
          <reference field="87" count="1" selected="0">
            <x v="1930"/>
          </reference>
          <reference field="88" count="1" selected="0">
            <x v="792"/>
          </reference>
        </references>
      </pivotArea>
    </format>
    <format dxfId="5742">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49"/>
          </reference>
          <reference field="82" count="1" selected="0">
            <x v="1007"/>
          </reference>
          <reference field="85" count="1" selected="0">
            <x v="0"/>
          </reference>
          <reference field="87" count="1" selected="0">
            <x v="1931"/>
          </reference>
          <reference field="88" count="1" selected="0">
            <x v="793"/>
          </reference>
        </references>
      </pivotArea>
    </format>
    <format dxfId="5741">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50"/>
          </reference>
          <reference field="82" count="1" selected="0">
            <x v="1008"/>
          </reference>
          <reference field="85" count="1" selected="0">
            <x v="0"/>
          </reference>
          <reference field="87" count="1" selected="0">
            <x v="1932"/>
          </reference>
          <reference field="88" count="1" selected="0">
            <x v="794"/>
          </reference>
        </references>
      </pivotArea>
    </format>
    <format dxfId="5740">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469"/>
          </reference>
          <reference field="82" count="1" selected="0">
            <x v="924"/>
          </reference>
          <reference field="85" count="1" selected="0">
            <x v="7"/>
          </reference>
          <reference field="87" count="1" selected="0">
            <x v="1851"/>
          </reference>
          <reference field="88" count="1" selected="0">
            <x v="710"/>
          </reference>
        </references>
      </pivotArea>
    </format>
    <format dxfId="5739">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70"/>
          </reference>
          <reference field="82" count="1" selected="0">
            <x v="925"/>
          </reference>
          <reference field="85" count="1" selected="0">
            <x v="7"/>
          </reference>
          <reference field="87" count="1" selected="0">
            <x v="1852"/>
          </reference>
          <reference field="88" count="1" selected="0">
            <x v="711"/>
          </reference>
        </references>
      </pivotArea>
    </format>
    <format dxfId="5738">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551"/>
          </reference>
          <reference field="82" count="1" selected="0">
            <x v="1009"/>
          </reference>
          <reference field="85" count="1" selected="0">
            <x v="0"/>
          </reference>
          <reference field="87" count="1" selected="0">
            <x v="1933"/>
          </reference>
          <reference field="88" count="1" selected="0">
            <x v="795"/>
          </reference>
        </references>
      </pivotArea>
    </format>
    <format dxfId="5737">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552"/>
          </reference>
          <reference field="82" count="1" selected="0">
            <x v="1010"/>
          </reference>
          <reference field="85" count="1" selected="0">
            <x v="0"/>
          </reference>
          <reference field="87" count="1" selected="0">
            <x v="1934"/>
          </reference>
          <reference field="88" count="1" selected="0">
            <x v="796"/>
          </reference>
        </references>
      </pivotArea>
    </format>
    <format dxfId="5736">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553"/>
          </reference>
          <reference field="82" count="1" selected="0">
            <x v="1011"/>
          </reference>
          <reference field="85" count="1" selected="0">
            <x v="0"/>
          </reference>
          <reference field="87" count="1" selected="0">
            <x v="1935"/>
          </reference>
          <reference field="88" count="1" selected="0">
            <x v="797"/>
          </reference>
        </references>
      </pivotArea>
    </format>
    <format dxfId="573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612"/>
          </reference>
          <reference field="82" count="1" selected="0">
            <x v="1070"/>
          </reference>
          <reference field="85" count="1" selected="0">
            <x v="2"/>
          </reference>
          <reference field="87" count="1" selected="0">
            <x v="1994"/>
          </reference>
          <reference field="88" count="1" selected="0">
            <x v="856"/>
          </reference>
        </references>
      </pivotArea>
    </format>
    <format dxfId="573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611"/>
          </reference>
          <reference field="82" count="1" selected="0">
            <x v="1069"/>
          </reference>
          <reference field="85" count="1" selected="0">
            <x v="2"/>
          </reference>
          <reference field="87" count="1" selected="0">
            <x v="1993"/>
          </reference>
          <reference field="88" count="1" selected="0">
            <x v="855"/>
          </reference>
        </references>
      </pivotArea>
    </format>
    <format dxfId="5733">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613"/>
          </reference>
          <reference field="82" count="1" selected="0">
            <x v="1071"/>
          </reference>
          <reference field="85" count="1" selected="0">
            <x v="2"/>
          </reference>
          <reference field="87" count="1" selected="0">
            <x v="1995"/>
          </reference>
          <reference field="88" count="1" selected="0">
            <x v="857"/>
          </reference>
        </references>
      </pivotArea>
    </format>
    <format dxfId="5732">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554"/>
          </reference>
          <reference field="82" count="1" selected="0">
            <x v="1012"/>
          </reference>
          <reference field="85" count="1" selected="0">
            <x v="0"/>
          </reference>
          <reference field="87" count="1" selected="0">
            <x v="1936"/>
          </reference>
          <reference field="88" count="1" selected="0">
            <x v="798"/>
          </reference>
        </references>
      </pivotArea>
    </format>
    <format dxfId="5731">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555"/>
          </reference>
          <reference field="82" count="1" selected="0">
            <x v="1013"/>
          </reference>
          <reference field="85" count="1" selected="0">
            <x v="0"/>
          </reference>
          <reference field="87" count="1" selected="0">
            <x v="1937"/>
          </reference>
          <reference field="88" count="1" selected="0">
            <x v="799"/>
          </reference>
        </references>
      </pivotArea>
    </format>
    <format dxfId="5730">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556"/>
          </reference>
          <reference field="82" count="1" selected="0">
            <x v="1014"/>
          </reference>
          <reference field="85" count="1" selected="0">
            <x v="0"/>
          </reference>
          <reference field="87" count="1" selected="0">
            <x v="1938"/>
          </reference>
          <reference field="88" count="1" selected="0">
            <x v="800"/>
          </reference>
        </references>
      </pivotArea>
    </format>
    <format dxfId="5729">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649"/>
          </reference>
          <reference field="82" count="1" selected="0">
            <x v="1107"/>
          </reference>
          <reference field="85" count="1" selected="0">
            <x v="7"/>
          </reference>
          <reference field="87" count="1" selected="0">
            <x v="2031"/>
          </reference>
          <reference field="88" count="1" selected="0">
            <x v="893"/>
          </reference>
        </references>
      </pivotArea>
    </format>
    <format dxfId="572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53"/>
          </reference>
          <reference field="82" count="1" selected="0">
            <x v="1211"/>
          </reference>
          <reference field="85" count="1" selected="0">
            <x v="4"/>
          </reference>
          <reference field="87" count="1" selected="0">
            <x v="2135"/>
          </reference>
          <reference field="88" count="1" selected="0">
            <x v="997"/>
          </reference>
        </references>
      </pivotArea>
    </format>
    <format dxfId="5727">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54"/>
          </reference>
          <reference field="82" count="1" selected="0">
            <x v="1212"/>
          </reference>
          <reference field="85" count="1" selected="0">
            <x v="4"/>
          </reference>
          <reference field="87" count="1" selected="0">
            <x v="2136"/>
          </reference>
          <reference field="88" count="1" selected="0">
            <x v="998"/>
          </reference>
        </references>
      </pivotArea>
    </format>
    <format dxfId="5726">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55"/>
          </reference>
          <reference field="82" count="1" selected="0">
            <x v="1213"/>
          </reference>
          <reference field="85" count="1" selected="0">
            <x v="4"/>
          </reference>
          <reference field="87" count="1" selected="0">
            <x v="2137"/>
          </reference>
          <reference field="88" count="1" selected="0">
            <x v="999"/>
          </reference>
        </references>
      </pivotArea>
    </format>
    <format dxfId="572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56"/>
          </reference>
          <reference field="82" count="1" selected="0">
            <x v="1214"/>
          </reference>
          <reference field="85" count="1" selected="0">
            <x v="4"/>
          </reference>
          <reference field="87" count="1" selected="0">
            <x v="2138"/>
          </reference>
          <reference field="88" count="1" selected="0">
            <x v="1000"/>
          </reference>
        </references>
      </pivotArea>
    </format>
    <format dxfId="572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2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76"/>
          </reference>
          <reference field="82" count="1" selected="0">
            <x v="1134"/>
          </reference>
          <reference field="85" count="1" selected="0">
            <x v="4"/>
          </reference>
          <reference field="87" count="1" selected="0">
            <x v="2058"/>
          </reference>
          <reference field="88" count="1" selected="0">
            <x v="920"/>
          </reference>
        </references>
      </pivotArea>
    </format>
    <format dxfId="5722">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77"/>
          </reference>
          <reference field="82" count="1" selected="0">
            <x v="1135"/>
          </reference>
          <reference field="85" count="1" selected="0">
            <x v="4"/>
          </reference>
          <reference field="87" count="1" selected="0">
            <x v="2059"/>
          </reference>
          <reference field="88" count="1" selected="0">
            <x v="921"/>
          </reference>
        </references>
      </pivotArea>
    </format>
    <format dxfId="5721">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78"/>
          </reference>
          <reference field="82" count="1" selected="0">
            <x v="1136"/>
          </reference>
          <reference field="85" count="1" selected="0">
            <x v="4"/>
          </reference>
          <reference field="87" count="1" selected="0">
            <x v="2060"/>
          </reference>
          <reference field="88" count="1" selected="0">
            <x v="922"/>
          </reference>
        </references>
      </pivotArea>
    </format>
    <format dxfId="572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79"/>
          </reference>
          <reference field="82" count="1" selected="0">
            <x v="1137"/>
          </reference>
          <reference field="85" count="1" selected="0">
            <x v="4"/>
          </reference>
          <reference field="87" count="1" selected="0">
            <x v="2061"/>
          </reference>
          <reference field="88" count="1" selected="0">
            <x v="923"/>
          </reference>
        </references>
      </pivotArea>
    </format>
    <format dxfId="5719">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18">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449"/>
          </reference>
          <reference field="82" count="1" selected="0">
            <x v="904"/>
          </reference>
          <reference field="85" count="1" selected="0">
            <x v="3"/>
          </reference>
          <reference field="87" count="1" selected="0">
            <x v="1831"/>
          </reference>
          <reference field="88" count="1" selected="0">
            <x v="690"/>
          </reference>
        </references>
      </pivotArea>
    </format>
    <format dxfId="5717">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448"/>
          </reference>
          <reference field="82" count="1" selected="0">
            <x v="903"/>
          </reference>
          <reference field="85" count="1" selected="0">
            <x v="3"/>
          </reference>
          <reference field="87" count="1" selected="0">
            <x v="1830"/>
          </reference>
          <reference field="88" count="1" selected="0">
            <x v="689"/>
          </reference>
        </references>
      </pivotArea>
    </format>
    <format dxfId="5716">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72"/>
          </reference>
          <reference field="82" count="1" selected="0">
            <x v="1130"/>
          </reference>
          <reference field="85" count="1" selected="0">
            <x v="4"/>
          </reference>
          <reference field="87" count="1" selected="0">
            <x v="2054"/>
          </reference>
          <reference field="88" count="1" selected="0">
            <x v="916"/>
          </reference>
        </references>
      </pivotArea>
    </format>
    <format dxfId="571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73"/>
          </reference>
          <reference field="82" count="1" selected="0">
            <x v="1131"/>
          </reference>
          <reference field="85" count="1" selected="0">
            <x v="4"/>
          </reference>
          <reference field="87" count="1" selected="0">
            <x v="2055"/>
          </reference>
          <reference field="88" count="1" selected="0">
            <x v="917"/>
          </reference>
        </references>
      </pivotArea>
    </format>
    <format dxfId="571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74"/>
          </reference>
          <reference field="82" count="1" selected="0">
            <x v="1132"/>
          </reference>
          <reference field="85" count="1" selected="0">
            <x v="4"/>
          </reference>
          <reference field="87" count="1" selected="0">
            <x v="2056"/>
          </reference>
          <reference field="88" count="1" selected="0">
            <x v="918"/>
          </reference>
        </references>
      </pivotArea>
    </format>
    <format dxfId="571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75"/>
          </reference>
          <reference field="82" count="1" selected="0">
            <x v="1133"/>
          </reference>
          <reference field="85" count="1" selected="0">
            <x v="4"/>
          </reference>
          <reference field="87" count="1" selected="0">
            <x v="2057"/>
          </reference>
          <reference field="88" count="1" selected="0">
            <x v="919"/>
          </reference>
        </references>
      </pivotArea>
    </format>
    <format dxfId="5712">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11">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68"/>
          </reference>
          <reference field="82" count="1" selected="0">
            <x v="1126"/>
          </reference>
          <reference field="85" count="1" selected="0">
            <x v="4"/>
          </reference>
          <reference field="87" count="1" selected="0">
            <x v="2050"/>
          </reference>
          <reference field="88" count="1" selected="0">
            <x v="912"/>
          </reference>
        </references>
      </pivotArea>
    </format>
    <format dxfId="571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69"/>
          </reference>
          <reference field="82" count="1" selected="0">
            <x v="1127"/>
          </reference>
          <reference field="85" count="1" selected="0">
            <x v="4"/>
          </reference>
          <reference field="87" count="1" selected="0">
            <x v="2051"/>
          </reference>
          <reference field="88" count="1" selected="0">
            <x v="913"/>
          </reference>
        </references>
      </pivotArea>
    </format>
    <format dxfId="570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70"/>
          </reference>
          <reference field="82" count="1" selected="0">
            <x v="1128"/>
          </reference>
          <reference field="85" count="1" selected="0">
            <x v="4"/>
          </reference>
          <reference field="87" count="1" selected="0">
            <x v="2052"/>
          </reference>
          <reference field="88" count="1" selected="0">
            <x v="914"/>
          </reference>
        </references>
      </pivotArea>
    </format>
    <format dxfId="570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71"/>
          </reference>
          <reference field="82" count="1" selected="0">
            <x v="1129"/>
          </reference>
          <reference field="85" count="1" selected="0">
            <x v="4"/>
          </reference>
          <reference field="87" count="1" selected="0">
            <x v="2053"/>
          </reference>
          <reference field="88" count="1" selected="0">
            <x v="915"/>
          </reference>
        </references>
      </pivotArea>
    </format>
    <format dxfId="5707">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06">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705">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589"/>
          </reference>
          <reference field="82" count="1" selected="0">
            <x v="1047"/>
          </reference>
          <reference field="85" count="1" selected="0">
            <x v="0"/>
          </reference>
          <reference field="87" count="1" selected="0">
            <x v="1971"/>
          </reference>
          <reference field="88" count="1" selected="0">
            <x v="833"/>
          </reference>
        </references>
      </pivotArea>
    </format>
    <format dxfId="5704">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590"/>
          </reference>
          <reference field="82" count="1" selected="0">
            <x v="1048"/>
          </reference>
          <reference field="85" count="1" selected="0">
            <x v="0"/>
          </reference>
          <reference field="87" count="1" selected="0">
            <x v="1972"/>
          </reference>
          <reference field="88" count="1" selected="0">
            <x v="834"/>
          </reference>
        </references>
      </pivotArea>
    </format>
    <format dxfId="570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588"/>
          </reference>
          <reference field="82" count="1" selected="0">
            <x v="1046"/>
          </reference>
          <reference field="85" count="1" selected="0">
            <x v="0"/>
          </reference>
          <reference field="87" count="1" selected="0">
            <x v="1970"/>
          </reference>
          <reference field="88" count="1" selected="0">
            <x v="832"/>
          </reference>
        </references>
      </pivotArea>
    </format>
    <format dxfId="5702">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62"/>
          </reference>
          <reference field="82" count="1" selected="0">
            <x v="917"/>
          </reference>
          <reference field="85" count="1" selected="0">
            <x v="7"/>
          </reference>
          <reference field="87" count="1" selected="0">
            <x v="1844"/>
          </reference>
          <reference field="88" count="1" selected="0">
            <x v="703"/>
          </reference>
        </references>
      </pivotArea>
    </format>
    <format dxfId="570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63"/>
          </reference>
          <reference field="82" count="1" selected="0">
            <x v="918"/>
          </reference>
          <reference field="85" count="1" selected="0">
            <x v="7"/>
          </reference>
          <reference field="87" count="1" selected="0">
            <x v="1845"/>
          </reference>
          <reference field="88" count="1" selected="0">
            <x v="704"/>
          </reference>
        </references>
      </pivotArea>
    </format>
    <format dxfId="570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64"/>
          </reference>
          <reference field="82" count="1" selected="0">
            <x v="919"/>
          </reference>
          <reference field="85" count="1" selected="0">
            <x v="7"/>
          </reference>
          <reference field="87" count="1" selected="0">
            <x v="1846"/>
          </reference>
          <reference field="88" count="1" selected="0">
            <x v="705"/>
          </reference>
        </references>
      </pivotArea>
    </format>
    <format dxfId="5699">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517"/>
          </reference>
          <reference field="82" count="1" selected="0">
            <x v="974"/>
          </reference>
          <reference field="85" count="1" selected="0">
            <x v="4"/>
          </reference>
          <reference field="87" count="1" selected="0">
            <x v="1899"/>
          </reference>
          <reference field="88" count="1" selected="0">
            <x v="760"/>
          </reference>
        </references>
      </pivotArea>
    </format>
    <format dxfId="569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518"/>
          </reference>
          <reference field="82" count="1" selected="0">
            <x v="975"/>
          </reference>
          <reference field="85" count="1" selected="0">
            <x v="4"/>
          </reference>
          <reference field="87" count="1" selected="0">
            <x v="1900"/>
          </reference>
          <reference field="88" count="1" selected="0">
            <x v="761"/>
          </reference>
        </references>
      </pivotArea>
    </format>
    <format dxfId="569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519"/>
          </reference>
          <reference field="82" count="1" selected="0">
            <x v="976"/>
          </reference>
          <reference field="85" count="1" selected="0">
            <x v="4"/>
          </reference>
          <reference field="87" count="1" selected="0">
            <x v="1901"/>
          </reference>
          <reference field="88" count="1" selected="0">
            <x v="762"/>
          </reference>
        </references>
      </pivotArea>
    </format>
    <format dxfId="569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520"/>
          </reference>
          <reference field="82" count="1" selected="0">
            <x v="977"/>
          </reference>
          <reference field="85" count="1" selected="0">
            <x v="4"/>
          </reference>
          <reference field="87" count="1" selected="0">
            <x v="1902"/>
          </reference>
          <reference field="88" count="1" selected="0">
            <x v="763"/>
          </reference>
        </references>
      </pivotArea>
    </format>
    <format dxfId="5695">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600"/>
          </reference>
          <reference field="82" count="1" selected="0">
            <x v="1058"/>
          </reference>
          <reference field="85" count="1" selected="0">
            <x v="0"/>
          </reference>
          <reference field="87" count="1" selected="0">
            <x v="1982"/>
          </reference>
          <reference field="88" count="1" selected="0">
            <x v="844"/>
          </reference>
        </references>
      </pivotArea>
    </format>
    <format dxfId="5694">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601"/>
          </reference>
          <reference field="82" count="1" selected="0">
            <x v="1059"/>
          </reference>
          <reference field="85" count="1" selected="0">
            <x v="0"/>
          </reference>
          <reference field="87" count="1" selected="0">
            <x v="1983"/>
          </reference>
          <reference field="88" count="1" selected="0">
            <x v="845"/>
          </reference>
        </references>
      </pivotArea>
    </format>
    <format dxfId="569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602"/>
          </reference>
          <reference field="82" count="1" selected="0">
            <x v="1060"/>
          </reference>
          <reference field="85" count="1" selected="0">
            <x v="0"/>
          </reference>
          <reference field="87" count="1" selected="0">
            <x v="1984"/>
          </reference>
          <reference field="88" count="1" selected="0">
            <x v="846"/>
          </reference>
        </references>
      </pivotArea>
    </format>
    <format dxfId="5692">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664"/>
          </reference>
          <reference field="82" count="1" selected="0">
            <x v="1122"/>
          </reference>
          <reference field="85" count="1" selected="0">
            <x v="7"/>
          </reference>
          <reference field="87" count="1" selected="0">
            <x v="2046"/>
          </reference>
          <reference field="88" count="1" selected="0">
            <x v="908"/>
          </reference>
        </references>
      </pivotArea>
    </format>
    <format dxfId="5691">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665"/>
          </reference>
          <reference field="82" count="1" selected="0">
            <x v="1123"/>
          </reference>
          <reference field="85" count="1" selected="0">
            <x v="7"/>
          </reference>
          <reference field="87" count="1" selected="0">
            <x v="2047"/>
          </reference>
          <reference field="88" count="1" selected="0">
            <x v="909"/>
          </reference>
        </references>
      </pivotArea>
    </format>
    <format dxfId="5690">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58"/>
          </reference>
          <reference field="82" count="1" selected="0">
            <x v="913"/>
          </reference>
          <reference field="85" count="1" selected="0">
            <x v="3"/>
          </reference>
          <reference field="87" count="1" selected="0">
            <x v="1840"/>
          </reference>
          <reference field="88" count="1" selected="0">
            <x v="699"/>
          </reference>
        </references>
      </pivotArea>
    </format>
    <format dxfId="5689">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5688">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568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71"/>
          </reference>
          <reference field="82" count="1" selected="0">
            <x v="926"/>
          </reference>
          <reference field="85" count="1" selected="0">
            <x v="7"/>
          </reference>
          <reference field="87" count="1" selected="0">
            <x v="1853"/>
          </reference>
          <reference field="88" count="1" selected="0">
            <x v="712"/>
          </reference>
        </references>
      </pivotArea>
    </format>
    <format dxfId="568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72"/>
          </reference>
          <reference field="82" count="1" selected="0">
            <x v="927"/>
          </reference>
          <reference field="85" count="1" selected="0">
            <x v="7"/>
          </reference>
          <reference field="87" count="1" selected="0">
            <x v="1854"/>
          </reference>
          <reference field="88" count="1" selected="0">
            <x v="713"/>
          </reference>
        </references>
      </pivotArea>
    </format>
    <format dxfId="568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65"/>
          </reference>
          <reference field="82" count="1" selected="0">
            <x v="920"/>
          </reference>
          <reference field="85" count="1" selected="0">
            <x v="7"/>
          </reference>
          <reference field="87" count="1" selected="0">
            <x v="1847"/>
          </reference>
          <reference field="88" count="1" selected="0">
            <x v="706"/>
          </reference>
        </references>
      </pivotArea>
    </format>
    <format dxfId="568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66"/>
          </reference>
          <reference field="82" count="1" selected="0">
            <x v="921"/>
          </reference>
          <reference field="85" count="1" selected="0">
            <x v="7"/>
          </reference>
          <reference field="87" count="1" selected="0">
            <x v="1848"/>
          </reference>
          <reference field="88" count="1" selected="0">
            <x v="707"/>
          </reference>
        </references>
      </pivotArea>
    </format>
    <format dxfId="568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64"/>
          </reference>
          <reference field="82" count="1" selected="0">
            <x v="919"/>
          </reference>
          <reference field="85" count="1" selected="0">
            <x v="7"/>
          </reference>
          <reference field="87" count="1" selected="0">
            <x v="1846"/>
          </reference>
          <reference field="88" count="1" selected="0">
            <x v="705"/>
          </reference>
        </references>
      </pivotArea>
    </format>
    <format dxfId="568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514"/>
          </reference>
          <reference field="82" count="1" selected="0">
            <x v="970"/>
          </reference>
          <reference field="85" count="1" selected="0">
            <x v="4"/>
          </reference>
          <reference field="87" count="1" selected="0">
            <x v="1896"/>
          </reference>
          <reference field="88" count="1" selected="0">
            <x v="756"/>
          </reference>
        </references>
      </pivotArea>
    </format>
    <format dxfId="568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512"/>
          </reference>
          <reference field="82" count="1" selected="0">
            <x v="971"/>
          </reference>
          <reference field="85" count="1" selected="0">
            <x v="4"/>
          </reference>
          <reference field="87" count="1" selected="0">
            <x v="1894"/>
          </reference>
          <reference field="88" count="1" selected="0">
            <x v="757"/>
          </reference>
        </references>
      </pivotArea>
    </format>
    <format dxfId="568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515"/>
          </reference>
          <reference field="82" count="1" selected="0">
            <x v="972"/>
          </reference>
          <reference field="85" count="1" selected="0">
            <x v="4"/>
          </reference>
          <reference field="87" count="1" selected="0">
            <x v="1897"/>
          </reference>
          <reference field="88" count="1" selected="0">
            <x v="758"/>
          </reference>
        </references>
      </pivotArea>
    </format>
    <format dxfId="567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516"/>
          </reference>
          <reference field="82" count="1" selected="0">
            <x v="973"/>
          </reference>
          <reference field="85" count="1" selected="0">
            <x v="4"/>
          </reference>
          <reference field="87" count="1" selected="0">
            <x v="1898"/>
          </reference>
          <reference field="88" count="1" selected="0">
            <x v="759"/>
          </reference>
        </references>
      </pivotArea>
    </format>
    <format dxfId="567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597"/>
          </reference>
          <reference field="82" count="1" selected="0">
            <x v="1055"/>
          </reference>
          <reference field="85" count="1" selected="0">
            <x v="0"/>
          </reference>
          <reference field="87" count="1" selected="0">
            <x v="1979"/>
          </reference>
          <reference field="88" count="1" selected="0">
            <x v="841"/>
          </reference>
        </references>
      </pivotArea>
    </format>
    <format dxfId="567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598"/>
          </reference>
          <reference field="82" count="1" selected="0">
            <x v="1056"/>
          </reference>
          <reference field="85" count="1" selected="0">
            <x v="0"/>
          </reference>
          <reference field="87" count="1" selected="0">
            <x v="1980"/>
          </reference>
          <reference field="88" count="1" selected="0">
            <x v="842"/>
          </reference>
        </references>
      </pivotArea>
    </format>
    <format dxfId="567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599"/>
          </reference>
          <reference field="82" count="1" selected="0">
            <x v="1057"/>
          </reference>
          <reference field="85" count="1" selected="0">
            <x v="0"/>
          </reference>
          <reference field="87" count="1" selected="0">
            <x v="1981"/>
          </reference>
          <reference field="88" count="1" selected="0">
            <x v="843"/>
          </reference>
        </references>
      </pivotArea>
    </format>
    <format dxfId="5675">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663"/>
          </reference>
          <reference field="82" count="1" selected="0">
            <x v="1121"/>
          </reference>
          <reference field="85" count="1" selected="0">
            <x v="7"/>
          </reference>
          <reference field="87" count="1" selected="0">
            <x v="2045"/>
          </reference>
          <reference field="88" count="1" selected="0">
            <x v="907"/>
          </reference>
        </references>
      </pivotArea>
    </format>
    <format dxfId="5674">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59"/>
          </reference>
          <reference field="82" count="1" selected="0">
            <x v="914"/>
          </reference>
          <reference field="85" count="1" selected="0">
            <x v="3"/>
          </reference>
          <reference field="87" count="1" selected="0">
            <x v="1841"/>
          </reference>
          <reference field="88" count="1" selected="0">
            <x v="700"/>
          </reference>
        </references>
      </pivotArea>
    </format>
    <format dxfId="567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73"/>
          </reference>
          <reference field="82" count="1" selected="0">
            <x v="928"/>
          </reference>
          <reference field="85" count="1" selected="0">
            <x v="7"/>
          </reference>
          <reference field="87" count="1" selected="0">
            <x v="1855"/>
          </reference>
          <reference field="88" count="1" selected="0">
            <x v="714"/>
          </reference>
        </references>
      </pivotArea>
    </format>
    <format dxfId="5672">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74"/>
          </reference>
          <reference field="82" count="1" selected="0">
            <x v="929"/>
          </reference>
          <reference field="85" count="1" selected="0">
            <x v="7"/>
          </reference>
          <reference field="87" count="1" selected="0">
            <x v="1856"/>
          </reference>
          <reference field="88" count="1" selected="0">
            <x v="715"/>
          </reference>
        </references>
      </pivotArea>
    </format>
    <format dxfId="567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453"/>
          </reference>
          <reference field="82" count="1" selected="0">
            <x v="908"/>
          </reference>
          <reference field="85" count="1" selected="0">
            <x v="3"/>
          </reference>
          <reference field="87" count="1" selected="0">
            <x v="1835"/>
          </reference>
          <reference field="88" count="1" selected="0">
            <x v="694"/>
          </reference>
        </references>
      </pivotArea>
    </format>
    <format dxfId="567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452"/>
          </reference>
          <reference field="82" count="1" selected="0">
            <x v="907"/>
          </reference>
          <reference field="85" count="1" selected="0">
            <x v="3"/>
          </reference>
          <reference field="87" count="1" selected="0">
            <x v="1834"/>
          </reference>
          <reference field="88" count="1" selected="0">
            <x v="693"/>
          </reference>
        </references>
      </pivotArea>
    </format>
    <format dxfId="566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450"/>
          </reference>
          <reference field="82" count="1" selected="0">
            <x v="905"/>
          </reference>
          <reference field="85" count="1" selected="0">
            <x v="3"/>
          </reference>
          <reference field="87" count="1" selected="0">
            <x v="1832"/>
          </reference>
          <reference field="88" count="1" selected="0">
            <x v="691"/>
          </reference>
        </references>
      </pivotArea>
    </format>
    <format dxfId="5668">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451"/>
          </reference>
          <reference field="82" count="1" selected="0">
            <x v="906"/>
          </reference>
          <reference field="85" count="1" selected="0">
            <x v="3"/>
          </reference>
          <reference field="87" count="1" selected="0">
            <x v="1833"/>
          </reference>
          <reference field="88" count="1" selected="0">
            <x v="692"/>
          </reference>
        </references>
      </pivotArea>
    </format>
    <format dxfId="5667">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5666">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5665">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529"/>
          </reference>
          <reference field="82" count="1" selected="0">
            <x v="986"/>
          </reference>
          <reference field="85" count="1" selected="0">
            <x v="4"/>
          </reference>
          <reference field="87" count="1" selected="0">
            <x v="1911"/>
          </reference>
          <reference field="88" count="1" selected="0">
            <x v="772"/>
          </reference>
        </references>
      </pivotArea>
    </format>
    <format dxfId="566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591"/>
          </reference>
          <reference field="82" count="1" selected="0">
            <x v="1049"/>
          </reference>
          <reference field="85" count="1" selected="0">
            <x v="0"/>
          </reference>
          <reference field="87" count="1" selected="0">
            <x v="1973"/>
          </reference>
          <reference field="88" count="1" selected="0">
            <x v="835"/>
          </reference>
        </references>
      </pivotArea>
    </format>
    <format dxfId="5663">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592"/>
          </reference>
          <reference field="82" count="1" selected="0">
            <x v="1050"/>
          </reference>
          <reference field="85" count="1" selected="0">
            <x v="0"/>
          </reference>
          <reference field="87" count="1" selected="0">
            <x v="1974"/>
          </reference>
          <reference field="88" count="1" selected="0">
            <x v="836"/>
          </reference>
        </references>
      </pivotArea>
    </format>
    <format dxfId="5662">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593"/>
          </reference>
          <reference field="82" count="1" selected="0">
            <x v="1051"/>
          </reference>
          <reference field="85" count="1" selected="0">
            <x v="0"/>
          </reference>
          <reference field="87" count="1" selected="0">
            <x v="1975"/>
          </reference>
          <reference field="88" count="1" selected="0">
            <x v="837"/>
          </reference>
        </references>
      </pivotArea>
    </format>
    <format dxfId="566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04"/>
          </reference>
          <reference field="82" count="1" selected="0">
            <x v="1062"/>
          </reference>
          <reference field="85" count="1" selected="0">
            <x v="2"/>
          </reference>
          <reference field="87" count="1" selected="0">
            <x v="1986"/>
          </reference>
          <reference field="88" count="1" selected="0">
            <x v="848"/>
          </reference>
        </references>
      </pivotArea>
    </format>
    <format dxfId="566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05"/>
          </reference>
          <reference field="82" count="1" selected="0">
            <x v="1063"/>
          </reference>
          <reference field="85" count="1" selected="0">
            <x v="2"/>
          </reference>
          <reference field="87" count="1" selected="0">
            <x v="1987"/>
          </reference>
          <reference field="88" count="1" selected="0">
            <x v="849"/>
          </reference>
        </references>
      </pivotArea>
    </format>
    <format dxfId="5659">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03"/>
          </reference>
          <reference field="82" count="1" selected="0">
            <x v="1061"/>
          </reference>
          <reference field="85" count="1" selected="0">
            <x v="2"/>
          </reference>
          <reference field="87" count="1" selected="0">
            <x v="1985"/>
          </reference>
          <reference field="88" count="1" selected="0">
            <x v="847"/>
          </reference>
        </references>
      </pivotArea>
    </format>
    <format dxfId="5658">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530"/>
          </reference>
          <reference field="82" count="1" selected="0">
            <x v="987"/>
          </reference>
          <reference field="85" count="1" selected="0">
            <x v="4"/>
          </reference>
          <reference field="87" count="1" selected="0">
            <x v="1912"/>
          </reference>
          <reference field="88" count="1" selected="0">
            <x v="773"/>
          </reference>
        </references>
      </pivotArea>
    </format>
    <format dxfId="565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594"/>
          </reference>
          <reference field="82" count="1" selected="0">
            <x v="1052"/>
          </reference>
          <reference field="85" count="1" selected="0">
            <x v="0"/>
          </reference>
          <reference field="87" count="1" selected="0">
            <x v="1976"/>
          </reference>
          <reference field="88" count="1" selected="0">
            <x v="838"/>
          </reference>
        </references>
      </pivotArea>
    </format>
    <format dxfId="565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595"/>
          </reference>
          <reference field="82" count="1" selected="0">
            <x v="1053"/>
          </reference>
          <reference field="85" count="1" selected="0">
            <x v="0"/>
          </reference>
          <reference field="87" count="1" selected="0">
            <x v="1977"/>
          </reference>
          <reference field="88" count="1" selected="0">
            <x v="839"/>
          </reference>
        </references>
      </pivotArea>
    </format>
    <format dxfId="5655">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596"/>
          </reference>
          <reference field="82" count="1" selected="0">
            <x v="1054"/>
          </reference>
          <reference field="85" count="1" selected="0">
            <x v="0"/>
          </reference>
          <reference field="87" count="1" selected="0">
            <x v="1978"/>
          </reference>
          <reference field="88" count="1" selected="0">
            <x v="840"/>
          </reference>
        </references>
      </pivotArea>
    </format>
    <format dxfId="565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607"/>
          </reference>
          <reference field="82" count="1" selected="0">
            <x v="1065"/>
          </reference>
          <reference field="85" count="1" selected="0">
            <x v="2"/>
          </reference>
          <reference field="87" count="1" selected="0">
            <x v="1989"/>
          </reference>
          <reference field="88" count="1" selected="0">
            <x v="851"/>
          </reference>
        </references>
      </pivotArea>
    </format>
    <format dxfId="565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608"/>
          </reference>
          <reference field="82" count="1" selected="0">
            <x v="1066"/>
          </reference>
          <reference field="85" count="1" selected="0">
            <x v="2"/>
          </reference>
          <reference field="87" count="1" selected="0">
            <x v="1990"/>
          </reference>
          <reference field="88" count="1" selected="0">
            <x v="852"/>
          </reference>
        </references>
      </pivotArea>
    </format>
    <format dxfId="565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609"/>
          </reference>
          <reference field="82" count="1" selected="0">
            <x v="1067"/>
          </reference>
          <reference field="85" count="1" selected="0">
            <x v="2"/>
          </reference>
          <reference field="87" count="1" selected="0">
            <x v="1991"/>
          </reference>
          <reference field="88" count="1" selected="0">
            <x v="853"/>
          </reference>
        </references>
      </pivotArea>
    </format>
    <format dxfId="565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606"/>
          </reference>
          <reference field="82" count="1" selected="0">
            <x v="1064"/>
          </reference>
          <reference field="85" count="1" selected="0">
            <x v="2"/>
          </reference>
          <reference field="87" count="1" selected="0">
            <x v="1988"/>
          </reference>
          <reference field="88" count="1" selected="0">
            <x v="850"/>
          </reference>
        </references>
      </pivotArea>
    </format>
    <format dxfId="565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610"/>
          </reference>
          <reference field="82" count="1" selected="0">
            <x v="1068"/>
          </reference>
          <reference field="85" count="1" selected="0">
            <x v="2"/>
          </reference>
          <reference field="87" count="1" selected="0">
            <x v="1992"/>
          </reference>
          <reference field="88" count="1" selected="0">
            <x v="854"/>
          </reference>
        </references>
      </pivotArea>
    </format>
    <format dxfId="5649">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648">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647">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661"/>
          </reference>
          <reference field="82" count="1" selected="0">
            <x v="1119"/>
          </reference>
          <reference field="85" count="1" selected="0">
            <x v="7"/>
          </reference>
          <reference field="87" count="1" selected="0">
            <x v="2043"/>
          </reference>
          <reference field="88" count="1" selected="0">
            <x v="905"/>
          </reference>
        </references>
      </pivotArea>
    </format>
    <format dxfId="5646">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662"/>
          </reference>
          <reference field="82" count="1" selected="0">
            <x v="1120"/>
          </reference>
          <reference field="85" count="1" selected="0">
            <x v="7"/>
          </reference>
          <reference field="87" count="1" selected="0">
            <x v="2044"/>
          </reference>
          <reference field="88" count="1" selected="0">
            <x v="906"/>
          </reference>
        </references>
      </pivotArea>
    </format>
    <format dxfId="564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732"/>
          </reference>
          <reference field="82" count="1" selected="0">
            <x v="1190"/>
          </reference>
          <reference field="85" count="1" selected="0">
            <x v="4"/>
          </reference>
          <reference field="87" count="1" selected="0">
            <x v="2114"/>
          </reference>
          <reference field="88" count="1" selected="0">
            <x v="976"/>
          </reference>
        </references>
      </pivotArea>
    </format>
    <format dxfId="564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733"/>
          </reference>
          <reference field="82" count="1" selected="0">
            <x v="1191"/>
          </reference>
          <reference field="85" count="1" selected="0">
            <x v="4"/>
          </reference>
          <reference field="87" count="1" selected="0">
            <x v="2115"/>
          </reference>
          <reference field="88" count="1" selected="0">
            <x v="977"/>
          </reference>
        </references>
      </pivotArea>
    </format>
    <format dxfId="564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734"/>
          </reference>
          <reference field="82" count="1" selected="0">
            <x v="1192"/>
          </reference>
          <reference field="85" count="1" selected="0">
            <x v="4"/>
          </reference>
          <reference field="87" count="1" selected="0">
            <x v="2116"/>
          </reference>
          <reference field="88" count="1" selected="0">
            <x v="978"/>
          </reference>
        </references>
      </pivotArea>
    </format>
    <format dxfId="5642">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731"/>
          </reference>
          <reference field="82" count="1" selected="0">
            <x v="1189"/>
          </reference>
          <reference field="85" count="1" selected="0">
            <x v="4"/>
          </reference>
          <reference field="87" count="1" selected="0">
            <x v="2113"/>
          </reference>
          <reference field="88" count="1" selected="0">
            <x v="975"/>
          </reference>
        </references>
      </pivotArea>
    </format>
    <format dxfId="564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740"/>
          </reference>
          <reference field="82" count="1" selected="0">
            <x v="1198"/>
          </reference>
          <reference field="85" count="1" selected="0">
            <x v="4"/>
          </reference>
          <reference field="87" count="1" selected="0">
            <x v="2122"/>
          </reference>
          <reference field="88" count="1" selected="0">
            <x v="984"/>
          </reference>
        </references>
      </pivotArea>
    </format>
    <format dxfId="564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741"/>
          </reference>
          <reference field="82" count="1" selected="0">
            <x v="1199"/>
          </reference>
          <reference field="85" count="1" selected="0">
            <x v="4"/>
          </reference>
          <reference field="87" count="1" selected="0">
            <x v="2123"/>
          </reference>
          <reference field="88" count="1" selected="0">
            <x v="985"/>
          </reference>
        </references>
      </pivotArea>
    </format>
    <format dxfId="563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742"/>
          </reference>
          <reference field="82" count="1" selected="0">
            <x v="1200"/>
          </reference>
          <reference field="85" count="1" selected="0">
            <x v="4"/>
          </reference>
          <reference field="87" count="1" selected="0">
            <x v="2124"/>
          </reference>
          <reference field="88" count="1" selected="0">
            <x v="986"/>
          </reference>
        </references>
      </pivotArea>
    </format>
    <format dxfId="563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739"/>
          </reference>
          <reference field="82" count="1" selected="0">
            <x v="1197"/>
          </reference>
          <reference field="85" count="1" selected="0">
            <x v="4"/>
          </reference>
          <reference field="87" count="1" selected="0">
            <x v="2121"/>
          </reference>
          <reference field="88" count="1" selected="0">
            <x v="983"/>
          </reference>
        </references>
      </pivotArea>
    </format>
    <format dxfId="563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737"/>
          </reference>
          <reference field="82" count="1" selected="0">
            <x v="1195"/>
          </reference>
          <reference field="85" count="1" selected="0">
            <x v="4"/>
          </reference>
          <reference field="87" count="1" selected="0">
            <x v="2119"/>
          </reference>
          <reference field="88" count="1" selected="0">
            <x v="981"/>
          </reference>
        </references>
      </pivotArea>
    </format>
    <format dxfId="563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738"/>
          </reference>
          <reference field="82" count="1" selected="0">
            <x v="1196"/>
          </reference>
          <reference field="85" count="1" selected="0">
            <x v="4"/>
          </reference>
          <reference field="87" count="1" selected="0">
            <x v="2120"/>
          </reference>
          <reference field="88" count="1" selected="0">
            <x v="982"/>
          </reference>
        </references>
      </pivotArea>
    </format>
    <format dxfId="5635">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736"/>
          </reference>
          <reference field="82" count="1" selected="0">
            <x v="1194"/>
          </reference>
          <reference field="85" count="1" selected="0">
            <x v="4"/>
          </reference>
          <reference field="87" count="1" selected="0">
            <x v="2118"/>
          </reference>
          <reference field="88" count="1" selected="0">
            <x v="980"/>
          </reference>
        </references>
      </pivotArea>
    </format>
    <format dxfId="563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735"/>
          </reference>
          <reference field="82" count="1" selected="0">
            <x v="1193"/>
          </reference>
          <reference field="85" count="1" selected="0">
            <x v="4"/>
          </reference>
          <reference field="87" count="1" selected="0">
            <x v="2117"/>
          </reference>
          <reference field="88" count="1" selected="0">
            <x v="979"/>
          </reference>
        </references>
      </pivotArea>
    </format>
    <format dxfId="5633">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479"/>
          </reference>
          <reference field="82" count="1" selected="0">
            <x v="935"/>
          </reference>
          <reference field="85" count="1" selected="0">
            <x v="7"/>
          </reference>
          <reference field="87" count="1" selected="0">
            <x v="1861"/>
          </reference>
          <reference field="88" count="1" selected="0">
            <x v="721"/>
          </reference>
        </references>
      </pivotArea>
    </format>
    <format dxfId="5632">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480"/>
          </reference>
          <reference field="82" count="1" selected="0">
            <x v="936"/>
          </reference>
          <reference field="85" count="1" selected="0">
            <x v="7"/>
          </reference>
          <reference field="87" count="1" selected="0">
            <x v="1862"/>
          </reference>
          <reference field="88" count="1" selected="0">
            <x v="722"/>
          </reference>
        </references>
      </pivotArea>
    </format>
    <format dxfId="5631">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632"/>
          </reference>
          <reference field="82" count="1" selected="0">
            <x v="1090"/>
          </reference>
          <reference field="85" count="1" selected="0">
            <x v="2"/>
          </reference>
          <reference field="87" count="1" selected="0">
            <x v="2014"/>
          </reference>
          <reference field="88" count="1" selected="0">
            <x v="876"/>
          </reference>
        </references>
      </pivotArea>
    </format>
    <format dxfId="5630">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749"/>
          </reference>
          <reference field="82" count="1" selected="0">
            <x v="1207"/>
          </reference>
          <reference field="85" count="1" selected="0">
            <x v="4"/>
          </reference>
          <reference field="87" count="1" selected="0">
            <x v="2131"/>
          </reference>
          <reference field="88" count="1" selected="0">
            <x v="993"/>
          </reference>
        </references>
      </pivotArea>
    </format>
    <format dxfId="5629">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750"/>
          </reference>
          <reference field="82" count="1" selected="0">
            <x v="1208"/>
          </reference>
          <reference field="85" count="1" selected="0">
            <x v="4"/>
          </reference>
          <reference field="87" count="1" selected="0">
            <x v="2132"/>
          </reference>
          <reference field="88" count="1" selected="0">
            <x v="994"/>
          </reference>
        </references>
      </pivotArea>
    </format>
    <format dxfId="5628">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1547"/>
          </reference>
          <reference field="82" count="1" selected="0">
            <x v="26"/>
          </reference>
          <reference field="85" count="1" selected="0">
            <x v="2"/>
          </reference>
          <reference field="87" count="1" selected="0">
            <x v="804"/>
          </reference>
          <reference field="88" count="1" selected="0">
            <x v="26"/>
          </reference>
        </references>
      </pivotArea>
    </format>
    <format dxfId="5627">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752"/>
          </reference>
          <reference field="82" count="1" selected="0">
            <x v="1210"/>
          </reference>
          <reference field="85" count="1" selected="0">
            <x v="4"/>
          </reference>
          <reference field="87" count="1" selected="0">
            <x v="2134"/>
          </reference>
          <reference field="88" count="1" selected="0">
            <x v="996"/>
          </reference>
        </references>
      </pivotArea>
    </format>
    <format dxfId="562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98"/>
          </reference>
          <reference field="82" count="1" selected="0">
            <x v="954"/>
          </reference>
          <reference field="85" count="1" selected="0">
            <x v="4"/>
          </reference>
          <reference field="87" count="1" selected="0">
            <x v="1880"/>
          </reference>
          <reference field="88" count="1" selected="0">
            <x v="740"/>
          </reference>
        </references>
      </pivotArea>
    </format>
    <format dxfId="562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01"/>
          </reference>
          <reference field="82" count="1" selected="0">
            <x v="957"/>
          </reference>
          <reference field="85" count="1" selected="0">
            <x v="4"/>
          </reference>
          <reference field="87" count="1" selected="0">
            <x v="1883"/>
          </reference>
          <reference field="88" count="1" selected="0">
            <x v="743"/>
          </reference>
        </references>
      </pivotArea>
    </format>
    <format dxfId="562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99"/>
          </reference>
          <reference field="82" count="1" selected="0">
            <x v="955"/>
          </reference>
          <reference field="85" count="1" selected="0">
            <x v="4"/>
          </reference>
          <reference field="87" count="1" selected="0">
            <x v="1881"/>
          </reference>
          <reference field="88" count="1" selected="0">
            <x v="741"/>
          </reference>
        </references>
      </pivotArea>
    </format>
    <format dxfId="562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00"/>
          </reference>
          <reference field="82" count="1" selected="0">
            <x v="956"/>
          </reference>
          <reference field="85" count="1" selected="0">
            <x v="4"/>
          </reference>
          <reference field="87" count="1" selected="0">
            <x v="1882"/>
          </reference>
          <reference field="88" count="1" selected="0">
            <x v="742"/>
          </reference>
        </references>
      </pivotArea>
    </format>
    <format dxfId="562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62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98"/>
          </reference>
          <reference field="82" count="1" selected="0">
            <x v="1156"/>
          </reference>
          <reference field="85" count="1" selected="0">
            <x v="4"/>
          </reference>
          <reference field="87" count="1" selected="0">
            <x v="2080"/>
          </reference>
          <reference field="88" count="1" selected="0">
            <x v="942"/>
          </reference>
        </references>
      </pivotArea>
    </format>
    <format dxfId="562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94"/>
          </reference>
          <reference field="82" count="1" selected="0">
            <x v="1152"/>
          </reference>
          <reference field="85" count="1" selected="0">
            <x v="4"/>
          </reference>
          <reference field="87" count="1" selected="0">
            <x v="2076"/>
          </reference>
          <reference field="88" count="1" selected="0">
            <x v="938"/>
          </reference>
        </references>
      </pivotArea>
    </format>
    <format dxfId="561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95"/>
          </reference>
          <reference field="82" count="1" selected="0">
            <x v="1153"/>
          </reference>
          <reference field="85" count="1" selected="0">
            <x v="4"/>
          </reference>
          <reference field="87" count="1" selected="0">
            <x v="2077"/>
          </reference>
          <reference field="88" count="1" selected="0">
            <x v="939"/>
          </reference>
        </references>
      </pivotArea>
    </format>
    <format dxfId="561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96"/>
          </reference>
          <reference field="82" count="1" selected="0">
            <x v="1154"/>
          </reference>
          <reference field="85" count="1" selected="0">
            <x v="4"/>
          </reference>
          <reference field="87" count="1" selected="0">
            <x v="2078"/>
          </reference>
          <reference field="88" count="1" selected="0">
            <x v="940"/>
          </reference>
        </references>
      </pivotArea>
    </format>
    <format dxfId="561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97"/>
          </reference>
          <reference field="82" count="1" selected="0">
            <x v="1155"/>
          </reference>
          <reference field="85" count="1" selected="0">
            <x v="4"/>
          </reference>
          <reference field="87" count="1" selected="0">
            <x v="2079"/>
          </reference>
          <reference field="88" count="1" selected="0">
            <x v="941"/>
          </reference>
        </references>
      </pivotArea>
    </format>
    <format dxfId="5616">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94"/>
          </reference>
          <reference field="82" count="1" selected="0">
            <x v="950"/>
          </reference>
          <reference field="85" count="1" selected="0">
            <x v="4"/>
          </reference>
          <reference field="87" count="1" selected="0">
            <x v="1876"/>
          </reference>
          <reference field="88" count="1" selected="0">
            <x v="736"/>
          </reference>
        </references>
      </pivotArea>
    </format>
    <format dxfId="561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97"/>
          </reference>
          <reference field="82" count="1" selected="0">
            <x v="953"/>
          </reference>
          <reference field="85" count="1" selected="0">
            <x v="4"/>
          </reference>
          <reference field="87" count="1" selected="0">
            <x v="1879"/>
          </reference>
          <reference field="88" count="1" selected="0">
            <x v="739"/>
          </reference>
        </references>
      </pivotArea>
    </format>
    <format dxfId="5614">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95"/>
          </reference>
          <reference field="82" count="1" selected="0">
            <x v="951"/>
          </reference>
          <reference field="85" count="1" selected="0">
            <x v="4"/>
          </reference>
          <reference field="87" count="1" selected="0">
            <x v="1877"/>
          </reference>
          <reference field="88" count="1" selected="0">
            <x v="737"/>
          </reference>
        </references>
      </pivotArea>
    </format>
    <format dxfId="561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96"/>
          </reference>
          <reference field="82" count="1" selected="0">
            <x v="952"/>
          </reference>
          <reference field="85" count="1" selected="0">
            <x v="4"/>
          </reference>
          <reference field="87" count="1" selected="0">
            <x v="1878"/>
          </reference>
          <reference field="88" count="1" selected="0">
            <x v="738"/>
          </reference>
        </references>
      </pivotArea>
    </format>
    <format dxfId="5612">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611">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93"/>
          </reference>
          <reference field="82" count="1" selected="0">
            <x v="1151"/>
          </reference>
          <reference field="85" count="1" selected="0">
            <x v="4"/>
          </reference>
          <reference field="87" count="1" selected="0">
            <x v="2075"/>
          </reference>
          <reference field="88" count="1" selected="0">
            <x v="937"/>
          </reference>
        </references>
      </pivotArea>
    </format>
    <format dxfId="561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89"/>
          </reference>
          <reference field="82" count="1" selected="0">
            <x v="1147"/>
          </reference>
          <reference field="85" count="1" selected="0">
            <x v="4"/>
          </reference>
          <reference field="87" count="1" selected="0">
            <x v="2071"/>
          </reference>
          <reference field="88" count="1" selected="0">
            <x v="933"/>
          </reference>
        </references>
      </pivotArea>
    </format>
    <format dxfId="560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90"/>
          </reference>
          <reference field="82" count="1" selected="0">
            <x v="1148"/>
          </reference>
          <reference field="85" count="1" selected="0">
            <x v="4"/>
          </reference>
          <reference field="87" count="1" selected="0">
            <x v="2072"/>
          </reference>
          <reference field="88" count="1" selected="0">
            <x v="934"/>
          </reference>
        </references>
      </pivotArea>
    </format>
    <format dxfId="560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91"/>
          </reference>
          <reference field="82" count="1" selected="0">
            <x v="1149"/>
          </reference>
          <reference field="85" count="1" selected="0">
            <x v="4"/>
          </reference>
          <reference field="87" count="1" selected="0">
            <x v="2073"/>
          </reference>
          <reference field="88" count="1" selected="0">
            <x v="935"/>
          </reference>
        </references>
      </pivotArea>
    </format>
    <format dxfId="560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92"/>
          </reference>
          <reference field="82" count="1" selected="0">
            <x v="1150"/>
          </reference>
          <reference field="85" count="1" selected="0">
            <x v="4"/>
          </reference>
          <reference field="87" count="1" selected="0">
            <x v="2074"/>
          </reference>
          <reference field="88" count="1" selected="0">
            <x v="936"/>
          </reference>
        </references>
      </pivotArea>
    </format>
    <format dxfId="5606">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39"/>
          </reference>
          <reference field="82" count="1" selected="0">
            <x v="996"/>
          </reference>
          <reference field="85" count="1" selected="0">
            <x v="4"/>
          </reference>
          <reference field="87" count="1" selected="0">
            <x v="1921"/>
          </reference>
          <reference field="88" count="1" selected="0">
            <x v="782"/>
          </reference>
        </references>
      </pivotArea>
    </format>
    <format dxfId="560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34"/>
          </reference>
          <reference field="82" count="1" selected="0">
            <x v="999"/>
          </reference>
          <reference field="85" count="1" selected="0">
            <x v="4"/>
          </reference>
          <reference field="87" count="1" selected="0">
            <x v="1916"/>
          </reference>
          <reference field="88" count="1" selected="0">
            <x v="785"/>
          </reference>
        </references>
      </pivotArea>
    </format>
    <format dxfId="5604">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40"/>
          </reference>
          <reference field="82" count="1" selected="0">
            <x v="997"/>
          </reference>
          <reference field="85" count="1" selected="0">
            <x v="4"/>
          </reference>
          <reference field="87" count="1" selected="0">
            <x v="1922"/>
          </reference>
          <reference field="88" count="1" selected="0">
            <x v="783"/>
          </reference>
        </references>
      </pivotArea>
    </format>
    <format dxfId="560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41"/>
          </reference>
          <reference field="82" count="1" selected="0">
            <x v="998"/>
          </reference>
          <reference field="85" count="1" selected="0">
            <x v="4"/>
          </reference>
          <reference field="87" count="1" selected="0">
            <x v="1923"/>
          </reference>
          <reference field="88" count="1" selected="0">
            <x v="784"/>
          </reference>
        </references>
      </pivotArea>
    </format>
    <format dxfId="5602">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601">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88"/>
          </reference>
          <reference field="82" count="1" selected="0">
            <x v="1146"/>
          </reference>
          <reference field="85" count="1" selected="0">
            <x v="4"/>
          </reference>
          <reference field="87" count="1" selected="0">
            <x v="2070"/>
          </reference>
          <reference field="88" count="1" selected="0">
            <x v="932"/>
          </reference>
        </references>
      </pivotArea>
    </format>
    <format dxfId="560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84"/>
          </reference>
          <reference field="82" count="1" selected="0">
            <x v="1142"/>
          </reference>
          <reference field="85" count="1" selected="0">
            <x v="4"/>
          </reference>
          <reference field="87" count="1" selected="0">
            <x v="2066"/>
          </reference>
          <reference field="88" count="1" selected="0">
            <x v="928"/>
          </reference>
        </references>
      </pivotArea>
    </format>
    <format dxfId="559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85"/>
          </reference>
          <reference field="82" count="1" selected="0">
            <x v="1143"/>
          </reference>
          <reference field="85" count="1" selected="0">
            <x v="4"/>
          </reference>
          <reference field="87" count="1" selected="0">
            <x v="2067"/>
          </reference>
          <reference field="88" count="1" selected="0">
            <x v="929"/>
          </reference>
        </references>
      </pivotArea>
    </format>
    <format dxfId="559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86"/>
          </reference>
          <reference field="82" count="1" selected="0">
            <x v="1144"/>
          </reference>
          <reference field="85" count="1" selected="0">
            <x v="4"/>
          </reference>
          <reference field="87" count="1" selected="0">
            <x v="2068"/>
          </reference>
          <reference field="88" count="1" selected="0">
            <x v="930"/>
          </reference>
        </references>
      </pivotArea>
    </format>
    <format dxfId="559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87"/>
          </reference>
          <reference field="82" count="1" selected="0">
            <x v="1145"/>
          </reference>
          <reference field="85" count="1" selected="0">
            <x v="4"/>
          </reference>
          <reference field="87" count="1" selected="0">
            <x v="2069"/>
          </reference>
          <reference field="88" count="1" selected="0">
            <x v="931"/>
          </reference>
        </references>
      </pivotArea>
    </format>
    <format dxfId="5596">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95">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745"/>
          </reference>
          <reference field="82" count="1" selected="0">
            <x v="1203"/>
          </reference>
          <reference field="85" count="1" selected="0">
            <x v="4"/>
          </reference>
          <reference field="87" count="1" selected="0">
            <x v="2127"/>
          </reference>
          <reference field="88" count="1" selected="0">
            <x v="989"/>
          </reference>
        </references>
      </pivotArea>
    </format>
    <format dxfId="559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748"/>
          </reference>
          <reference field="82" count="1" selected="0">
            <x v="1206"/>
          </reference>
          <reference field="85" count="1" selected="0">
            <x v="4"/>
          </reference>
          <reference field="87" count="1" selected="0">
            <x v="2130"/>
          </reference>
          <reference field="88" count="1" selected="0">
            <x v="992"/>
          </reference>
        </references>
      </pivotArea>
    </format>
    <format dxfId="5593">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746"/>
          </reference>
          <reference field="82" count="1" selected="0">
            <x v="1204"/>
          </reference>
          <reference field="85" count="1" selected="0">
            <x v="4"/>
          </reference>
          <reference field="87" count="1" selected="0">
            <x v="2128"/>
          </reference>
          <reference field="88" count="1" selected="0">
            <x v="990"/>
          </reference>
        </references>
      </pivotArea>
    </format>
    <format dxfId="559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747"/>
          </reference>
          <reference field="82" count="1" selected="0">
            <x v="1205"/>
          </reference>
          <reference field="85" count="1" selected="0">
            <x v="4"/>
          </reference>
          <reference field="87" count="1" selected="0">
            <x v="2129"/>
          </reference>
          <reference field="88" count="1" selected="0">
            <x v="991"/>
          </reference>
        </references>
      </pivotArea>
    </format>
    <format dxfId="5591">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07"/>
          </reference>
          <reference field="82" count="1" selected="0">
            <x v="1165"/>
          </reference>
          <reference field="85" count="1" selected="0">
            <x v="4"/>
          </reference>
          <reference field="87" count="1" selected="0">
            <x v="2089"/>
          </reference>
          <reference field="88" count="1" selected="0">
            <x v="951"/>
          </reference>
        </references>
      </pivotArea>
    </format>
    <format dxfId="559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08"/>
          </reference>
          <reference field="82" count="1" selected="0">
            <x v="1166"/>
          </reference>
          <reference field="85" count="1" selected="0">
            <x v="4"/>
          </reference>
          <reference field="87" count="1" selected="0">
            <x v="2090"/>
          </reference>
          <reference field="88" count="1" selected="0">
            <x v="952"/>
          </reference>
        </references>
      </pivotArea>
    </format>
    <format dxfId="5589">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09"/>
          </reference>
          <reference field="82" count="1" selected="0">
            <x v="1167"/>
          </reference>
          <reference field="85" count="1" selected="0">
            <x v="4"/>
          </reference>
          <reference field="87" count="1" selected="0">
            <x v="2091"/>
          </reference>
          <reference field="88" count="1" selected="0">
            <x v="953"/>
          </reference>
        </references>
      </pivotArea>
    </format>
    <format dxfId="558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710"/>
          </reference>
          <reference field="82" count="1" selected="0">
            <x v="1168"/>
          </reference>
          <reference field="85" count="1" selected="0">
            <x v="4"/>
          </reference>
          <reference field="87" count="1" selected="0">
            <x v="2092"/>
          </reference>
          <reference field="88" count="1" selected="0">
            <x v="954"/>
          </reference>
        </references>
      </pivotArea>
    </format>
    <format dxfId="5587">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711"/>
          </reference>
          <reference field="82" count="1" selected="0">
            <x v="1169"/>
          </reference>
          <reference field="85" count="1" selected="0">
            <x v="4"/>
          </reference>
          <reference field="87" count="1" selected="0">
            <x v="2093"/>
          </reference>
          <reference field="88" count="1" selected="0">
            <x v="955"/>
          </reference>
        </references>
      </pivotArea>
    </format>
    <format dxfId="558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712"/>
          </reference>
          <reference field="82" count="1" selected="0">
            <x v="1170"/>
          </reference>
          <reference field="85" count="1" selected="0">
            <x v="4"/>
          </reference>
          <reference field="87" count="1" selected="0">
            <x v="2094"/>
          </reference>
          <reference field="88" count="1" selected="0">
            <x v="956"/>
          </reference>
        </references>
      </pivotArea>
    </format>
    <format dxfId="5585">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713"/>
          </reference>
          <reference field="82" count="1" selected="0">
            <x v="1171"/>
          </reference>
          <reference field="85" count="1" selected="0">
            <x v="4"/>
          </reference>
          <reference field="87" count="1" selected="0">
            <x v="2095"/>
          </reference>
          <reference field="88" count="1" selected="0">
            <x v="957"/>
          </reference>
        </references>
      </pivotArea>
    </format>
    <format dxfId="558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714"/>
          </reference>
          <reference field="82" count="1" selected="0">
            <x v="1172"/>
          </reference>
          <reference field="85" count="1" selected="0">
            <x v="4"/>
          </reference>
          <reference field="87" count="1" selected="0">
            <x v="2096"/>
          </reference>
          <reference field="88" count="1" selected="0">
            <x v="958"/>
          </reference>
        </references>
      </pivotArea>
    </format>
    <format dxfId="5583">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680"/>
          </reference>
          <reference field="82" count="1" selected="0">
            <x v="1138"/>
          </reference>
          <reference field="85" count="1" selected="0">
            <x v="4"/>
          </reference>
          <reference field="87" count="1" selected="0">
            <x v="2062"/>
          </reference>
          <reference field="88" count="1" selected="0">
            <x v="924"/>
          </reference>
        </references>
      </pivotArea>
    </format>
    <format dxfId="558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682"/>
          </reference>
          <reference field="82" count="1" selected="0">
            <x v="1140"/>
          </reference>
          <reference field="85" count="1" selected="0">
            <x v="4"/>
          </reference>
          <reference field="87" count="1" selected="0">
            <x v="2064"/>
          </reference>
          <reference field="88" count="1" selected="0">
            <x v="926"/>
          </reference>
        </references>
      </pivotArea>
    </format>
    <format dxfId="558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683"/>
          </reference>
          <reference field="82" count="1" selected="0">
            <x v="1141"/>
          </reference>
          <reference field="85" count="1" selected="0">
            <x v="4"/>
          </reference>
          <reference field="87" count="1" selected="0">
            <x v="2065"/>
          </reference>
          <reference field="88" count="1" selected="0">
            <x v="927"/>
          </reference>
        </references>
      </pivotArea>
    </format>
    <format dxfId="558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681"/>
          </reference>
          <reference field="82" count="1" selected="0">
            <x v="1139"/>
          </reference>
          <reference field="85" count="1" selected="0">
            <x v="4"/>
          </reference>
          <reference field="87" count="1" selected="0">
            <x v="2063"/>
          </reference>
          <reference field="88" count="1" selected="0">
            <x v="925"/>
          </reference>
        </references>
      </pivotArea>
    </format>
    <format dxfId="5579">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5578">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557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630"/>
          </reference>
          <reference field="82" count="1" selected="0">
            <x v="1088"/>
          </reference>
          <reference field="85" count="1" selected="0">
            <x v="2"/>
          </reference>
          <reference field="87" count="1" selected="0">
            <x v="2012"/>
          </reference>
          <reference field="88" count="1" selected="0">
            <x v="874"/>
          </reference>
        </references>
      </pivotArea>
    </format>
    <format dxfId="557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631"/>
          </reference>
          <reference field="82" count="1" selected="0">
            <x v="1089"/>
          </reference>
          <reference field="85" count="1" selected="0">
            <x v="2"/>
          </reference>
          <reference field="87" count="1" selected="0">
            <x v="2013"/>
          </reference>
          <reference field="88" count="1" selected="0">
            <x v="875"/>
          </reference>
        </references>
      </pivotArea>
    </format>
    <format dxfId="5575">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629"/>
          </reference>
          <reference field="82" count="1" selected="0">
            <x v="1087"/>
          </reference>
          <reference field="85" count="1" selected="0">
            <x v="2"/>
          </reference>
          <reference field="87" count="1" selected="0">
            <x v="2011"/>
          </reference>
          <reference field="88" count="1" selected="0">
            <x v="873"/>
          </reference>
        </references>
      </pivotArea>
    </format>
    <format dxfId="557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02"/>
          </reference>
          <reference field="82" count="1" selected="0">
            <x v="958"/>
          </reference>
          <reference field="85" count="1" selected="0">
            <x v="4"/>
          </reference>
          <reference field="87" count="1" selected="0">
            <x v="1884"/>
          </reference>
          <reference field="88" count="1" selected="0">
            <x v="744"/>
          </reference>
        </references>
      </pivotArea>
    </format>
    <format dxfId="557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505"/>
          </reference>
          <reference field="82" count="1" selected="0">
            <x v="961"/>
          </reference>
          <reference field="85" count="1" selected="0">
            <x v="4"/>
          </reference>
          <reference field="87" count="1" selected="0">
            <x v="1887"/>
          </reference>
          <reference field="88" count="1" selected="0">
            <x v="747"/>
          </reference>
        </references>
      </pivotArea>
    </format>
    <format dxfId="557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03"/>
          </reference>
          <reference field="82" count="1" selected="0">
            <x v="959"/>
          </reference>
          <reference field="85" count="1" selected="0">
            <x v="4"/>
          </reference>
          <reference field="87" count="1" selected="0">
            <x v="1885"/>
          </reference>
          <reference field="88" count="1" selected="0">
            <x v="745"/>
          </reference>
        </references>
      </pivotArea>
    </format>
    <format dxfId="557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04"/>
          </reference>
          <reference field="82" count="1" selected="0">
            <x v="960"/>
          </reference>
          <reference field="85" count="1" selected="0">
            <x v="4"/>
          </reference>
          <reference field="87" count="1" selected="0">
            <x v="1886"/>
          </reference>
          <reference field="88" count="1" selected="0">
            <x v="746"/>
          </reference>
        </references>
      </pivotArea>
    </format>
    <format dxfId="557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99"/>
          </reference>
          <reference field="82" count="1" selected="0">
            <x v="1157"/>
          </reference>
          <reference field="85" count="1" selected="0">
            <x v="4"/>
          </reference>
          <reference field="87" count="1" selected="0">
            <x v="2081"/>
          </reference>
          <reference field="88" count="1" selected="0">
            <x v="943"/>
          </reference>
        </references>
      </pivotArea>
    </format>
    <format dxfId="556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00"/>
          </reference>
          <reference field="82" count="1" selected="0">
            <x v="1158"/>
          </reference>
          <reference field="85" count="1" selected="0">
            <x v="4"/>
          </reference>
          <reference field="87" count="1" selected="0">
            <x v="2082"/>
          </reference>
          <reference field="88" count="1" selected="0">
            <x v="944"/>
          </reference>
        </references>
      </pivotArea>
    </format>
    <format dxfId="5568">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01"/>
          </reference>
          <reference field="82" count="1" selected="0">
            <x v="1159"/>
          </reference>
          <reference field="85" count="1" selected="0">
            <x v="4"/>
          </reference>
          <reference field="87" count="1" selected="0">
            <x v="2083"/>
          </reference>
          <reference field="88" count="1" selected="0">
            <x v="945"/>
          </reference>
        </references>
      </pivotArea>
    </format>
    <format dxfId="5567">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02"/>
          </reference>
          <reference field="82" count="1" selected="0">
            <x v="1160"/>
          </reference>
          <reference field="85" count="1" selected="0">
            <x v="4"/>
          </reference>
          <reference field="87" count="1" selected="0">
            <x v="2084"/>
          </reference>
          <reference field="88" count="1" selected="0">
            <x v="946"/>
          </reference>
        </references>
      </pivotArea>
    </format>
    <format dxfId="556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703"/>
          </reference>
          <reference field="82" count="1" selected="0">
            <x v="1161"/>
          </reference>
          <reference field="85" count="1" selected="0">
            <x v="4"/>
          </reference>
          <reference field="87" count="1" selected="0">
            <x v="2085"/>
          </reference>
          <reference field="88" count="1" selected="0">
            <x v="947"/>
          </reference>
        </references>
      </pivotArea>
    </format>
    <format dxfId="556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704"/>
          </reference>
          <reference field="82" count="1" selected="0">
            <x v="1162"/>
          </reference>
          <reference field="85" count="1" selected="0">
            <x v="4"/>
          </reference>
          <reference field="87" count="1" selected="0">
            <x v="2086"/>
          </reference>
          <reference field="88" count="1" selected="0">
            <x v="948"/>
          </reference>
        </references>
      </pivotArea>
    </format>
    <format dxfId="5564">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705"/>
          </reference>
          <reference field="82" count="1" selected="0">
            <x v="1163"/>
          </reference>
          <reference field="85" count="1" selected="0">
            <x v="4"/>
          </reference>
          <reference field="87" count="1" selected="0">
            <x v="2087"/>
          </reference>
          <reference field="88" count="1" selected="0">
            <x v="949"/>
          </reference>
        </references>
      </pivotArea>
    </format>
    <format dxfId="5563">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706"/>
          </reference>
          <reference field="82" count="1" selected="0">
            <x v="1164"/>
          </reference>
          <reference field="85" count="1" selected="0">
            <x v="4"/>
          </reference>
          <reference field="87" count="1" selected="0">
            <x v="2088"/>
          </reference>
          <reference field="88" count="1" selected="0">
            <x v="950"/>
          </reference>
        </references>
      </pivotArea>
    </format>
    <format dxfId="5562">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5561">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455"/>
          </reference>
          <reference field="82" count="1" selected="0">
            <x v="910"/>
          </reference>
          <reference field="85" count="1" selected="0">
            <x v="3"/>
          </reference>
          <reference field="87" count="1" selected="0">
            <x v="1837"/>
          </reference>
          <reference field="88" count="1" selected="0">
            <x v="696"/>
          </reference>
        </references>
      </pivotArea>
    </format>
    <format dxfId="5560">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757"/>
          </reference>
          <reference field="82" count="1" selected="0">
            <x v="1215"/>
          </reference>
          <reference field="85" count="1" selected="0">
            <x v="4"/>
          </reference>
          <reference field="87" count="1" selected="0">
            <x v="2139"/>
          </reference>
          <reference field="88" count="1" selected="0">
            <x v="1001"/>
          </reference>
        </references>
      </pivotArea>
    </format>
    <format dxfId="5559">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2"/>
          </reference>
          <reference field="88" count="1" selected="0">
            <x v="23"/>
          </reference>
        </references>
      </pivotArea>
    </format>
    <format dxfId="5558">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492"/>
          </reference>
          <reference field="82" count="1" selected="0">
            <x v="948"/>
          </reference>
          <reference field="85" count="1" selected="0">
            <x v="7"/>
          </reference>
          <reference field="87" count="1" selected="0">
            <x v="1874"/>
          </reference>
          <reference field="88" count="1" selected="0">
            <x v="734"/>
          </reference>
        </references>
      </pivotArea>
    </format>
    <format dxfId="5557">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456"/>
          </reference>
          <reference field="82" count="1" selected="0">
            <x v="911"/>
          </reference>
          <reference field="85" count="1" selected="0">
            <x v="3"/>
          </reference>
          <reference field="87" count="1" selected="0">
            <x v="1838"/>
          </reference>
          <reference field="88" count="1" selected="0">
            <x v="697"/>
          </reference>
        </references>
      </pivotArea>
    </format>
    <format dxfId="5556">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493"/>
          </reference>
          <reference field="82" count="1" selected="0">
            <x v="949"/>
          </reference>
          <reference field="85" count="1" selected="0">
            <x v="7"/>
          </reference>
          <reference field="87" count="1" selected="0">
            <x v="1875"/>
          </reference>
          <reference field="88" count="1" selected="0">
            <x v="735"/>
          </reference>
        </references>
      </pivotArea>
    </format>
    <format dxfId="5555">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5554">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4"/>
          </reference>
          <reference field="88" count="1" selected="0">
            <x v="25"/>
          </reference>
        </references>
      </pivotArea>
    </format>
    <format dxfId="5553">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759"/>
          </reference>
          <reference field="82" count="1" selected="0">
            <x v="1217"/>
          </reference>
          <reference field="85" count="1" selected="0">
            <x v="7"/>
          </reference>
          <reference field="87" count="1" selected="0">
            <x v="2141"/>
          </reference>
          <reference field="88" count="1" selected="0">
            <x v="1003"/>
          </reference>
        </references>
      </pivotArea>
    </format>
    <format dxfId="5552">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761"/>
          </reference>
          <reference field="82" count="1" selected="0">
            <x v="1219"/>
          </reference>
          <reference field="85" count="1" selected="0">
            <x v="7"/>
          </reference>
          <reference field="87" count="1" selected="0">
            <x v="2143"/>
          </reference>
          <reference field="88" count="1" selected="0">
            <x v="1005"/>
          </reference>
        </references>
      </pivotArea>
    </format>
    <format dxfId="5551">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5550">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5549">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548">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760"/>
          </reference>
          <reference field="82" count="1" selected="0">
            <x v="1218"/>
          </reference>
          <reference field="85" count="1" selected="0">
            <x v="7"/>
          </reference>
          <reference field="87" count="1" selected="0">
            <x v="2142"/>
          </reference>
          <reference field="88" count="1" selected="0">
            <x v="1004"/>
          </reference>
        </references>
      </pivotArea>
    </format>
    <format dxfId="5547">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485"/>
          </reference>
          <reference field="82" count="1" selected="0">
            <x v="941"/>
          </reference>
          <reference field="85" count="1" selected="0">
            <x v="2"/>
          </reference>
          <reference field="87" count="1" selected="0">
            <x v="1867"/>
          </reference>
          <reference field="88" count="1" selected="0">
            <x v="727"/>
          </reference>
        </references>
      </pivotArea>
    </format>
    <format dxfId="5546">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762"/>
          </reference>
          <reference field="82" count="1" selected="0">
            <x v="1220"/>
          </reference>
          <reference field="85" count="1" selected="0">
            <x v="7"/>
          </reference>
          <reference field="87" count="1" selected="0">
            <x v="2144"/>
          </reference>
          <reference field="88" count="1" selected="0">
            <x v="1006"/>
          </reference>
        </references>
      </pivotArea>
    </format>
    <format dxfId="5545">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544">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5543">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5542">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5541">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540">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5539">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538">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454"/>
          </reference>
          <reference field="82" count="1" selected="0">
            <x v="909"/>
          </reference>
          <reference field="85" count="1" selected="0">
            <x v="3"/>
          </reference>
          <reference field="87" count="1" selected="0">
            <x v="1836"/>
          </reference>
          <reference field="88" count="1" selected="0">
            <x v="695"/>
          </reference>
        </references>
      </pivotArea>
    </format>
    <format dxfId="5537">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751"/>
          </reference>
          <reference field="82" count="1" selected="0">
            <x v="1209"/>
          </reference>
          <reference field="85" count="1" selected="0">
            <x v="4"/>
          </reference>
          <reference field="87" count="1" selected="0">
            <x v="2133"/>
          </reference>
          <reference field="88" count="1" selected="0">
            <x v="995"/>
          </reference>
        </references>
      </pivotArea>
    </format>
    <format dxfId="553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15"/>
          </reference>
          <reference field="82" count="1" selected="0">
            <x v="1073"/>
          </reference>
          <reference field="85" count="1" selected="0">
            <x v="2"/>
          </reference>
          <reference field="87" count="1" selected="0">
            <x v="1997"/>
          </reference>
          <reference field="88" count="1" selected="0">
            <x v="859"/>
          </reference>
        </references>
      </pivotArea>
    </format>
    <format dxfId="553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18"/>
          </reference>
          <reference field="82" count="1" selected="0">
            <x v="1076"/>
          </reference>
          <reference field="85" count="1" selected="0">
            <x v="2"/>
          </reference>
          <reference field="87" count="1" selected="0">
            <x v="2000"/>
          </reference>
          <reference field="88" count="1" selected="0">
            <x v="862"/>
          </reference>
        </references>
      </pivotArea>
    </format>
    <format dxfId="55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616"/>
          </reference>
          <reference field="82" count="1" selected="0">
            <x v="1074"/>
          </reference>
          <reference field="85" count="1" selected="0">
            <x v="2"/>
          </reference>
          <reference field="87" count="1" selected="0">
            <x v="1998"/>
          </reference>
          <reference field="88" count="1" selected="0">
            <x v="860"/>
          </reference>
        </references>
      </pivotArea>
    </format>
    <format dxfId="553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619"/>
          </reference>
          <reference field="82" count="1" selected="0">
            <x v="1077"/>
          </reference>
          <reference field="85" count="1" selected="0">
            <x v="2"/>
          </reference>
          <reference field="87" count="1" selected="0">
            <x v="2001"/>
          </reference>
          <reference field="88" count="1" selected="0">
            <x v="863"/>
          </reference>
        </references>
      </pivotArea>
    </format>
    <format dxfId="553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624"/>
          </reference>
          <reference field="82" count="1" selected="0">
            <x v="1082"/>
          </reference>
          <reference field="85" count="1" selected="0">
            <x v="2"/>
          </reference>
          <reference field="87" count="1" selected="0">
            <x v="2006"/>
          </reference>
          <reference field="88" count="1" selected="0">
            <x v="868"/>
          </reference>
        </references>
      </pivotArea>
    </format>
    <format dxfId="553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622"/>
          </reference>
          <reference field="82" count="1" selected="0">
            <x v="1080"/>
          </reference>
          <reference field="85" count="1" selected="0">
            <x v="2"/>
          </reference>
          <reference field="87" count="1" selected="0">
            <x v="2004"/>
          </reference>
          <reference field="88" count="1" selected="0">
            <x v="866"/>
          </reference>
        </references>
      </pivotArea>
    </format>
    <format dxfId="553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621"/>
          </reference>
          <reference field="82" count="1" selected="0">
            <x v="1079"/>
          </reference>
          <reference field="85" count="1" selected="0">
            <x v="2"/>
          </reference>
          <reference field="87" count="1" selected="0">
            <x v="2003"/>
          </reference>
          <reference field="88" count="1" selected="0">
            <x v="865"/>
          </reference>
        </references>
      </pivotArea>
    </format>
    <format dxfId="552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620"/>
          </reference>
          <reference field="82" count="1" selected="0">
            <x v="1078"/>
          </reference>
          <reference field="85" count="1" selected="0">
            <x v="2"/>
          </reference>
          <reference field="87" count="1" selected="0">
            <x v="2002"/>
          </reference>
          <reference field="88" count="1" selected="0">
            <x v="864"/>
          </reference>
        </references>
      </pivotArea>
    </format>
    <format dxfId="552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14"/>
          </reference>
          <reference field="82" count="1" selected="0">
            <x v="1072"/>
          </reference>
          <reference field="85" count="1" selected="0">
            <x v="2"/>
          </reference>
          <reference field="87" count="1" selected="0">
            <x v="1996"/>
          </reference>
          <reference field="88" count="1" selected="0">
            <x v="858"/>
          </reference>
        </references>
      </pivotArea>
    </format>
    <format dxfId="552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17"/>
          </reference>
          <reference field="82" count="1" selected="0">
            <x v="1075"/>
          </reference>
          <reference field="85" count="1" selected="0">
            <x v="2"/>
          </reference>
          <reference field="87" count="1" selected="0">
            <x v="1999"/>
          </reference>
          <reference field="88" count="1" selected="0">
            <x v="861"/>
          </reference>
        </references>
      </pivotArea>
    </format>
    <format dxfId="552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623"/>
          </reference>
          <reference field="82" count="1" selected="0">
            <x v="1081"/>
          </reference>
          <reference field="85" count="1" selected="0">
            <x v="2"/>
          </reference>
          <reference field="87" count="1" selected="0">
            <x v="2005"/>
          </reference>
          <reference field="88" count="1" selected="0">
            <x v="867"/>
          </reference>
        </references>
      </pivotArea>
    </format>
    <format dxfId="5525">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758"/>
          </reference>
          <reference field="82" count="1" selected="0">
            <x v="1216"/>
          </reference>
          <reference field="85" count="1" selected="0">
            <x v="4"/>
          </reference>
          <reference field="87" count="1" selected="0">
            <x v="2140"/>
          </reference>
          <reference field="88" count="1" selected="0">
            <x v="1002"/>
          </reference>
        </references>
      </pivotArea>
    </format>
    <format dxfId="5524">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491"/>
          </reference>
          <reference field="82" count="1" selected="0">
            <x v="947"/>
          </reference>
          <reference field="85" count="1" selected="0">
            <x v="2"/>
          </reference>
          <reference field="87" count="1" selected="0">
            <x v="1873"/>
          </reference>
          <reference field="88" count="1" selected="0">
            <x v="733"/>
          </reference>
        </references>
      </pivotArea>
    </format>
    <format dxfId="5523">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89"/>
          </reference>
          <reference field="82" count="1" selected="0">
            <x v="945"/>
          </reference>
          <reference field="85" count="1" selected="0">
            <x v="7"/>
          </reference>
          <reference field="87" count="1" selected="0">
            <x v="1871"/>
          </reference>
          <reference field="88" count="1" selected="0">
            <x v="731"/>
          </reference>
        </references>
      </pivotArea>
    </format>
    <format dxfId="552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26"/>
          </reference>
          <reference field="82" count="1" selected="0">
            <x v="1084"/>
          </reference>
          <reference field="85" count="1" selected="0">
            <x v="2"/>
          </reference>
          <reference field="87" count="1" selected="0">
            <x v="2008"/>
          </reference>
          <reference field="88" count="1" selected="0">
            <x v="870"/>
          </reference>
        </references>
      </pivotArea>
    </format>
    <format dxfId="5521">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628"/>
          </reference>
          <reference field="82" count="1" selected="0">
            <x v="1086"/>
          </reference>
          <reference field="85" count="1" selected="0">
            <x v="2"/>
          </reference>
          <reference field="87" count="1" selected="0">
            <x v="2010"/>
          </reference>
          <reference field="88" count="1" selected="0">
            <x v="872"/>
          </reference>
        </references>
      </pivotArea>
    </format>
    <format dxfId="552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25"/>
          </reference>
          <reference field="82" count="1" selected="0">
            <x v="1083"/>
          </reference>
          <reference field="85" count="1" selected="0">
            <x v="2"/>
          </reference>
          <reference field="87" count="1" selected="0">
            <x v="2007"/>
          </reference>
          <reference field="88" count="1" selected="0">
            <x v="869"/>
          </reference>
        </references>
      </pivotArea>
    </format>
    <format dxfId="551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627"/>
          </reference>
          <reference field="82" count="1" selected="0">
            <x v="1085"/>
          </reference>
          <reference field="85" count="1" selected="0">
            <x v="2"/>
          </reference>
          <reference field="87" count="1" selected="0">
            <x v="2009"/>
          </reference>
          <reference field="88" count="1" selected="0">
            <x v="871"/>
          </reference>
        </references>
      </pivotArea>
    </format>
    <format dxfId="5518">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90"/>
          </reference>
          <reference field="82" count="1" selected="0">
            <x v="946"/>
          </reference>
          <reference field="85" count="1" selected="0">
            <x v="7"/>
          </reference>
          <reference field="87" count="1" selected="0">
            <x v="1872"/>
          </reference>
          <reference field="88" count="1" selected="0">
            <x v="732"/>
          </reference>
        </references>
      </pivotArea>
    </format>
    <format dxfId="5517">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43"/>
          </reference>
          <reference field="82" count="1" selected="0">
            <x v="1201"/>
          </reference>
          <reference field="85" count="1" selected="0">
            <x v="4"/>
          </reference>
          <reference field="87" count="1" selected="0">
            <x v="2125"/>
          </reference>
          <reference field="88" count="1" selected="0">
            <x v="987"/>
          </reference>
        </references>
      </pivotArea>
    </format>
    <format dxfId="5516">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44"/>
          </reference>
          <reference field="82" count="1" selected="0">
            <x v="1202"/>
          </reference>
          <reference field="85" count="1" selected="0">
            <x v="4"/>
          </reference>
          <reference field="87" count="1" selected="0">
            <x v="2126"/>
          </reference>
          <reference field="88" count="1" selected="0">
            <x v="988"/>
          </reference>
        </references>
      </pivotArea>
    </format>
    <format dxfId="5515">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3"/>
          </reference>
          <reference field="88" count="1" selected="0">
            <x v="24"/>
          </reference>
        </references>
      </pivotArea>
    </format>
    <format dxfId="5514">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651"/>
          </reference>
          <reference field="82" count="1" selected="0">
            <x v="1109"/>
          </reference>
          <reference field="85" count="1" selected="0">
            <x v="7"/>
          </reference>
          <reference field="87" count="1" selected="0">
            <x v="2033"/>
          </reference>
          <reference field="88" count="1" selected="0">
            <x v="895"/>
          </reference>
        </references>
      </pivotArea>
    </format>
    <format dxfId="5513">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657"/>
          </reference>
          <reference field="82" count="1" selected="0">
            <x v="1115"/>
          </reference>
          <reference field="85" count="1" selected="0">
            <x v="7"/>
          </reference>
          <reference field="87" count="1" selected="0">
            <x v="2039"/>
          </reference>
          <reference field="88" count="1" selected="0">
            <x v="901"/>
          </reference>
        </references>
      </pivotArea>
    </format>
    <format dxfId="551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482"/>
          </reference>
          <reference field="82" count="1" selected="0">
            <x v="938"/>
          </reference>
          <reference field="85" count="1" selected="0">
            <x v="7"/>
          </reference>
          <reference field="87" count="1" selected="0">
            <x v="1864"/>
          </reference>
          <reference field="88" count="1" selected="0">
            <x v="724"/>
          </reference>
        </references>
      </pivotArea>
    </format>
    <format dxfId="5511">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481"/>
          </reference>
          <reference field="82" count="1" selected="0">
            <x v="937"/>
          </reference>
          <reference field="85" count="1" selected="0">
            <x v="7"/>
          </reference>
          <reference field="87" count="1" selected="0">
            <x v="1863"/>
          </reference>
          <reference field="88" count="1" selected="0">
            <x v="723"/>
          </reference>
        </references>
      </pivotArea>
    </format>
    <format dxfId="5510">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73" count="1">
            <x v="50"/>
          </reference>
          <reference field="81" count="1" selected="0">
            <x v="2512"/>
          </reference>
          <reference field="82" count="1" selected="0">
            <x v="968"/>
          </reference>
          <reference field="85" count="1" selected="0">
            <x v="4"/>
          </reference>
          <reference field="87" count="1" selected="0">
            <x v="1894"/>
          </reference>
          <reference field="88" count="1" selected="0">
            <x v="754"/>
          </reference>
        </references>
      </pivotArea>
    </format>
    <format dxfId="5509">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73" count="1">
            <x v="50"/>
          </reference>
          <reference field="81" count="1" selected="0">
            <x v="2513"/>
          </reference>
          <reference field="82" count="1" selected="0">
            <x v="969"/>
          </reference>
          <reference field="85" count="1" selected="0">
            <x v="4"/>
          </reference>
          <reference field="87" count="1" selected="0">
            <x v="1895"/>
          </reference>
          <reference field="88" count="1" selected="0">
            <x v="755"/>
          </reference>
        </references>
      </pivotArea>
    </format>
    <format dxfId="5508">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73" count="1">
            <x v="50"/>
          </reference>
          <reference field="81" count="1" selected="0">
            <x v="2510"/>
          </reference>
          <reference field="82" count="1" selected="0">
            <x v="966"/>
          </reference>
          <reference field="85" count="1" selected="0">
            <x v="4"/>
          </reference>
          <reference field="87" count="1" selected="0">
            <x v="1892"/>
          </reference>
          <reference field="88" count="1" selected="0">
            <x v="752"/>
          </reference>
        </references>
      </pivotArea>
    </format>
    <format dxfId="5507">
      <pivotArea dataOnly="0" labelOnly="1" outline="0" fieldPosition="0">
        <references count="15">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73" count="1">
            <x v="50"/>
          </reference>
          <reference field="81" count="1" selected="0">
            <x v="2511"/>
          </reference>
          <reference field="82" count="1" selected="0">
            <x v="967"/>
          </reference>
          <reference field="85" count="1" selected="0">
            <x v="4"/>
          </reference>
          <reference field="87" count="1" selected="0">
            <x v="1893"/>
          </reference>
          <reference field="88" count="1" selected="0">
            <x v="753"/>
          </reference>
        </references>
      </pivotArea>
    </format>
    <format dxfId="5506">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73" count="1">
            <x v="50"/>
          </reference>
          <reference field="81" count="1" selected="0">
            <x v="2506"/>
          </reference>
          <reference field="82" count="1" selected="0">
            <x v="962"/>
          </reference>
          <reference field="85" count="1" selected="0">
            <x v="4"/>
          </reference>
          <reference field="87" count="1" selected="0">
            <x v="1888"/>
          </reference>
          <reference field="88" count="1" selected="0">
            <x v="748"/>
          </reference>
        </references>
      </pivotArea>
    </format>
    <format dxfId="5505">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73" count="1">
            <x v="50"/>
          </reference>
          <reference field="81" count="1" selected="0">
            <x v="2507"/>
          </reference>
          <reference field="82" count="1" selected="0">
            <x v="963"/>
          </reference>
          <reference field="85" count="1" selected="0">
            <x v="4"/>
          </reference>
          <reference field="87" count="1" selected="0">
            <x v="1889"/>
          </reference>
          <reference field="88" count="1" selected="0">
            <x v="749"/>
          </reference>
        </references>
      </pivotArea>
    </format>
    <format dxfId="5504">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73" count="1">
            <x v="50"/>
          </reference>
          <reference field="81" count="1" selected="0">
            <x v="2508"/>
          </reference>
          <reference field="82" count="1" selected="0">
            <x v="964"/>
          </reference>
          <reference field="85" count="1" selected="0">
            <x v="4"/>
          </reference>
          <reference field="87" count="1" selected="0">
            <x v="1890"/>
          </reference>
          <reference field="88" count="1" selected="0">
            <x v="750"/>
          </reference>
        </references>
      </pivotArea>
    </format>
    <format dxfId="5503">
      <pivotArea dataOnly="0" labelOnly="1" outline="0" fieldPosition="0">
        <references count="15">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73" count="1">
            <x v="50"/>
          </reference>
          <reference field="81" count="1" selected="0">
            <x v="2509"/>
          </reference>
          <reference field="82" count="1" selected="0">
            <x v="965"/>
          </reference>
          <reference field="85" count="1" selected="0">
            <x v="4"/>
          </reference>
          <reference field="87" count="1" selected="0">
            <x v="1891"/>
          </reference>
          <reference field="88" count="1" selected="0">
            <x v="751"/>
          </reference>
        </references>
      </pivotArea>
    </format>
    <format dxfId="5502">
      <pivotArea dataOnly="0" labelOnly="1" outline="0" fieldPosition="0">
        <references count="15">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5501">
      <pivotArea dataOnly="0" labelOnly="1" outline="0" fieldPosition="0">
        <references count="15">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500">
      <pivotArea dataOnly="0" labelOnly="1" outline="0" fieldPosition="0">
        <references count="15">
          <reference field="1" count="1" selected="0">
            <x v="50"/>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499">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727"/>
          </reference>
          <reference field="82" count="1" selected="0">
            <x v="1185"/>
          </reference>
          <reference field="85" count="1" selected="0">
            <x v="4"/>
          </reference>
          <reference field="87" count="1" selected="0">
            <x v="2109"/>
          </reference>
          <reference field="88" count="1" selected="0">
            <x v="971"/>
          </reference>
        </references>
      </pivotArea>
    </format>
    <format dxfId="5498">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728"/>
          </reference>
          <reference field="82" count="1" selected="0">
            <x v="1186"/>
          </reference>
          <reference field="85" count="1" selected="0">
            <x v="4"/>
          </reference>
          <reference field="87" count="1" selected="0">
            <x v="2110"/>
          </reference>
          <reference field="88" count="1" selected="0">
            <x v="972"/>
          </reference>
        </references>
      </pivotArea>
    </format>
    <format dxfId="5497">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729"/>
          </reference>
          <reference field="82" count="1" selected="0">
            <x v="1187"/>
          </reference>
          <reference field="85" count="1" selected="0">
            <x v="4"/>
          </reference>
          <reference field="87" count="1" selected="0">
            <x v="2111"/>
          </reference>
          <reference field="88" count="1" selected="0">
            <x v="973"/>
          </reference>
        </references>
      </pivotArea>
    </format>
    <format dxfId="5496">
      <pivotArea dataOnly="0" labelOnly="1" outline="0" fieldPosition="0">
        <references count="15">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730"/>
          </reference>
          <reference field="82" count="1" selected="0">
            <x v="1188"/>
          </reference>
          <reference field="85" count="1" selected="0">
            <x v="4"/>
          </reference>
          <reference field="87" count="1" selected="0">
            <x v="2112"/>
          </reference>
          <reference field="88" count="1" selected="0">
            <x v="974"/>
          </reference>
        </references>
      </pivotArea>
    </format>
    <format dxfId="5495">
      <pivotArea dataOnly="0" labelOnly="1" outline="0" fieldPosition="0">
        <references count="15">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52"/>
          </reference>
          <reference field="82" count="1" selected="0">
            <x v="1110"/>
          </reference>
          <reference field="85" count="1" selected="0">
            <x v="7"/>
          </reference>
          <reference field="87" count="1" selected="0">
            <x v="2034"/>
          </reference>
          <reference field="88" count="1" selected="0">
            <x v="896"/>
          </reference>
        </references>
      </pivotArea>
    </format>
    <format dxfId="5494">
      <pivotArea dataOnly="0" labelOnly="1" outline="0" fieldPosition="0">
        <references count="15">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67"/>
          </reference>
          <reference field="82" count="1" selected="0">
            <x v="1125"/>
          </reference>
          <reference field="85" count="1" selected="0">
            <x v="7"/>
          </reference>
          <reference field="87" count="1" selected="0">
            <x v="2049"/>
          </reference>
          <reference field="88" count="1" selected="0">
            <x v="911"/>
          </reference>
        </references>
      </pivotArea>
    </format>
    <format dxfId="5493">
      <pivotArea field="72" type="button" dataOnly="0" labelOnly="1" outline="0" axis="axisRow" fieldPosition="5"/>
    </format>
    <format dxfId="5492">
      <pivotArea field="81" type="button" dataOnly="0" labelOnly="1" outline="0" axis="axisRow" fieldPosition="8"/>
    </format>
    <format dxfId="549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37"/>
          </reference>
        </references>
      </pivotArea>
    </format>
    <format dxfId="549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38"/>
          </reference>
        </references>
      </pivotArea>
    </format>
    <format dxfId="548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23"/>
          </reference>
        </references>
      </pivotArea>
    </format>
    <format dxfId="548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24"/>
          </reference>
        </references>
      </pivotArea>
    </format>
    <format dxfId="548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25"/>
          </reference>
        </references>
      </pivotArea>
    </format>
    <format dxfId="548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26"/>
          </reference>
        </references>
      </pivotArea>
    </format>
    <format dxfId="548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43"/>
          </reference>
        </references>
      </pivotArea>
    </format>
    <format dxfId="548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42"/>
          </reference>
        </references>
      </pivotArea>
    </format>
    <format dxfId="548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70"/>
          </reference>
        </references>
      </pivotArea>
    </format>
    <format dxfId="548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71"/>
          </reference>
        </references>
      </pivotArea>
    </format>
    <format dxfId="548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68"/>
          </reference>
        </references>
      </pivotArea>
    </format>
    <format dxfId="548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69"/>
          </reference>
        </references>
      </pivotArea>
    </format>
    <format dxfId="547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43"/>
          </reference>
        </references>
      </pivotArea>
    </format>
    <format dxfId="547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42"/>
          </reference>
        </references>
      </pivotArea>
    </format>
    <format dxfId="547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65"/>
          </reference>
        </references>
      </pivotArea>
    </format>
    <format dxfId="547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66"/>
          </reference>
        </references>
      </pivotArea>
    </format>
    <format dxfId="547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68"/>
          </reference>
        </references>
      </pivotArea>
    </format>
    <format dxfId="547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64"/>
          </reference>
        </references>
      </pivotArea>
    </format>
    <format dxfId="547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41"/>
          </reference>
        </references>
      </pivotArea>
    </format>
    <format dxfId="547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42"/>
          </reference>
        </references>
      </pivotArea>
    </format>
    <format dxfId="547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77"/>
          </reference>
        </references>
      </pivotArea>
    </format>
    <format dxfId="547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78"/>
          </reference>
        </references>
      </pivotArea>
    </format>
    <format dxfId="546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557"/>
          </reference>
        </references>
      </pivotArea>
    </format>
    <format dxfId="546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560"/>
          </reference>
        </references>
      </pivotArea>
    </format>
    <format dxfId="546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58"/>
          </reference>
        </references>
      </pivotArea>
    </format>
    <format dxfId="546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59"/>
          </reference>
        </references>
      </pivotArea>
    </format>
    <format dxfId="546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33"/>
          </reference>
        </references>
      </pivotArea>
    </format>
    <format dxfId="546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34"/>
          </reference>
        </references>
      </pivotArea>
    </format>
    <format dxfId="546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15"/>
          </reference>
        </references>
      </pivotArea>
    </format>
    <format dxfId="546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16"/>
          </reference>
        </references>
      </pivotArea>
    </format>
    <format dxfId="546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17"/>
          </reference>
        </references>
      </pivotArea>
    </format>
    <format dxfId="546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18"/>
          </reference>
        </references>
      </pivotArea>
    </format>
    <format dxfId="545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87"/>
          </reference>
        </references>
      </pivotArea>
    </format>
    <format dxfId="5458">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77"/>
          </reference>
        </references>
      </pivotArea>
    </format>
    <format dxfId="545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532"/>
          </reference>
        </references>
      </pivotArea>
    </format>
    <format dxfId="545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534"/>
          </reference>
        </references>
      </pivotArea>
    </format>
    <format dxfId="545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535"/>
          </reference>
        </references>
      </pivotArea>
    </format>
    <format dxfId="545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531"/>
          </reference>
        </references>
      </pivotArea>
    </format>
    <format dxfId="545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536"/>
          </reference>
        </references>
      </pivotArea>
    </format>
    <format dxfId="545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537"/>
          </reference>
        </references>
      </pivotArea>
    </format>
    <format dxfId="545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538"/>
          </reference>
        </references>
      </pivotArea>
    </format>
    <format dxfId="545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533"/>
          </reference>
        </references>
      </pivotArea>
    </format>
    <format dxfId="544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65"/>
          </reference>
        </references>
      </pivotArea>
    </format>
    <format dxfId="544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66"/>
          </reference>
        </references>
      </pivotArea>
    </format>
    <format dxfId="544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67"/>
          </reference>
        </references>
      </pivotArea>
    </format>
    <format dxfId="544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64"/>
          </reference>
        </references>
      </pivotArea>
    </format>
    <format dxfId="544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86"/>
          </reference>
        </references>
      </pivotArea>
    </format>
    <format dxfId="544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35"/>
          </reference>
        </references>
      </pivotArea>
    </format>
    <format dxfId="544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36"/>
          </reference>
        </references>
      </pivotArea>
    </format>
    <format dxfId="544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563"/>
          </reference>
        </references>
      </pivotArea>
    </format>
    <format dxfId="544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61"/>
          </reference>
        </references>
      </pivotArea>
    </format>
    <format dxfId="544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62"/>
          </reference>
        </references>
      </pivotArea>
    </format>
    <format dxfId="543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39"/>
          </reference>
        </references>
      </pivotArea>
    </format>
    <format dxfId="543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40"/>
          </reference>
        </references>
      </pivotArea>
    </format>
    <format dxfId="543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19"/>
          </reference>
        </references>
      </pivotArea>
    </format>
    <format dxfId="543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20"/>
          </reference>
        </references>
      </pivotArea>
    </format>
    <format dxfId="543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21"/>
          </reference>
        </references>
      </pivotArea>
    </format>
    <format dxfId="543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22"/>
          </reference>
        </references>
      </pivotArea>
    </format>
    <format dxfId="543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43"/>
          </reference>
        </references>
      </pivotArea>
    </format>
    <format dxfId="543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44"/>
          </reference>
        </references>
      </pivotArea>
    </format>
    <format dxfId="543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72"/>
          </reference>
        </references>
      </pivotArea>
    </format>
    <format dxfId="543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579"/>
          </reference>
        </references>
      </pivotArea>
    </format>
    <format dxfId="542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580"/>
          </reference>
        </references>
      </pivotArea>
    </format>
    <format dxfId="542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581"/>
          </reference>
        </references>
      </pivotArea>
    </format>
    <format dxfId="542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483"/>
          </reference>
        </references>
      </pivotArea>
    </format>
    <format dxfId="542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467"/>
          </reference>
        </references>
      </pivotArea>
    </format>
    <format dxfId="542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468"/>
          </reference>
        </references>
      </pivotArea>
    </format>
    <format dxfId="542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573"/>
          </reference>
        </references>
      </pivotArea>
    </format>
    <format dxfId="542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74"/>
          </reference>
        </references>
      </pivotArea>
    </format>
    <format dxfId="542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75"/>
          </reference>
        </references>
      </pivotArea>
    </format>
    <format dxfId="542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45"/>
          </reference>
        </references>
      </pivotArea>
    </format>
    <format dxfId="542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646"/>
          </reference>
        </references>
      </pivotArea>
    </format>
    <format dxfId="541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488"/>
          </reference>
        </references>
      </pivotArea>
    </format>
    <format dxfId="541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576"/>
          </reference>
        </references>
      </pivotArea>
    </format>
    <format dxfId="541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77"/>
          </reference>
        </references>
      </pivotArea>
    </format>
    <format dxfId="541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78"/>
          </reference>
        </references>
      </pivotArea>
    </format>
    <format dxfId="5415">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52"/>
          </reference>
        </references>
      </pivotArea>
    </format>
    <format dxfId="541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585"/>
          </reference>
        </references>
      </pivotArea>
    </format>
    <format dxfId="541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586"/>
          </reference>
        </references>
      </pivotArea>
    </format>
    <format dxfId="541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587"/>
          </reference>
        </references>
      </pivotArea>
    </format>
    <format dxfId="541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460"/>
          </reference>
        </references>
      </pivotArea>
    </format>
    <format dxfId="541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61"/>
          </reference>
        </references>
      </pivotArea>
    </format>
    <format dxfId="540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523"/>
          </reference>
        </references>
      </pivotArea>
    </format>
    <format dxfId="540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524"/>
          </reference>
        </references>
      </pivotArea>
    </format>
    <format dxfId="540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521"/>
          </reference>
        </references>
      </pivotArea>
    </format>
    <format dxfId="540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522"/>
          </reference>
        </references>
      </pivotArea>
    </format>
    <format dxfId="540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582"/>
          </reference>
        </references>
      </pivotArea>
    </format>
    <format dxfId="540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583"/>
          </reference>
        </references>
      </pivotArea>
    </format>
    <format dxfId="540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584"/>
          </reference>
        </references>
      </pivotArea>
    </format>
    <format dxfId="5402">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666"/>
          </reference>
        </references>
      </pivotArea>
    </format>
    <format dxfId="5401">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76"/>
          </reference>
        </references>
      </pivotArea>
    </format>
    <format dxfId="540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546"/>
          </reference>
        </references>
      </pivotArea>
    </format>
    <format dxfId="539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545"/>
          </reference>
        </references>
      </pivotArea>
    </format>
    <format dxfId="539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547"/>
          </reference>
        </references>
      </pivotArea>
    </format>
    <format dxfId="539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484"/>
          </reference>
        </references>
      </pivotArea>
    </format>
    <format dxfId="539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75"/>
          </reference>
        </references>
      </pivotArea>
    </format>
    <format dxfId="539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527"/>
          </reference>
        </references>
      </pivotArea>
    </format>
    <format dxfId="539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528"/>
          </reference>
        </references>
      </pivotArea>
    </format>
    <format dxfId="539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525"/>
          </reference>
        </references>
      </pivotArea>
    </format>
    <format dxfId="539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526"/>
          </reference>
        </references>
      </pivotArea>
    </format>
    <format dxfId="539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42"/>
          </reference>
        </references>
      </pivotArea>
    </format>
    <format dxfId="539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43"/>
          </reference>
        </references>
      </pivotArea>
    </format>
    <format dxfId="538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44"/>
          </reference>
        </references>
      </pivotArea>
    </format>
    <format dxfId="5388">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658"/>
          </reference>
        </references>
      </pivotArea>
    </format>
    <format dxfId="538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48"/>
          </reference>
        </references>
      </pivotArea>
    </format>
    <format dxfId="538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49"/>
          </reference>
        </references>
      </pivotArea>
    </format>
    <format dxfId="538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50"/>
          </reference>
        </references>
      </pivotArea>
    </format>
    <format dxfId="538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469"/>
          </reference>
        </references>
      </pivotArea>
    </format>
    <format dxfId="538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70"/>
          </reference>
        </references>
      </pivotArea>
    </format>
    <format dxfId="538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551"/>
          </reference>
        </references>
      </pivotArea>
    </format>
    <format dxfId="538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552"/>
          </reference>
        </references>
      </pivotArea>
    </format>
    <format dxfId="538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553"/>
          </reference>
        </references>
      </pivotArea>
    </format>
    <format dxfId="537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612"/>
          </reference>
        </references>
      </pivotArea>
    </format>
    <format dxfId="537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611"/>
          </reference>
        </references>
      </pivotArea>
    </format>
    <format dxfId="537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613"/>
          </reference>
        </references>
      </pivotArea>
    </format>
    <format dxfId="537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554"/>
          </reference>
        </references>
      </pivotArea>
    </format>
    <format dxfId="537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555"/>
          </reference>
        </references>
      </pivotArea>
    </format>
    <format dxfId="537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556"/>
          </reference>
        </references>
      </pivotArea>
    </format>
    <format dxfId="5373">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649"/>
          </reference>
        </references>
      </pivotArea>
    </format>
    <format dxfId="537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53"/>
          </reference>
        </references>
      </pivotArea>
    </format>
    <format dxfId="537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54"/>
          </reference>
        </references>
      </pivotArea>
    </format>
    <format dxfId="537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55"/>
          </reference>
        </references>
      </pivotArea>
    </format>
    <format dxfId="536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56"/>
          </reference>
        </references>
      </pivotArea>
    </format>
    <format dxfId="536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76"/>
          </reference>
        </references>
      </pivotArea>
    </format>
    <format dxfId="536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77"/>
          </reference>
        </references>
      </pivotArea>
    </format>
    <format dxfId="536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78"/>
          </reference>
        </references>
      </pivotArea>
    </format>
    <format dxfId="536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79"/>
          </reference>
        </references>
      </pivotArea>
    </format>
    <format dxfId="536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449"/>
          </reference>
        </references>
      </pivotArea>
    </format>
    <format dxfId="5363">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448"/>
          </reference>
        </references>
      </pivotArea>
    </format>
    <format dxfId="536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72"/>
          </reference>
        </references>
      </pivotArea>
    </format>
    <format dxfId="536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73"/>
          </reference>
        </references>
      </pivotArea>
    </format>
    <format dxfId="536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74"/>
          </reference>
        </references>
      </pivotArea>
    </format>
    <format dxfId="535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75"/>
          </reference>
        </references>
      </pivotArea>
    </format>
    <format dxfId="535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68"/>
          </reference>
        </references>
      </pivotArea>
    </format>
    <format dxfId="535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69"/>
          </reference>
        </references>
      </pivotArea>
    </format>
    <format dxfId="535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70"/>
          </reference>
        </references>
      </pivotArea>
    </format>
    <format dxfId="535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71"/>
          </reference>
        </references>
      </pivotArea>
    </format>
    <format dxfId="535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589"/>
          </reference>
        </references>
      </pivotArea>
    </format>
    <format dxfId="535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590"/>
          </reference>
        </references>
      </pivotArea>
    </format>
    <format dxfId="535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588"/>
          </reference>
        </references>
      </pivotArea>
    </format>
    <format dxfId="535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62"/>
          </reference>
        </references>
      </pivotArea>
    </format>
    <format dxfId="535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63"/>
          </reference>
        </references>
      </pivotArea>
    </format>
    <format dxfId="534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64"/>
          </reference>
        </references>
      </pivotArea>
    </format>
    <format dxfId="534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517"/>
          </reference>
        </references>
      </pivotArea>
    </format>
    <format dxfId="534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518"/>
          </reference>
        </references>
      </pivotArea>
    </format>
    <format dxfId="534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519"/>
          </reference>
        </references>
      </pivotArea>
    </format>
    <format dxfId="534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520"/>
          </reference>
        </references>
      </pivotArea>
    </format>
    <format dxfId="534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600"/>
          </reference>
        </references>
      </pivotArea>
    </format>
    <format dxfId="534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601"/>
          </reference>
        </references>
      </pivotArea>
    </format>
    <format dxfId="534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602"/>
          </reference>
        </references>
      </pivotArea>
    </format>
    <format dxfId="534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664"/>
          </reference>
        </references>
      </pivotArea>
    </format>
    <format dxfId="534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665"/>
          </reference>
        </references>
      </pivotArea>
    </format>
    <format dxfId="533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58"/>
          </reference>
        </references>
      </pivotArea>
    </format>
    <format dxfId="533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71"/>
          </reference>
        </references>
      </pivotArea>
    </format>
    <format dxfId="533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72"/>
          </reference>
        </references>
      </pivotArea>
    </format>
    <format dxfId="533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65"/>
          </reference>
        </references>
      </pivotArea>
    </format>
    <format dxfId="533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66"/>
          </reference>
        </references>
      </pivotArea>
    </format>
    <format dxfId="533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64"/>
          </reference>
        </references>
      </pivotArea>
    </format>
    <format dxfId="533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514"/>
          </reference>
        </references>
      </pivotArea>
    </format>
    <format dxfId="533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512"/>
          </reference>
        </references>
      </pivotArea>
    </format>
    <format dxfId="533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515"/>
          </reference>
        </references>
      </pivotArea>
    </format>
    <format dxfId="533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516"/>
          </reference>
        </references>
      </pivotArea>
    </format>
    <format dxfId="532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597"/>
          </reference>
        </references>
      </pivotArea>
    </format>
    <format dxfId="532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598"/>
          </reference>
        </references>
      </pivotArea>
    </format>
    <format dxfId="532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599"/>
          </reference>
        </references>
      </pivotArea>
    </format>
    <format dxfId="5326">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663"/>
          </reference>
        </references>
      </pivotArea>
    </format>
    <format dxfId="532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59"/>
          </reference>
        </references>
      </pivotArea>
    </format>
    <format dxfId="532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73"/>
          </reference>
        </references>
      </pivotArea>
    </format>
    <format dxfId="532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74"/>
          </reference>
        </references>
      </pivotArea>
    </format>
    <format dxfId="532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453"/>
          </reference>
        </references>
      </pivotArea>
    </format>
    <format dxfId="532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452"/>
          </reference>
        </references>
      </pivotArea>
    </format>
    <format dxfId="532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450"/>
          </reference>
        </references>
      </pivotArea>
    </format>
    <format dxfId="531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451"/>
          </reference>
        </references>
      </pivotArea>
    </format>
    <format dxfId="5318">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529"/>
          </reference>
        </references>
      </pivotArea>
    </format>
    <format dxfId="531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591"/>
          </reference>
        </references>
      </pivotArea>
    </format>
    <format dxfId="531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592"/>
          </reference>
        </references>
      </pivotArea>
    </format>
    <format dxfId="531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593"/>
          </reference>
        </references>
      </pivotArea>
    </format>
    <format dxfId="531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04"/>
          </reference>
        </references>
      </pivotArea>
    </format>
    <format dxfId="531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05"/>
          </reference>
        </references>
      </pivotArea>
    </format>
    <format dxfId="531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03"/>
          </reference>
        </references>
      </pivotArea>
    </format>
    <format dxfId="5311">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530"/>
          </reference>
        </references>
      </pivotArea>
    </format>
    <format dxfId="531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594"/>
          </reference>
        </references>
      </pivotArea>
    </format>
    <format dxfId="530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595"/>
          </reference>
        </references>
      </pivotArea>
    </format>
    <format dxfId="530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596"/>
          </reference>
        </references>
      </pivotArea>
    </format>
    <format dxfId="530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607"/>
          </reference>
        </references>
      </pivotArea>
    </format>
    <format dxfId="530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608"/>
          </reference>
        </references>
      </pivotArea>
    </format>
    <format dxfId="530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609"/>
          </reference>
        </references>
      </pivotArea>
    </format>
    <format dxfId="530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606"/>
          </reference>
        </references>
      </pivotArea>
    </format>
    <format dxfId="530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610"/>
          </reference>
        </references>
      </pivotArea>
    </format>
    <format dxfId="530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661"/>
          </reference>
        </references>
      </pivotArea>
    </format>
    <format dxfId="530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662"/>
          </reference>
        </references>
      </pivotArea>
    </format>
    <format dxfId="530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732"/>
          </reference>
        </references>
      </pivotArea>
    </format>
    <format dxfId="529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733"/>
          </reference>
        </references>
      </pivotArea>
    </format>
    <format dxfId="529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734"/>
          </reference>
        </references>
      </pivotArea>
    </format>
    <format dxfId="529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731"/>
          </reference>
        </references>
      </pivotArea>
    </format>
    <format dxfId="529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740"/>
          </reference>
        </references>
      </pivotArea>
    </format>
    <format dxfId="529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741"/>
          </reference>
        </references>
      </pivotArea>
    </format>
    <format dxfId="529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742"/>
          </reference>
        </references>
      </pivotArea>
    </format>
    <format dxfId="529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739"/>
          </reference>
        </references>
      </pivotArea>
    </format>
    <format dxfId="529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737"/>
          </reference>
        </references>
      </pivotArea>
    </format>
    <format dxfId="529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738"/>
          </reference>
        </references>
      </pivotArea>
    </format>
    <format dxfId="529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736"/>
          </reference>
        </references>
      </pivotArea>
    </format>
    <format dxfId="528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735"/>
          </reference>
        </references>
      </pivotArea>
    </format>
    <format dxfId="528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479"/>
          </reference>
        </references>
      </pivotArea>
    </format>
    <format dxfId="528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480"/>
          </reference>
        </references>
      </pivotArea>
    </format>
    <format dxfId="528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632"/>
          </reference>
        </references>
      </pivotArea>
    </format>
    <format dxfId="528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749"/>
          </reference>
        </references>
      </pivotArea>
    </format>
    <format dxfId="528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750"/>
          </reference>
        </references>
      </pivotArea>
    </format>
    <format dxfId="528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752"/>
          </reference>
        </references>
      </pivotArea>
    </format>
    <format dxfId="528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98"/>
          </reference>
        </references>
      </pivotArea>
    </format>
    <format dxfId="528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01"/>
          </reference>
        </references>
      </pivotArea>
    </format>
    <format dxfId="528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99"/>
          </reference>
        </references>
      </pivotArea>
    </format>
    <format dxfId="527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00"/>
          </reference>
        </references>
      </pivotArea>
    </format>
    <format dxfId="527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98"/>
          </reference>
        </references>
      </pivotArea>
    </format>
    <format dxfId="527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94"/>
          </reference>
        </references>
      </pivotArea>
    </format>
    <format dxfId="527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95"/>
          </reference>
        </references>
      </pivotArea>
    </format>
    <format dxfId="527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96"/>
          </reference>
        </references>
      </pivotArea>
    </format>
    <format dxfId="527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97"/>
          </reference>
        </references>
      </pivotArea>
    </format>
    <format dxfId="527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94"/>
          </reference>
        </references>
      </pivotArea>
    </format>
    <format dxfId="527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97"/>
          </reference>
        </references>
      </pivotArea>
    </format>
    <format dxfId="527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95"/>
          </reference>
        </references>
      </pivotArea>
    </format>
    <format dxfId="527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96"/>
          </reference>
        </references>
      </pivotArea>
    </format>
    <format dxfId="526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93"/>
          </reference>
        </references>
      </pivotArea>
    </format>
    <format dxfId="526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89"/>
          </reference>
        </references>
      </pivotArea>
    </format>
    <format dxfId="526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90"/>
          </reference>
        </references>
      </pivotArea>
    </format>
    <format dxfId="526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91"/>
          </reference>
        </references>
      </pivotArea>
    </format>
    <format dxfId="526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92"/>
          </reference>
        </references>
      </pivotArea>
    </format>
    <format dxfId="526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39"/>
          </reference>
        </references>
      </pivotArea>
    </format>
    <format dxfId="526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34"/>
          </reference>
        </references>
      </pivotArea>
    </format>
    <format dxfId="526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40"/>
          </reference>
        </references>
      </pivotArea>
    </format>
    <format dxfId="526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41"/>
          </reference>
        </references>
      </pivotArea>
    </format>
    <format dxfId="526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88"/>
          </reference>
        </references>
      </pivotArea>
    </format>
    <format dxfId="525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84"/>
          </reference>
        </references>
      </pivotArea>
    </format>
    <format dxfId="525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85"/>
          </reference>
        </references>
      </pivotArea>
    </format>
    <format dxfId="525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86"/>
          </reference>
        </references>
      </pivotArea>
    </format>
    <format dxfId="525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87"/>
          </reference>
        </references>
      </pivotArea>
    </format>
    <format dxfId="525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745"/>
          </reference>
        </references>
      </pivotArea>
    </format>
    <format dxfId="525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748"/>
          </reference>
        </references>
      </pivotArea>
    </format>
    <format dxfId="525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746"/>
          </reference>
        </references>
      </pivotArea>
    </format>
    <format dxfId="525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747"/>
          </reference>
        </references>
      </pivotArea>
    </format>
    <format dxfId="525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07"/>
          </reference>
        </references>
      </pivotArea>
    </format>
    <format dxfId="525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08"/>
          </reference>
        </references>
      </pivotArea>
    </format>
    <format dxfId="524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09"/>
          </reference>
        </references>
      </pivotArea>
    </format>
    <format dxfId="524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710"/>
          </reference>
        </references>
      </pivotArea>
    </format>
    <format dxfId="524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711"/>
          </reference>
        </references>
      </pivotArea>
    </format>
    <format dxfId="524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712"/>
          </reference>
        </references>
      </pivotArea>
    </format>
    <format dxfId="524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713"/>
          </reference>
        </references>
      </pivotArea>
    </format>
    <format dxfId="524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714"/>
          </reference>
        </references>
      </pivotArea>
    </format>
    <format dxfId="524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680"/>
          </reference>
        </references>
      </pivotArea>
    </format>
    <format dxfId="524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682"/>
          </reference>
        </references>
      </pivotArea>
    </format>
    <format dxfId="524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683"/>
          </reference>
        </references>
      </pivotArea>
    </format>
    <format dxfId="524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681"/>
          </reference>
        </references>
      </pivotArea>
    </format>
    <format dxfId="523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630"/>
          </reference>
        </references>
      </pivotArea>
    </format>
    <format dxfId="523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631"/>
          </reference>
        </references>
      </pivotArea>
    </format>
    <format dxfId="523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629"/>
          </reference>
        </references>
      </pivotArea>
    </format>
    <format dxfId="523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02"/>
          </reference>
        </references>
      </pivotArea>
    </format>
    <format dxfId="523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505"/>
          </reference>
        </references>
      </pivotArea>
    </format>
    <format dxfId="523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03"/>
          </reference>
        </references>
      </pivotArea>
    </format>
    <format dxfId="523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04"/>
          </reference>
        </references>
      </pivotArea>
    </format>
    <format dxfId="523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99"/>
          </reference>
        </references>
      </pivotArea>
    </format>
    <format dxfId="523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00"/>
          </reference>
        </references>
      </pivotArea>
    </format>
    <format dxfId="523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01"/>
          </reference>
        </references>
      </pivotArea>
    </format>
    <format dxfId="522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02"/>
          </reference>
        </references>
      </pivotArea>
    </format>
    <format dxfId="522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703"/>
          </reference>
        </references>
      </pivotArea>
    </format>
    <format dxfId="522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704"/>
          </reference>
        </references>
      </pivotArea>
    </format>
    <format dxfId="522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705"/>
          </reference>
        </references>
      </pivotArea>
    </format>
    <format dxfId="522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706"/>
          </reference>
        </references>
      </pivotArea>
    </format>
    <format dxfId="522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455"/>
          </reference>
        </references>
      </pivotArea>
    </format>
    <format dxfId="522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757"/>
          </reference>
        </references>
      </pivotArea>
    </format>
    <format dxfId="522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92"/>
          </reference>
        </references>
      </pivotArea>
    </format>
    <format dxfId="522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456"/>
          </reference>
        </references>
      </pivotArea>
    </format>
    <format dxfId="522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93"/>
          </reference>
        </references>
      </pivotArea>
    </format>
    <format dxfId="5219">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521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759"/>
          </reference>
        </references>
      </pivotArea>
    </format>
    <format dxfId="521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761"/>
          </reference>
        </references>
      </pivotArea>
    </format>
    <format dxfId="5216">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5215">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21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760"/>
          </reference>
        </references>
      </pivotArea>
    </format>
    <format dxfId="521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485"/>
          </reference>
        </references>
      </pivotArea>
    </format>
    <format dxfId="521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762"/>
          </reference>
        </references>
      </pivotArea>
    </format>
    <format dxfId="5211">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210">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5209">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5208">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454"/>
          </reference>
        </references>
      </pivotArea>
    </format>
    <format dxfId="5207">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751"/>
          </reference>
        </references>
      </pivotArea>
    </format>
    <format dxfId="52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615"/>
            <x v="2618"/>
          </reference>
        </references>
      </pivotArea>
    </format>
    <format dxfId="52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616"/>
            <x v="2619"/>
          </reference>
        </references>
      </pivotArea>
    </format>
    <format dxfId="52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624"/>
          </reference>
        </references>
      </pivotArea>
    </format>
    <format dxfId="52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622"/>
          </reference>
        </references>
      </pivotArea>
    </format>
    <format dxfId="52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621"/>
          </reference>
        </references>
      </pivotArea>
    </format>
    <format dxfId="52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620"/>
          </reference>
        </references>
      </pivotArea>
    </format>
    <format dxfId="52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614"/>
            <x v="2617"/>
          </reference>
        </references>
      </pivotArea>
    </format>
    <format dxfId="51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623"/>
          </reference>
        </references>
      </pivotArea>
    </format>
    <format dxfId="5198">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758"/>
          </reference>
        </references>
      </pivotArea>
    </format>
    <format dxfId="5197">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491"/>
          </reference>
        </references>
      </pivotArea>
    </format>
    <format dxfId="5196">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89"/>
          </reference>
        </references>
      </pivotArea>
    </format>
    <format dxfId="519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626"/>
            <x v="2628"/>
          </reference>
        </references>
      </pivotArea>
    </format>
    <format dxfId="519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625"/>
            <x v="2627"/>
          </reference>
        </references>
      </pivotArea>
    </format>
    <format dxfId="5193">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90"/>
          </reference>
        </references>
      </pivotArea>
    </format>
    <format dxfId="5192">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43"/>
          </reference>
        </references>
      </pivotArea>
    </format>
    <format dxfId="5191">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44"/>
          </reference>
        </references>
      </pivotArea>
    </format>
    <format dxfId="519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651"/>
          </reference>
        </references>
      </pivotArea>
    </format>
    <format dxfId="518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657"/>
          </reference>
        </references>
      </pivotArea>
    </format>
    <format dxfId="518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482"/>
          </reference>
        </references>
      </pivotArea>
    </format>
    <format dxfId="5187">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481"/>
          </reference>
        </references>
      </pivotArea>
    </format>
    <format dxfId="5186">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2512"/>
          </reference>
        </references>
      </pivotArea>
    </format>
    <format dxfId="5185">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2513"/>
          </reference>
        </references>
      </pivotArea>
    </format>
    <format dxfId="5184">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2510"/>
          </reference>
        </references>
      </pivotArea>
    </format>
    <format dxfId="5183">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2511"/>
          </reference>
        </references>
      </pivotArea>
    </format>
    <format dxfId="5182">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2506"/>
          </reference>
        </references>
      </pivotArea>
    </format>
    <format dxfId="5181">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2507"/>
          </reference>
        </references>
      </pivotArea>
    </format>
    <format dxfId="5180">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2508"/>
          </reference>
        </references>
      </pivotArea>
    </format>
    <format dxfId="5179">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2509"/>
          </reference>
        </references>
      </pivotArea>
    </format>
    <format dxfId="517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727"/>
          </reference>
        </references>
      </pivotArea>
    </format>
    <format dxfId="517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728"/>
          </reference>
        </references>
      </pivotArea>
    </format>
    <format dxfId="5176">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729"/>
          </reference>
        </references>
      </pivotArea>
    </format>
    <format dxfId="5175">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730"/>
          </reference>
        </references>
      </pivotArea>
    </format>
    <format dxfId="5174">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52"/>
          </reference>
        </references>
      </pivotArea>
    </format>
    <format dxfId="5173">
      <pivotArea dataOnly="0" labelOnly="1" outline="0" fieldPosition="0">
        <references count="9">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67"/>
          </reference>
        </references>
      </pivotArea>
    </format>
    <format dxfId="5172">
      <pivotArea field="82" type="button" dataOnly="0" labelOnly="1" outline="0" axis="axisRow" fieldPosition="9"/>
    </format>
    <format dxfId="5171">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37"/>
          </reference>
          <reference field="82" count="1">
            <x v="1095"/>
          </reference>
        </references>
      </pivotArea>
    </format>
    <format dxfId="517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38"/>
          </reference>
          <reference field="82" count="1">
            <x v="1096"/>
          </reference>
        </references>
      </pivotArea>
    </format>
    <format dxfId="516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23"/>
          </reference>
          <reference field="82" count="1">
            <x v="1181"/>
          </reference>
        </references>
      </pivotArea>
    </format>
    <format dxfId="516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24"/>
          </reference>
          <reference field="82" count="1">
            <x v="1182"/>
          </reference>
        </references>
      </pivotArea>
    </format>
    <format dxfId="516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25"/>
          </reference>
          <reference field="82" count="1">
            <x v="1183"/>
          </reference>
        </references>
      </pivotArea>
    </format>
    <format dxfId="516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26"/>
          </reference>
          <reference field="82" count="1">
            <x v="1184"/>
          </reference>
        </references>
      </pivotArea>
    </format>
    <format dxfId="516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x v="1101"/>
          </reference>
        </references>
      </pivotArea>
    </format>
    <format dxfId="516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x v="1100"/>
          </reference>
        </references>
      </pivotArea>
    </format>
    <format dxfId="516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70"/>
          </reference>
          <reference field="82" count="1">
            <x v="1028"/>
          </reference>
        </references>
      </pivotArea>
    </format>
    <format dxfId="516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71"/>
          </reference>
          <reference field="82" count="1">
            <x v="1029"/>
          </reference>
        </references>
      </pivotArea>
    </format>
    <format dxfId="516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x v="1026"/>
          </reference>
        </references>
      </pivotArea>
    </format>
    <format dxfId="516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69"/>
          </reference>
          <reference field="82" count="1">
            <x v="1027"/>
          </reference>
        </references>
      </pivotArea>
    </format>
    <format dxfId="515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x v="1101"/>
          </reference>
        </references>
      </pivotArea>
    </format>
    <format dxfId="515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x v="1100"/>
          </reference>
        </references>
      </pivotArea>
    </format>
    <format dxfId="515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x v="1023"/>
          </reference>
        </references>
      </pivotArea>
    </format>
    <format dxfId="515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x v="1024"/>
          </reference>
        </references>
      </pivotArea>
    </format>
    <format dxfId="515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x v="1026"/>
          </reference>
        </references>
      </pivotArea>
    </format>
    <format dxfId="515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x v="1022"/>
          </reference>
        </references>
      </pivotArea>
    </format>
    <format dxfId="515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41"/>
          </reference>
          <reference field="82" count="1">
            <x v="1099"/>
          </reference>
        </references>
      </pivotArea>
    </format>
    <format dxfId="515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x v="1100"/>
          </reference>
        </references>
      </pivotArea>
    </format>
    <format dxfId="515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x v="932"/>
          </reference>
        </references>
      </pivotArea>
    </format>
    <format dxfId="515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78"/>
          </reference>
          <reference field="82" count="1">
            <x v="934"/>
          </reference>
        </references>
      </pivotArea>
    </format>
    <format dxfId="514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557"/>
          </reference>
          <reference field="82" count="1">
            <x v="1015"/>
          </reference>
        </references>
      </pivotArea>
    </format>
    <format dxfId="514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560"/>
          </reference>
          <reference field="82" count="1">
            <x v="1018"/>
          </reference>
        </references>
      </pivotArea>
    </format>
    <format dxfId="514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58"/>
          </reference>
          <reference field="82" count="1">
            <x v="1016"/>
          </reference>
        </references>
      </pivotArea>
    </format>
    <format dxfId="514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59"/>
          </reference>
          <reference field="82" count="1">
            <x v="1017"/>
          </reference>
        </references>
      </pivotArea>
    </format>
    <format dxfId="514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33"/>
          </reference>
          <reference field="82" count="1">
            <x v="1091"/>
          </reference>
        </references>
      </pivotArea>
    </format>
    <format dxfId="514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34"/>
          </reference>
          <reference field="82" count="1">
            <x v="1092"/>
          </reference>
        </references>
      </pivotArea>
    </format>
    <format dxfId="514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15"/>
          </reference>
          <reference field="82" count="1">
            <x v="1173"/>
          </reference>
        </references>
      </pivotArea>
    </format>
    <format dxfId="514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16"/>
          </reference>
          <reference field="82" count="1">
            <x v="1174"/>
          </reference>
        </references>
      </pivotArea>
    </format>
    <format dxfId="514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17"/>
          </reference>
          <reference field="82" count="1">
            <x v="1175"/>
          </reference>
        </references>
      </pivotArea>
    </format>
    <format dxfId="514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18"/>
          </reference>
          <reference field="82" count="1">
            <x v="1176"/>
          </reference>
        </references>
      </pivotArea>
    </format>
    <format dxfId="513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x v="943"/>
          </reference>
        </references>
      </pivotArea>
    </format>
    <format dxfId="513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x v="933"/>
          </reference>
        </references>
      </pivotArea>
    </format>
    <format dxfId="513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532"/>
          </reference>
          <reference field="82" count="1">
            <x v="989"/>
          </reference>
        </references>
      </pivotArea>
    </format>
    <format dxfId="513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534"/>
          </reference>
          <reference field="82" count="1">
            <x v="991"/>
          </reference>
        </references>
      </pivotArea>
    </format>
    <format dxfId="513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535"/>
          </reference>
          <reference field="82" count="1">
            <x v="992"/>
          </reference>
        </references>
      </pivotArea>
    </format>
    <format dxfId="513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531"/>
          </reference>
          <reference field="82" count="1">
            <x v="988"/>
          </reference>
        </references>
      </pivotArea>
    </format>
    <format dxfId="513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536"/>
          </reference>
          <reference field="82" count="1">
            <x v="993"/>
          </reference>
        </references>
      </pivotArea>
    </format>
    <format dxfId="513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537"/>
          </reference>
          <reference field="82" count="1">
            <x v="994"/>
          </reference>
        </references>
      </pivotArea>
    </format>
    <format dxfId="513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538"/>
          </reference>
          <reference field="82" count="1">
            <x v="995"/>
          </reference>
        </references>
      </pivotArea>
    </format>
    <format dxfId="513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533"/>
          </reference>
          <reference field="82" count="1">
            <x v="990"/>
          </reference>
        </references>
      </pivotArea>
    </format>
    <format dxfId="512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x v="1023"/>
          </reference>
        </references>
      </pivotArea>
    </format>
    <format dxfId="512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x v="1024"/>
          </reference>
        </references>
      </pivotArea>
    </format>
    <format dxfId="512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67"/>
          </reference>
          <reference field="82" count="1">
            <x v="1025"/>
          </reference>
        </references>
      </pivotArea>
    </format>
    <format dxfId="512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x v="1022"/>
          </reference>
        </references>
      </pivotArea>
    </format>
    <format dxfId="5125">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86"/>
          </reference>
          <reference field="82" count="1">
            <x v="942"/>
          </reference>
        </references>
      </pivotArea>
    </format>
    <format dxfId="512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35"/>
          </reference>
          <reference field="82" count="1">
            <x v="1093"/>
          </reference>
        </references>
      </pivotArea>
    </format>
    <format dxfId="512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36"/>
          </reference>
          <reference field="82" count="1">
            <x v="1094"/>
          </reference>
        </references>
      </pivotArea>
    </format>
    <format dxfId="512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563"/>
          </reference>
          <reference field="82" count="1">
            <x v="1021"/>
          </reference>
        </references>
      </pivotArea>
    </format>
    <format dxfId="512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61"/>
          </reference>
          <reference field="82" count="1">
            <x v="1019"/>
          </reference>
        </references>
      </pivotArea>
    </format>
    <format dxfId="512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62"/>
          </reference>
          <reference field="82" count="1">
            <x v="1020"/>
          </reference>
        </references>
      </pivotArea>
    </format>
    <format dxfId="511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39"/>
          </reference>
          <reference field="82" count="1">
            <x v="1097"/>
          </reference>
        </references>
      </pivotArea>
    </format>
    <format dxfId="511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40"/>
          </reference>
          <reference field="82" count="1">
            <x v="1098"/>
          </reference>
        </references>
      </pivotArea>
    </format>
    <format dxfId="511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19"/>
          </reference>
          <reference field="82" count="1">
            <x v="1177"/>
          </reference>
        </references>
      </pivotArea>
    </format>
    <format dxfId="511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20"/>
          </reference>
          <reference field="82" count="1">
            <x v="1178"/>
          </reference>
        </references>
      </pivotArea>
    </format>
    <format dxfId="511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21"/>
          </reference>
          <reference field="82" count="1">
            <x v="1179"/>
          </reference>
        </references>
      </pivotArea>
    </format>
    <format dxfId="511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22"/>
          </reference>
          <reference field="82" count="1">
            <x v="1180"/>
          </reference>
        </references>
      </pivotArea>
    </format>
    <format dxfId="511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x v="1101"/>
          </reference>
        </references>
      </pivotArea>
    </format>
    <format dxfId="511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44"/>
          </reference>
          <reference field="82" count="1">
            <x v="1102"/>
          </reference>
        </references>
      </pivotArea>
    </format>
    <format dxfId="5111">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72"/>
          </reference>
          <reference field="82" count="1">
            <x v="1030"/>
          </reference>
        </references>
      </pivotArea>
    </format>
    <format dxfId="511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579"/>
          </reference>
          <reference field="82" count="1">
            <x v="1037"/>
          </reference>
        </references>
      </pivotArea>
    </format>
    <format dxfId="510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580"/>
          </reference>
          <reference field="82" count="1">
            <x v="1038"/>
          </reference>
        </references>
      </pivotArea>
    </format>
    <format dxfId="510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581"/>
          </reference>
          <reference field="82" count="1">
            <x v="1039"/>
          </reference>
        </references>
      </pivotArea>
    </format>
    <format dxfId="5107">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483"/>
          </reference>
          <reference field="82" count="1">
            <x v="939"/>
          </reference>
        </references>
      </pivotArea>
    </format>
    <format dxfId="5106">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467"/>
          </reference>
          <reference field="82" count="1">
            <x v="922"/>
          </reference>
        </references>
      </pivotArea>
    </format>
    <format dxfId="5105">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468"/>
          </reference>
          <reference field="82" count="1">
            <x v="923"/>
          </reference>
        </references>
      </pivotArea>
    </format>
    <format dxfId="510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573"/>
          </reference>
          <reference field="82" count="1">
            <x v="1031"/>
          </reference>
        </references>
      </pivotArea>
    </format>
    <format dxfId="510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74"/>
          </reference>
          <reference field="82" count="1">
            <x v="1032"/>
          </reference>
        </references>
      </pivotArea>
    </format>
    <format dxfId="510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75"/>
          </reference>
          <reference field="82" count="1">
            <x v="1033"/>
          </reference>
        </references>
      </pivotArea>
    </format>
    <format dxfId="5101">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45"/>
          </reference>
          <reference field="82" count="1">
            <x v="1103"/>
          </reference>
        </references>
      </pivotArea>
    </format>
    <format dxfId="510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646"/>
          </reference>
          <reference field="82" count="1">
            <x v="1104"/>
          </reference>
        </references>
      </pivotArea>
    </format>
    <format dxfId="5099">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488"/>
          </reference>
          <reference field="82" count="1">
            <x v="944"/>
          </reference>
        </references>
      </pivotArea>
    </format>
    <format dxfId="509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576"/>
          </reference>
          <reference field="82" count="1">
            <x v="1034"/>
          </reference>
        </references>
      </pivotArea>
    </format>
    <format dxfId="509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77"/>
          </reference>
          <reference field="82" count="1">
            <x v="1035"/>
          </reference>
        </references>
      </pivotArea>
    </format>
    <format dxfId="509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78"/>
          </reference>
          <reference field="82" count="1">
            <x v="1036"/>
          </reference>
        </references>
      </pivotArea>
    </format>
    <format dxfId="5095">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x v="1110"/>
          </reference>
        </references>
      </pivotArea>
    </format>
    <format dxfId="509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585"/>
          </reference>
          <reference field="82" count="1">
            <x v="1043"/>
          </reference>
        </references>
      </pivotArea>
    </format>
    <format dxfId="509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586"/>
          </reference>
          <reference field="82" count="1">
            <x v="1044"/>
          </reference>
        </references>
      </pivotArea>
    </format>
    <format dxfId="509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587"/>
          </reference>
          <reference field="82" count="1">
            <x v="1045"/>
          </reference>
        </references>
      </pivotArea>
    </format>
    <format dxfId="5091">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460"/>
          </reference>
          <reference field="82" count="1">
            <x v="915"/>
          </reference>
        </references>
      </pivotArea>
    </format>
    <format dxfId="509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61"/>
          </reference>
          <reference field="82" count="1">
            <x v="916"/>
          </reference>
        </references>
      </pivotArea>
    </format>
    <format dxfId="508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523"/>
          </reference>
          <reference field="82" count="1">
            <x v="980"/>
          </reference>
        </references>
      </pivotArea>
    </format>
    <format dxfId="508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524"/>
          </reference>
          <reference field="82" count="1">
            <x v="981"/>
          </reference>
        </references>
      </pivotArea>
    </format>
    <format dxfId="508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521"/>
          </reference>
          <reference field="82" count="1">
            <x v="978"/>
          </reference>
        </references>
      </pivotArea>
    </format>
    <format dxfId="508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522"/>
          </reference>
          <reference field="82" count="1">
            <x v="979"/>
          </reference>
        </references>
      </pivotArea>
    </format>
    <format dxfId="508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582"/>
          </reference>
          <reference field="82" count="1">
            <x v="1040"/>
          </reference>
        </references>
      </pivotArea>
    </format>
    <format dxfId="508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583"/>
          </reference>
          <reference field="82" count="1">
            <x v="1041"/>
          </reference>
        </references>
      </pivotArea>
    </format>
    <format dxfId="508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584"/>
          </reference>
          <reference field="82" count="1">
            <x v="1042"/>
          </reference>
        </references>
      </pivotArea>
    </format>
    <format dxfId="5082">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666"/>
          </reference>
          <reference field="82" count="1">
            <x v="1124"/>
          </reference>
        </references>
      </pivotArea>
    </format>
    <format dxfId="5081">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76"/>
          </reference>
          <reference field="82" count="1">
            <x v="931"/>
          </reference>
        </references>
      </pivotArea>
    </format>
    <format dxfId="508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546"/>
          </reference>
          <reference field="82" count="1">
            <x v="1004"/>
          </reference>
        </references>
      </pivotArea>
    </format>
    <format dxfId="507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545"/>
          </reference>
          <reference field="82" count="1">
            <x v="1003"/>
          </reference>
        </references>
      </pivotArea>
    </format>
    <format dxfId="507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547"/>
          </reference>
          <reference field="82" count="1">
            <x v="1005"/>
          </reference>
        </references>
      </pivotArea>
    </format>
    <format dxfId="5077">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484"/>
          </reference>
          <reference field="82" count="1">
            <x v="940"/>
          </reference>
        </references>
      </pivotArea>
    </format>
    <format dxfId="507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75"/>
          </reference>
          <reference field="82" count="1">
            <x v="930"/>
          </reference>
        </references>
      </pivotArea>
    </format>
    <format dxfId="507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527"/>
          </reference>
          <reference field="82" count="1">
            <x v="984"/>
          </reference>
        </references>
      </pivotArea>
    </format>
    <format dxfId="507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528"/>
          </reference>
          <reference field="82" count="1">
            <x v="985"/>
          </reference>
        </references>
      </pivotArea>
    </format>
    <format dxfId="507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525"/>
          </reference>
          <reference field="82" count="1">
            <x v="982"/>
          </reference>
        </references>
      </pivotArea>
    </format>
    <format dxfId="507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526"/>
          </reference>
          <reference field="82" count="1">
            <x v="983"/>
          </reference>
        </references>
      </pivotArea>
    </format>
    <format dxfId="507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42"/>
          </reference>
          <reference field="82" count="1">
            <x v="1000"/>
          </reference>
        </references>
      </pivotArea>
    </format>
    <format dxfId="507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43"/>
          </reference>
          <reference field="82" count="1">
            <x v="1001"/>
          </reference>
        </references>
      </pivotArea>
    </format>
    <format dxfId="506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44"/>
          </reference>
          <reference field="82" count="1">
            <x v="1002"/>
          </reference>
        </references>
      </pivotArea>
    </format>
    <format dxfId="5068">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658"/>
          </reference>
          <reference field="82" count="1">
            <x v="1116"/>
          </reference>
        </references>
      </pivotArea>
    </format>
    <format dxfId="506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48"/>
          </reference>
          <reference field="82" count="1">
            <x v="1006"/>
          </reference>
        </references>
      </pivotArea>
    </format>
    <format dxfId="506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49"/>
          </reference>
          <reference field="82" count="1">
            <x v="1007"/>
          </reference>
        </references>
      </pivotArea>
    </format>
    <format dxfId="506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50"/>
          </reference>
          <reference field="82" count="1">
            <x v="1008"/>
          </reference>
        </references>
      </pivotArea>
    </format>
    <format dxfId="5064">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469"/>
          </reference>
          <reference field="82" count="1">
            <x v="924"/>
          </reference>
        </references>
      </pivotArea>
    </format>
    <format dxfId="506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70"/>
          </reference>
          <reference field="82" count="1">
            <x v="925"/>
          </reference>
        </references>
      </pivotArea>
    </format>
    <format dxfId="506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551"/>
          </reference>
          <reference field="82" count="1">
            <x v="1009"/>
          </reference>
        </references>
      </pivotArea>
    </format>
    <format dxfId="506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552"/>
          </reference>
          <reference field="82" count="1">
            <x v="1010"/>
          </reference>
        </references>
      </pivotArea>
    </format>
    <format dxfId="506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553"/>
          </reference>
          <reference field="82" count="1">
            <x v="1011"/>
          </reference>
        </references>
      </pivotArea>
    </format>
    <format dxfId="505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612"/>
          </reference>
          <reference field="82" count="1">
            <x v="1070"/>
          </reference>
        </references>
      </pivotArea>
    </format>
    <format dxfId="505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611"/>
          </reference>
          <reference field="82" count="1">
            <x v="1069"/>
          </reference>
        </references>
      </pivotArea>
    </format>
    <format dxfId="505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613"/>
          </reference>
          <reference field="82" count="1">
            <x v="1071"/>
          </reference>
        </references>
      </pivotArea>
    </format>
    <format dxfId="505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554"/>
          </reference>
          <reference field="82" count="1">
            <x v="1012"/>
          </reference>
        </references>
      </pivotArea>
    </format>
    <format dxfId="505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555"/>
          </reference>
          <reference field="82" count="1">
            <x v="1013"/>
          </reference>
        </references>
      </pivotArea>
    </format>
    <format dxfId="505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556"/>
          </reference>
          <reference field="82" count="1">
            <x v="1014"/>
          </reference>
        </references>
      </pivotArea>
    </format>
    <format dxfId="5053">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649"/>
          </reference>
          <reference field="82" count="1">
            <x v="1107"/>
          </reference>
        </references>
      </pivotArea>
    </format>
    <format dxfId="505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53"/>
          </reference>
          <reference field="82" count="1">
            <x v="1211"/>
          </reference>
        </references>
      </pivotArea>
    </format>
    <format dxfId="505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54"/>
          </reference>
          <reference field="82" count="1">
            <x v="1212"/>
          </reference>
        </references>
      </pivotArea>
    </format>
    <format dxfId="505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55"/>
          </reference>
          <reference field="82" count="1">
            <x v="1213"/>
          </reference>
        </references>
      </pivotArea>
    </format>
    <format dxfId="504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56"/>
          </reference>
          <reference field="82" count="1">
            <x v="1214"/>
          </reference>
        </references>
      </pivotArea>
    </format>
    <format dxfId="504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76"/>
          </reference>
          <reference field="82" count="1">
            <x v="1134"/>
          </reference>
        </references>
      </pivotArea>
    </format>
    <format dxfId="504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77"/>
          </reference>
          <reference field="82" count="1">
            <x v="1135"/>
          </reference>
        </references>
      </pivotArea>
    </format>
    <format dxfId="504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78"/>
          </reference>
          <reference field="82" count="1">
            <x v="1136"/>
          </reference>
        </references>
      </pivotArea>
    </format>
    <format dxfId="504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79"/>
          </reference>
          <reference field="82" count="1">
            <x v="1137"/>
          </reference>
        </references>
      </pivotArea>
    </format>
    <format dxfId="5044">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449"/>
          </reference>
          <reference field="82" count="1">
            <x v="904"/>
          </reference>
        </references>
      </pivotArea>
    </format>
    <format dxfId="504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448"/>
          </reference>
          <reference field="82" count="1">
            <x v="903"/>
          </reference>
        </references>
      </pivotArea>
    </format>
    <format dxfId="504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72"/>
          </reference>
          <reference field="82" count="1">
            <x v="1130"/>
          </reference>
        </references>
      </pivotArea>
    </format>
    <format dxfId="504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73"/>
          </reference>
          <reference field="82" count="1">
            <x v="1131"/>
          </reference>
        </references>
      </pivotArea>
    </format>
    <format dxfId="504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74"/>
          </reference>
          <reference field="82" count="1">
            <x v="1132"/>
          </reference>
        </references>
      </pivotArea>
    </format>
    <format dxfId="503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75"/>
          </reference>
          <reference field="82" count="1">
            <x v="1133"/>
          </reference>
        </references>
      </pivotArea>
    </format>
    <format dxfId="503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68"/>
          </reference>
          <reference field="82" count="1">
            <x v="1126"/>
          </reference>
        </references>
      </pivotArea>
    </format>
    <format dxfId="503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69"/>
          </reference>
          <reference field="82" count="1">
            <x v="1127"/>
          </reference>
        </references>
      </pivotArea>
    </format>
    <format dxfId="503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70"/>
          </reference>
          <reference field="82" count="1">
            <x v="1128"/>
          </reference>
        </references>
      </pivotArea>
    </format>
    <format dxfId="503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71"/>
          </reference>
          <reference field="82" count="1">
            <x v="1129"/>
          </reference>
        </references>
      </pivotArea>
    </format>
    <format dxfId="503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589"/>
          </reference>
          <reference field="82" count="1">
            <x v="1047"/>
          </reference>
        </references>
      </pivotArea>
    </format>
    <format dxfId="503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590"/>
          </reference>
          <reference field="82" count="1">
            <x v="1048"/>
          </reference>
        </references>
      </pivotArea>
    </format>
    <format dxfId="503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588"/>
          </reference>
          <reference field="82" count="1">
            <x v="1046"/>
          </reference>
        </references>
      </pivotArea>
    </format>
    <format dxfId="503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62"/>
          </reference>
          <reference field="82" count="1">
            <x v="917"/>
          </reference>
        </references>
      </pivotArea>
    </format>
    <format dxfId="503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63"/>
          </reference>
          <reference field="82" count="1">
            <x v="918"/>
          </reference>
        </references>
      </pivotArea>
    </format>
    <format dxfId="502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x v="919"/>
          </reference>
        </references>
      </pivotArea>
    </format>
    <format dxfId="502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517"/>
          </reference>
          <reference field="82" count="1">
            <x v="974"/>
          </reference>
        </references>
      </pivotArea>
    </format>
    <format dxfId="502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518"/>
          </reference>
          <reference field="82" count="1">
            <x v="975"/>
          </reference>
        </references>
      </pivotArea>
    </format>
    <format dxfId="502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519"/>
          </reference>
          <reference field="82" count="1">
            <x v="976"/>
          </reference>
        </references>
      </pivotArea>
    </format>
    <format dxfId="502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520"/>
          </reference>
          <reference field="82" count="1">
            <x v="977"/>
          </reference>
        </references>
      </pivotArea>
    </format>
    <format dxfId="502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600"/>
          </reference>
          <reference field="82" count="1">
            <x v="1058"/>
          </reference>
        </references>
      </pivotArea>
    </format>
    <format dxfId="502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601"/>
          </reference>
          <reference field="82" count="1">
            <x v="1059"/>
          </reference>
        </references>
      </pivotArea>
    </format>
    <format dxfId="502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602"/>
          </reference>
          <reference field="82" count="1">
            <x v="1060"/>
          </reference>
        </references>
      </pivotArea>
    </format>
    <format dxfId="502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664"/>
          </reference>
          <reference field="82" count="1">
            <x v="1122"/>
          </reference>
        </references>
      </pivotArea>
    </format>
    <format dxfId="502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665"/>
          </reference>
          <reference field="82" count="1">
            <x v="1123"/>
          </reference>
        </references>
      </pivotArea>
    </format>
    <format dxfId="501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58"/>
          </reference>
          <reference field="82" count="1">
            <x v="913"/>
          </reference>
        </references>
      </pivotArea>
    </format>
    <format dxfId="5018">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71"/>
          </reference>
          <reference field="82" count="1">
            <x v="926"/>
          </reference>
        </references>
      </pivotArea>
    </format>
    <format dxfId="501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72"/>
          </reference>
          <reference field="82" count="1">
            <x v="927"/>
          </reference>
        </references>
      </pivotArea>
    </format>
    <format dxfId="501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65"/>
          </reference>
          <reference field="82" count="1">
            <x v="920"/>
          </reference>
        </references>
      </pivotArea>
    </format>
    <format dxfId="501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66"/>
          </reference>
          <reference field="82" count="1">
            <x v="921"/>
          </reference>
        </references>
      </pivotArea>
    </format>
    <format dxfId="501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x v="919"/>
          </reference>
        </references>
      </pivotArea>
    </format>
    <format dxfId="501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514"/>
          </reference>
          <reference field="82" count="1">
            <x v="970"/>
          </reference>
        </references>
      </pivotArea>
    </format>
    <format dxfId="501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512"/>
          </reference>
          <reference field="82" count="1">
            <x v="971"/>
          </reference>
        </references>
      </pivotArea>
    </format>
    <format dxfId="501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515"/>
          </reference>
          <reference field="82" count="1">
            <x v="972"/>
          </reference>
        </references>
      </pivotArea>
    </format>
    <format dxfId="501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516"/>
          </reference>
          <reference field="82" count="1">
            <x v="973"/>
          </reference>
        </references>
      </pivotArea>
    </format>
    <format dxfId="5009">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597"/>
          </reference>
          <reference field="82" count="1">
            <x v="1055"/>
          </reference>
        </references>
      </pivotArea>
    </format>
    <format dxfId="500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598"/>
          </reference>
          <reference field="82" count="1">
            <x v="1056"/>
          </reference>
        </references>
      </pivotArea>
    </format>
    <format dxfId="500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599"/>
          </reference>
          <reference field="82" count="1">
            <x v="1057"/>
          </reference>
        </references>
      </pivotArea>
    </format>
    <format dxfId="5006">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663"/>
          </reference>
          <reference field="82" count="1">
            <x v="1121"/>
          </reference>
        </references>
      </pivotArea>
    </format>
    <format dxfId="5005">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59"/>
          </reference>
          <reference field="82" count="1">
            <x v="914"/>
          </reference>
        </references>
      </pivotArea>
    </format>
    <format dxfId="5004">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73"/>
          </reference>
          <reference field="82" count="1">
            <x v="928"/>
          </reference>
        </references>
      </pivotArea>
    </format>
    <format dxfId="500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74"/>
          </reference>
          <reference field="82" count="1">
            <x v="929"/>
          </reference>
        </references>
      </pivotArea>
    </format>
    <format dxfId="500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453"/>
          </reference>
          <reference field="82" count="1">
            <x v="908"/>
          </reference>
        </references>
      </pivotArea>
    </format>
    <format dxfId="500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452"/>
          </reference>
          <reference field="82" count="1">
            <x v="907"/>
          </reference>
        </references>
      </pivotArea>
    </format>
    <format dxfId="500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450"/>
          </reference>
          <reference field="82" count="1">
            <x v="905"/>
          </reference>
        </references>
      </pivotArea>
    </format>
    <format dxfId="499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451"/>
          </reference>
          <reference field="82" count="1">
            <x v="906"/>
          </reference>
        </references>
      </pivotArea>
    </format>
    <format dxfId="4998">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529"/>
          </reference>
          <reference field="82" count="1">
            <x v="986"/>
          </reference>
        </references>
      </pivotArea>
    </format>
    <format dxfId="499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591"/>
          </reference>
          <reference field="82" count="1">
            <x v="1049"/>
          </reference>
        </references>
      </pivotArea>
    </format>
    <format dxfId="499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592"/>
          </reference>
          <reference field="82" count="1">
            <x v="1050"/>
          </reference>
        </references>
      </pivotArea>
    </format>
    <format dxfId="499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593"/>
          </reference>
          <reference field="82" count="1">
            <x v="1051"/>
          </reference>
        </references>
      </pivotArea>
    </format>
    <format dxfId="499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04"/>
          </reference>
          <reference field="82" count="1">
            <x v="1062"/>
          </reference>
        </references>
      </pivotArea>
    </format>
    <format dxfId="499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05"/>
          </reference>
          <reference field="82" count="1">
            <x v="1063"/>
          </reference>
        </references>
      </pivotArea>
    </format>
    <format dxfId="499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03"/>
          </reference>
          <reference field="82" count="1">
            <x v="1061"/>
          </reference>
        </references>
      </pivotArea>
    </format>
    <format dxfId="4991">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530"/>
          </reference>
          <reference field="82" count="1">
            <x v="987"/>
          </reference>
        </references>
      </pivotArea>
    </format>
    <format dxfId="499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594"/>
          </reference>
          <reference field="82" count="1">
            <x v="1052"/>
          </reference>
        </references>
      </pivotArea>
    </format>
    <format dxfId="498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595"/>
          </reference>
          <reference field="82" count="1">
            <x v="1053"/>
          </reference>
        </references>
      </pivotArea>
    </format>
    <format dxfId="498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596"/>
          </reference>
          <reference field="82" count="1">
            <x v="1054"/>
          </reference>
        </references>
      </pivotArea>
    </format>
    <format dxfId="498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607"/>
          </reference>
          <reference field="82" count="1">
            <x v="1065"/>
          </reference>
        </references>
      </pivotArea>
    </format>
    <format dxfId="498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608"/>
          </reference>
          <reference field="82" count="1">
            <x v="1066"/>
          </reference>
        </references>
      </pivotArea>
    </format>
    <format dxfId="498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609"/>
          </reference>
          <reference field="82" count="1">
            <x v="1067"/>
          </reference>
        </references>
      </pivotArea>
    </format>
    <format dxfId="498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606"/>
          </reference>
          <reference field="82" count="1">
            <x v="1064"/>
          </reference>
        </references>
      </pivotArea>
    </format>
    <format dxfId="498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610"/>
          </reference>
          <reference field="82" count="1">
            <x v="1068"/>
          </reference>
        </references>
      </pivotArea>
    </format>
    <format dxfId="498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661"/>
          </reference>
          <reference field="82" count="1">
            <x v="1119"/>
          </reference>
        </references>
      </pivotArea>
    </format>
    <format dxfId="498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662"/>
          </reference>
          <reference field="82" count="1">
            <x v="1120"/>
          </reference>
        </references>
      </pivotArea>
    </format>
    <format dxfId="498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732"/>
          </reference>
          <reference field="82" count="1">
            <x v="1190"/>
          </reference>
        </references>
      </pivotArea>
    </format>
    <format dxfId="497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733"/>
          </reference>
          <reference field="82" count="1">
            <x v="1191"/>
          </reference>
        </references>
      </pivotArea>
    </format>
    <format dxfId="497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734"/>
          </reference>
          <reference field="82" count="1">
            <x v="1192"/>
          </reference>
        </references>
      </pivotArea>
    </format>
    <format dxfId="497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731"/>
          </reference>
          <reference field="82" count="1">
            <x v="1189"/>
          </reference>
        </references>
      </pivotArea>
    </format>
    <format dxfId="497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740"/>
          </reference>
          <reference field="82" count="1">
            <x v="1198"/>
          </reference>
        </references>
      </pivotArea>
    </format>
    <format dxfId="497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741"/>
          </reference>
          <reference field="82" count="1">
            <x v="1199"/>
          </reference>
        </references>
      </pivotArea>
    </format>
    <format dxfId="497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742"/>
          </reference>
          <reference field="82" count="1">
            <x v="1200"/>
          </reference>
        </references>
      </pivotArea>
    </format>
    <format dxfId="497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739"/>
          </reference>
          <reference field="82" count="1">
            <x v="1197"/>
          </reference>
        </references>
      </pivotArea>
    </format>
    <format dxfId="497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737"/>
          </reference>
          <reference field="82" count="1">
            <x v="1195"/>
          </reference>
        </references>
      </pivotArea>
    </format>
    <format dxfId="497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738"/>
          </reference>
          <reference field="82" count="1">
            <x v="1196"/>
          </reference>
        </references>
      </pivotArea>
    </format>
    <format dxfId="497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736"/>
          </reference>
          <reference field="82" count="1">
            <x v="1194"/>
          </reference>
        </references>
      </pivotArea>
    </format>
    <format dxfId="496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735"/>
          </reference>
          <reference field="82" count="1">
            <x v="1193"/>
          </reference>
        </references>
      </pivotArea>
    </format>
    <format dxfId="4968">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479"/>
          </reference>
          <reference field="82" count="1">
            <x v="935"/>
          </reference>
        </references>
      </pivotArea>
    </format>
    <format dxfId="4967">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480"/>
          </reference>
          <reference field="82" count="1">
            <x v="936"/>
          </reference>
        </references>
      </pivotArea>
    </format>
    <format dxfId="4966">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632"/>
          </reference>
          <reference field="82" count="1">
            <x v="1090"/>
          </reference>
        </references>
      </pivotArea>
    </format>
    <format dxfId="4965">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749"/>
          </reference>
          <reference field="82" count="1">
            <x v="1207"/>
          </reference>
        </references>
      </pivotArea>
    </format>
    <format dxfId="4964">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750"/>
          </reference>
          <reference field="82" count="1">
            <x v="1208"/>
          </reference>
        </references>
      </pivotArea>
    </format>
    <format dxfId="4963">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752"/>
          </reference>
          <reference field="82" count="1">
            <x v="1210"/>
          </reference>
        </references>
      </pivotArea>
    </format>
    <format dxfId="496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98"/>
          </reference>
          <reference field="82" count="1">
            <x v="954"/>
          </reference>
        </references>
      </pivotArea>
    </format>
    <format dxfId="496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01"/>
          </reference>
          <reference field="82" count="1">
            <x v="957"/>
          </reference>
        </references>
      </pivotArea>
    </format>
    <format dxfId="496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99"/>
          </reference>
          <reference field="82" count="1">
            <x v="955"/>
          </reference>
        </references>
      </pivotArea>
    </format>
    <format dxfId="495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00"/>
          </reference>
          <reference field="82" count="1">
            <x v="956"/>
          </reference>
        </references>
      </pivotArea>
    </format>
    <format dxfId="495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98"/>
          </reference>
          <reference field="82" count="1">
            <x v="1156"/>
          </reference>
        </references>
      </pivotArea>
    </format>
    <format dxfId="49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94"/>
          </reference>
          <reference field="82" count="1">
            <x v="1152"/>
          </reference>
        </references>
      </pivotArea>
    </format>
    <format dxfId="495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95"/>
          </reference>
          <reference field="82" count="1">
            <x v="1153"/>
          </reference>
        </references>
      </pivotArea>
    </format>
    <format dxfId="495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96"/>
          </reference>
          <reference field="82" count="1">
            <x v="1154"/>
          </reference>
        </references>
      </pivotArea>
    </format>
    <format dxfId="495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97"/>
          </reference>
          <reference field="82" count="1">
            <x v="1155"/>
          </reference>
        </references>
      </pivotArea>
    </format>
    <format dxfId="495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94"/>
          </reference>
          <reference field="82" count="1">
            <x v="950"/>
          </reference>
        </references>
      </pivotArea>
    </format>
    <format dxfId="495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97"/>
          </reference>
          <reference field="82" count="1">
            <x v="953"/>
          </reference>
        </references>
      </pivotArea>
    </format>
    <format dxfId="495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95"/>
          </reference>
          <reference field="82" count="1">
            <x v="951"/>
          </reference>
        </references>
      </pivotArea>
    </format>
    <format dxfId="495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96"/>
          </reference>
          <reference field="82" count="1">
            <x v="952"/>
          </reference>
        </references>
      </pivotArea>
    </format>
    <format dxfId="494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93"/>
          </reference>
          <reference field="82" count="1">
            <x v="1151"/>
          </reference>
        </references>
      </pivotArea>
    </format>
    <format dxfId="494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89"/>
          </reference>
          <reference field="82" count="1">
            <x v="1147"/>
          </reference>
        </references>
      </pivotArea>
    </format>
    <format dxfId="494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90"/>
          </reference>
          <reference field="82" count="1">
            <x v="1148"/>
          </reference>
        </references>
      </pivotArea>
    </format>
    <format dxfId="494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91"/>
          </reference>
          <reference field="82" count="1">
            <x v="1149"/>
          </reference>
        </references>
      </pivotArea>
    </format>
    <format dxfId="494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92"/>
          </reference>
          <reference field="82" count="1">
            <x v="1150"/>
          </reference>
        </references>
      </pivotArea>
    </format>
    <format dxfId="494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39"/>
          </reference>
          <reference field="82" count="1">
            <x v="996"/>
          </reference>
        </references>
      </pivotArea>
    </format>
    <format dxfId="494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34"/>
          </reference>
          <reference field="82" count="1">
            <x v="999"/>
          </reference>
        </references>
      </pivotArea>
    </format>
    <format dxfId="494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40"/>
          </reference>
          <reference field="82" count="1">
            <x v="997"/>
          </reference>
        </references>
      </pivotArea>
    </format>
    <format dxfId="494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41"/>
          </reference>
          <reference field="82" count="1">
            <x v="998"/>
          </reference>
        </references>
      </pivotArea>
    </format>
    <format dxfId="494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88"/>
          </reference>
          <reference field="82" count="1">
            <x v="1146"/>
          </reference>
        </references>
      </pivotArea>
    </format>
    <format dxfId="493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84"/>
          </reference>
          <reference field="82" count="1">
            <x v="1142"/>
          </reference>
        </references>
      </pivotArea>
    </format>
    <format dxfId="493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85"/>
          </reference>
          <reference field="82" count="1">
            <x v="1143"/>
          </reference>
        </references>
      </pivotArea>
    </format>
    <format dxfId="493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86"/>
          </reference>
          <reference field="82" count="1">
            <x v="1144"/>
          </reference>
        </references>
      </pivotArea>
    </format>
    <format dxfId="493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87"/>
          </reference>
          <reference field="82" count="1">
            <x v="1145"/>
          </reference>
        </references>
      </pivotArea>
    </format>
    <format dxfId="493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745"/>
          </reference>
          <reference field="82" count="1">
            <x v="1203"/>
          </reference>
        </references>
      </pivotArea>
    </format>
    <format dxfId="493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748"/>
          </reference>
          <reference field="82" count="1">
            <x v="1206"/>
          </reference>
        </references>
      </pivotArea>
    </format>
    <format dxfId="493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746"/>
          </reference>
          <reference field="82" count="1">
            <x v="1204"/>
          </reference>
        </references>
      </pivotArea>
    </format>
    <format dxfId="493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747"/>
          </reference>
          <reference field="82" count="1">
            <x v="1205"/>
          </reference>
        </references>
      </pivotArea>
    </format>
    <format dxfId="493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07"/>
          </reference>
          <reference field="82" count="1">
            <x v="1165"/>
          </reference>
        </references>
      </pivotArea>
    </format>
    <format dxfId="493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08"/>
          </reference>
          <reference field="82" count="1">
            <x v="1166"/>
          </reference>
        </references>
      </pivotArea>
    </format>
    <format dxfId="492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09"/>
          </reference>
          <reference field="82" count="1">
            <x v="1167"/>
          </reference>
        </references>
      </pivotArea>
    </format>
    <format dxfId="492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710"/>
          </reference>
          <reference field="82" count="1">
            <x v="1168"/>
          </reference>
        </references>
      </pivotArea>
    </format>
    <format dxfId="492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711"/>
          </reference>
          <reference field="82" count="1">
            <x v="1169"/>
          </reference>
        </references>
      </pivotArea>
    </format>
    <format dxfId="492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712"/>
          </reference>
          <reference field="82" count="1">
            <x v="1170"/>
          </reference>
        </references>
      </pivotArea>
    </format>
    <format dxfId="492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713"/>
          </reference>
          <reference field="82" count="1">
            <x v="1171"/>
          </reference>
        </references>
      </pivotArea>
    </format>
    <format dxfId="492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714"/>
          </reference>
          <reference field="82" count="1">
            <x v="1172"/>
          </reference>
        </references>
      </pivotArea>
    </format>
    <format dxfId="492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680"/>
          </reference>
          <reference field="82" count="1">
            <x v="1138"/>
          </reference>
        </references>
      </pivotArea>
    </format>
    <format dxfId="492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682"/>
          </reference>
          <reference field="82" count="1">
            <x v="1140"/>
          </reference>
        </references>
      </pivotArea>
    </format>
    <format dxfId="492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683"/>
          </reference>
          <reference field="82" count="1">
            <x v="1141"/>
          </reference>
        </references>
      </pivotArea>
    </format>
    <format dxfId="492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681"/>
          </reference>
          <reference field="82" count="1">
            <x v="1139"/>
          </reference>
        </references>
      </pivotArea>
    </format>
    <format dxfId="491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630"/>
          </reference>
          <reference field="82" count="1">
            <x v="1088"/>
          </reference>
        </references>
      </pivotArea>
    </format>
    <format dxfId="491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631"/>
          </reference>
          <reference field="82" count="1">
            <x v="1089"/>
          </reference>
        </references>
      </pivotArea>
    </format>
    <format dxfId="491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629"/>
          </reference>
          <reference field="82" count="1">
            <x v="1087"/>
          </reference>
        </references>
      </pivotArea>
    </format>
    <format dxfId="491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02"/>
          </reference>
          <reference field="82" count="1">
            <x v="958"/>
          </reference>
        </references>
      </pivotArea>
    </format>
    <format dxfId="491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505"/>
          </reference>
          <reference field="82" count="1">
            <x v="961"/>
          </reference>
        </references>
      </pivotArea>
    </format>
    <format dxfId="491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03"/>
          </reference>
          <reference field="82" count="1">
            <x v="959"/>
          </reference>
        </references>
      </pivotArea>
    </format>
    <format dxfId="491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04"/>
          </reference>
          <reference field="82" count="1">
            <x v="960"/>
          </reference>
        </references>
      </pivotArea>
    </format>
    <format dxfId="491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99"/>
          </reference>
          <reference field="82" count="1">
            <x v="1157"/>
          </reference>
        </references>
      </pivotArea>
    </format>
    <format dxfId="491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00"/>
          </reference>
          <reference field="82" count="1">
            <x v="1158"/>
          </reference>
        </references>
      </pivotArea>
    </format>
    <format dxfId="491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01"/>
          </reference>
          <reference field="82" count="1">
            <x v="1159"/>
          </reference>
        </references>
      </pivotArea>
    </format>
    <format dxfId="490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02"/>
          </reference>
          <reference field="82" count="1">
            <x v="1160"/>
          </reference>
        </references>
      </pivotArea>
    </format>
    <format dxfId="490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703"/>
          </reference>
          <reference field="82" count="1">
            <x v="1161"/>
          </reference>
        </references>
      </pivotArea>
    </format>
    <format dxfId="490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704"/>
          </reference>
          <reference field="82" count="1">
            <x v="1162"/>
          </reference>
        </references>
      </pivotArea>
    </format>
    <format dxfId="490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705"/>
          </reference>
          <reference field="82" count="1">
            <x v="1163"/>
          </reference>
        </references>
      </pivotArea>
    </format>
    <format dxfId="490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706"/>
          </reference>
          <reference field="82" count="1">
            <x v="1164"/>
          </reference>
        </references>
      </pivotArea>
    </format>
    <format dxfId="4904">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455"/>
          </reference>
          <reference field="82" count="1">
            <x v="910"/>
          </reference>
        </references>
      </pivotArea>
    </format>
    <format dxfId="4903">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757"/>
          </reference>
          <reference field="82" count="1">
            <x v="1215"/>
          </reference>
        </references>
      </pivotArea>
    </format>
    <format dxfId="4902">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92"/>
          </reference>
          <reference field="82" count="1">
            <x v="948"/>
          </reference>
        </references>
      </pivotArea>
    </format>
    <format dxfId="4901">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456"/>
          </reference>
          <reference field="82" count="1">
            <x v="911"/>
          </reference>
        </references>
      </pivotArea>
    </format>
    <format dxfId="4900">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93"/>
          </reference>
          <reference field="82" count="1">
            <x v="949"/>
          </reference>
        </references>
      </pivotArea>
    </format>
    <format dxfId="4899">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4898">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759"/>
          </reference>
          <reference field="82" count="1">
            <x v="1217"/>
          </reference>
        </references>
      </pivotArea>
    </format>
    <format dxfId="4897">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761"/>
          </reference>
          <reference field="82" count="1">
            <x v="1219"/>
          </reference>
        </references>
      </pivotArea>
    </format>
    <format dxfId="4896">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4895">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894">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760"/>
          </reference>
          <reference field="82" count="1">
            <x v="1218"/>
          </reference>
        </references>
      </pivotArea>
    </format>
    <format dxfId="4893">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485"/>
          </reference>
          <reference field="82" count="1">
            <x v="941"/>
          </reference>
        </references>
      </pivotArea>
    </format>
    <format dxfId="4892">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762"/>
          </reference>
          <reference field="82" count="1">
            <x v="1220"/>
          </reference>
        </references>
      </pivotArea>
    </format>
    <format dxfId="4891">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890">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4889">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4888">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454"/>
          </reference>
          <reference field="82" count="1">
            <x v="909"/>
          </reference>
        </references>
      </pivotArea>
    </format>
    <format dxfId="4887">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751"/>
          </reference>
          <reference field="82" count="1">
            <x v="1209"/>
          </reference>
        </references>
      </pivotArea>
    </format>
    <format dxfId="488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15"/>
          </reference>
          <reference field="82" count="1">
            <x v="1073"/>
          </reference>
        </references>
      </pivotArea>
    </format>
    <format dxfId="488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18"/>
          </reference>
          <reference field="82" count="1">
            <x v="1076"/>
          </reference>
        </references>
      </pivotArea>
    </format>
    <format dxfId="488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616"/>
          </reference>
          <reference field="82" count="1">
            <x v="1074"/>
          </reference>
        </references>
      </pivotArea>
    </format>
    <format dxfId="488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619"/>
          </reference>
          <reference field="82" count="1">
            <x v="1077"/>
          </reference>
        </references>
      </pivotArea>
    </format>
    <format dxfId="488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624"/>
          </reference>
          <reference field="82" count="1">
            <x v="1082"/>
          </reference>
        </references>
      </pivotArea>
    </format>
    <format dxfId="488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622"/>
          </reference>
          <reference field="82" count="1">
            <x v="1080"/>
          </reference>
        </references>
      </pivotArea>
    </format>
    <format dxfId="488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621"/>
          </reference>
          <reference field="82" count="1">
            <x v="1079"/>
          </reference>
        </references>
      </pivotArea>
    </format>
    <format dxfId="487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620"/>
          </reference>
          <reference field="82" count="1">
            <x v="1078"/>
          </reference>
        </references>
      </pivotArea>
    </format>
    <format dxfId="487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14"/>
          </reference>
          <reference field="82" count="1">
            <x v="1072"/>
          </reference>
        </references>
      </pivotArea>
    </format>
    <format dxfId="487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17"/>
          </reference>
          <reference field="82" count="1">
            <x v="1075"/>
          </reference>
        </references>
      </pivotArea>
    </format>
    <format dxfId="487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623"/>
          </reference>
          <reference field="82" count="1">
            <x v="1081"/>
          </reference>
        </references>
      </pivotArea>
    </format>
    <format dxfId="4875">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758"/>
          </reference>
          <reference field="82" count="1">
            <x v="1216"/>
          </reference>
        </references>
      </pivotArea>
    </format>
    <format dxfId="4874">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491"/>
          </reference>
          <reference field="82" count="1">
            <x v="947"/>
          </reference>
        </references>
      </pivotArea>
    </format>
    <format dxfId="4873">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89"/>
          </reference>
          <reference field="82" count="1">
            <x v="945"/>
          </reference>
        </references>
      </pivotArea>
    </format>
    <format dxfId="487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26"/>
          </reference>
          <reference field="82" count="1">
            <x v="1084"/>
          </reference>
        </references>
      </pivotArea>
    </format>
    <format dxfId="4871">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628"/>
          </reference>
          <reference field="82" count="1">
            <x v="1086"/>
          </reference>
        </references>
      </pivotArea>
    </format>
    <format dxfId="4870">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25"/>
          </reference>
          <reference field="82" count="1">
            <x v="1083"/>
          </reference>
        </references>
      </pivotArea>
    </format>
    <format dxfId="486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627"/>
          </reference>
          <reference field="82" count="1">
            <x v="1085"/>
          </reference>
        </references>
      </pivotArea>
    </format>
    <format dxfId="4868">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90"/>
          </reference>
          <reference field="82" count="1">
            <x v="946"/>
          </reference>
        </references>
      </pivotArea>
    </format>
    <format dxfId="4867">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43"/>
          </reference>
          <reference field="82" count="1">
            <x v="1201"/>
          </reference>
        </references>
      </pivotArea>
    </format>
    <format dxfId="4866">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44"/>
          </reference>
          <reference field="82" count="1">
            <x v="1202"/>
          </reference>
        </references>
      </pivotArea>
    </format>
    <format dxfId="4865">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651"/>
          </reference>
          <reference field="82" count="1">
            <x v="1109"/>
          </reference>
        </references>
      </pivotArea>
    </format>
    <format dxfId="4864">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657"/>
          </reference>
          <reference field="82" count="1">
            <x v="1115"/>
          </reference>
        </references>
      </pivotArea>
    </format>
    <format dxfId="4863">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482"/>
          </reference>
          <reference field="82" count="1">
            <x v="938"/>
          </reference>
        </references>
      </pivotArea>
    </format>
    <format dxfId="486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481"/>
          </reference>
          <reference field="82" count="1">
            <x v="937"/>
          </reference>
        </references>
      </pivotArea>
    </format>
    <format dxfId="486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2512"/>
          </reference>
          <reference field="82" count="1">
            <x v="968"/>
          </reference>
        </references>
      </pivotArea>
    </format>
    <format dxfId="4860">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2513"/>
          </reference>
          <reference field="82" count="1">
            <x v="969"/>
          </reference>
        </references>
      </pivotArea>
    </format>
    <format dxfId="4859">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2510"/>
          </reference>
          <reference field="82" count="1">
            <x v="966"/>
          </reference>
        </references>
      </pivotArea>
    </format>
    <format dxfId="4858">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2511"/>
          </reference>
          <reference field="82" count="1">
            <x v="967"/>
          </reference>
        </references>
      </pivotArea>
    </format>
    <format dxfId="485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2506"/>
          </reference>
          <reference field="82" count="1">
            <x v="962"/>
          </reference>
        </references>
      </pivotArea>
    </format>
    <format dxfId="4856">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2507"/>
          </reference>
          <reference field="82" count="1">
            <x v="963"/>
          </reference>
        </references>
      </pivotArea>
    </format>
    <format dxfId="4855">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2508"/>
          </reference>
          <reference field="82" count="1">
            <x v="964"/>
          </reference>
        </references>
      </pivotArea>
    </format>
    <format dxfId="4854">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2509"/>
          </reference>
          <reference field="82" count="1">
            <x v="965"/>
          </reference>
        </references>
      </pivotArea>
    </format>
    <format dxfId="485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727"/>
          </reference>
          <reference field="82" count="1">
            <x v="1185"/>
          </reference>
        </references>
      </pivotArea>
    </format>
    <format dxfId="485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728"/>
          </reference>
          <reference field="82" count="1">
            <x v="1186"/>
          </reference>
        </references>
      </pivotArea>
    </format>
    <format dxfId="485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729"/>
          </reference>
          <reference field="82" count="1">
            <x v="1187"/>
          </reference>
        </references>
      </pivotArea>
    </format>
    <format dxfId="4850">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730"/>
          </reference>
          <reference field="82" count="1">
            <x v="1188"/>
          </reference>
        </references>
      </pivotArea>
    </format>
    <format dxfId="4849">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x v="1110"/>
          </reference>
        </references>
      </pivotArea>
    </format>
    <format dxfId="4848">
      <pivotArea dataOnly="0" labelOnly="1" outline="0" fieldPosition="0">
        <references count="10">
          <reference field="1" count="1" selected="0">
            <x v="52"/>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67"/>
          </reference>
          <reference field="82" count="1">
            <x v="1125"/>
          </reference>
        </references>
      </pivotArea>
    </format>
    <format dxfId="4847">
      <pivotArea field="87" type="button" dataOnly="0" labelOnly="1" outline="0" axis="axisRow" fieldPosition="12"/>
    </format>
    <format dxfId="484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7"/>
          </reference>
          <reference field="82" count="1" selected="0">
            <x v="1095"/>
          </reference>
          <reference field="85" count="1" selected="0">
            <x v="7"/>
          </reference>
          <reference field="87" count="1">
            <x v="2019"/>
          </reference>
        </references>
      </pivotArea>
    </format>
    <format dxfId="484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8"/>
          </reference>
          <reference field="82" count="1" selected="0">
            <x v="1096"/>
          </reference>
          <reference field="85" count="1" selected="0">
            <x v="7"/>
          </reference>
          <reference field="87" count="1">
            <x v="2020"/>
          </reference>
        </references>
      </pivotArea>
    </format>
    <format dxfId="484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23"/>
          </reference>
          <reference field="82" count="1" selected="0">
            <x v="1181"/>
          </reference>
          <reference field="85" count="1" selected="0">
            <x v="4"/>
          </reference>
          <reference field="87" count="1">
            <x v="2105"/>
          </reference>
        </references>
      </pivotArea>
    </format>
    <format dxfId="484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24"/>
          </reference>
          <reference field="82" count="1" selected="0">
            <x v="1182"/>
          </reference>
          <reference field="85" count="1" selected="0">
            <x v="4"/>
          </reference>
          <reference field="87" count="1">
            <x v="2106"/>
          </reference>
        </references>
      </pivotArea>
    </format>
    <format dxfId="484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25"/>
          </reference>
          <reference field="82" count="1" selected="0">
            <x v="1183"/>
          </reference>
          <reference field="85" count="1" selected="0">
            <x v="4"/>
          </reference>
          <reference field="87" count="1">
            <x v="2107"/>
          </reference>
        </references>
      </pivotArea>
    </format>
    <format dxfId="484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6"/>
          </reference>
          <reference field="82" count="1" selected="0">
            <x v="1184"/>
          </reference>
          <reference field="85" count="1" selected="0">
            <x v="4"/>
          </reference>
          <reference field="87" count="1">
            <x v="2108"/>
          </reference>
        </references>
      </pivotArea>
    </format>
    <format dxfId="4840">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x v="2025"/>
          </reference>
        </references>
      </pivotArea>
    </format>
    <format dxfId="483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x v="2024"/>
          </reference>
        </references>
      </pivotArea>
    </format>
    <format dxfId="483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0"/>
          </reference>
          <reference field="82" count="1" selected="0">
            <x v="1028"/>
          </reference>
          <reference field="85" count="1" selected="0">
            <x v="0"/>
          </reference>
          <reference field="87" count="1">
            <x v="1952"/>
          </reference>
        </references>
      </pivotArea>
    </format>
    <format dxfId="483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71"/>
          </reference>
          <reference field="82" count="1" selected="0">
            <x v="1029"/>
          </reference>
          <reference field="85" count="1" selected="0">
            <x v="0"/>
          </reference>
          <reference field="87" count="1">
            <x v="1953"/>
          </reference>
        </references>
      </pivotArea>
    </format>
    <format dxfId="483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selected="0">
            <x v="1026"/>
          </reference>
          <reference field="85" count="1" selected="0">
            <x v="0"/>
          </reference>
          <reference field="87" count="1">
            <x v="1950"/>
          </reference>
        </references>
      </pivotArea>
    </format>
    <format dxfId="483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9"/>
          </reference>
          <reference field="82" count="1" selected="0">
            <x v="1027"/>
          </reference>
          <reference field="85" count="1" selected="0">
            <x v="0"/>
          </reference>
          <reference field="87" count="1">
            <x v="1951"/>
          </reference>
        </references>
      </pivotArea>
    </format>
    <format dxfId="4834">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x v="2025"/>
          </reference>
        </references>
      </pivotArea>
    </format>
    <format dxfId="483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x v="2024"/>
          </reference>
        </references>
      </pivotArea>
    </format>
    <format dxfId="483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selected="0">
            <x v="0"/>
          </reference>
          <reference field="87" count="1">
            <x v="1947"/>
          </reference>
        </references>
      </pivotArea>
    </format>
    <format dxfId="483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selected="0">
            <x v="1024"/>
          </reference>
          <reference field="85" count="1" selected="0">
            <x v="0"/>
          </reference>
          <reference field="87" count="1">
            <x v="1948"/>
          </reference>
        </references>
      </pivotArea>
    </format>
    <format dxfId="483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selected="0">
            <x v="1026"/>
          </reference>
          <reference field="85" count="1" selected="0">
            <x v="0"/>
          </reference>
          <reference field="87" count="1">
            <x v="1950"/>
          </reference>
        </references>
      </pivotArea>
    </format>
    <format dxfId="482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selected="0">
            <x v="1022"/>
          </reference>
          <reference field="85" count="1" selected="0">
            <x v="0"/>
          </reference>
          <reference field="87" count="1">
            <x v="1946"/>
          </reference>
        </references>
      </pivotArea>
    </format>
    <format dxfId="4828">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1"/>
          </reference>
          <reference field="82" count="1" selected="0">
            <x v="1099"/>
          </reference>
          <reference field="85" count="1" selected="0">
            <x v="7"/>
          </reference>
          <reference field="87" count="1">
            <x v="2023"/>
          </reference>
        </references>
      </pivotArea>
    </format>
    <format dxfId="4827">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x v="2024"/>
          </reference>
        </references>
      </pivotArea>
    </format>
    <format dxfId="4826">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selected="0">
            <x v="932"/>
          </reference>
          <reference field="85" count="1" selected="0">
            <x v="7"/>
          </reference>
          <reference field="87" count="1">
            <x v="1859"/>
          </reference>
        </references>
      </pivotArea>
    </format>
    <format dxfId="4825">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78"/>
          </reference>
          <reference field="82" count="1" selected="0">
            <x v="934"/>
          </reference>
          <reference field="85" count="1" selected="0">
            <x v="7"/>
          </reference>
          <reference field="87" count="1">
            <x v="1860"/>
          </reference>
        </references>
      </pivotArea>
    </format>
    <format dxfId="482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57"/>
          </reference>
          <reference field="82" count="1" selected="0">
            <x v="1015"/>
          </reference>
          <reference field="85" count="1" selected="0">
            <x v="0"/>
          </reference>
          <reference field="87" count="1">
            <x v="1939"/>
          </reference>
        </references>
      </pivotArea>
    </format>
    <format dxfId="482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60"/>
          </reference>
          <reference field="82" count="1" selected="0">
            <x v="1018"/>
          </reference>
          <reference field="85" count="1" selected="0">
            <x v="0"/>
          </reference>
          <reference field="87" count="1">
            <x v="1942"/>
          </reference>
        </references>
      </pivotArea>
    </format>
    <format dxfId="482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58"/>
          </reference>
          <reference field="82" count="1" selected="0">
            <x v="1016"/>
          </reference>
          <reference field="85" count="1" selected="0">
            <x v="0"/>
          </reference>
          <reference field="87" count="1">
            <x v="1940"/>
          </reference>
        </references>
      </pivotArea>
    </format>
    <format dxfId="482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59"/>
          </reference>
          <reference field="82" count="1" selected="0">
            <x v="1017"/>
          </reference>
          <reference field="85" count="1" selected="0">
            <x v="0"/>
          </reference>
          <reference field="87" count="1">
            <x v="1941"/>
          </reference>
        </references>
      </pivotArea>
    </format>
    <format dxfId="482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3"/>
          </reference>
          <reference field="82" count="1" selected="0">
            <x v="1091"/>
          </reference>
          <reference field="85" count="1" selected="0">
            <x v="7"/>
          </reference>
          <reference field="87" count="1">
            <x v="2015"/>
          </reference>
        </references>
      </pivotArea>
    </format>
    <format dxfId="4819">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4"/>
          </reference>
          <reference field="82" count="1" selected="0">
            <x v="1092"/>
          </reference>
          <reference field="85" count="1" selected="0">
            <x v="7"/>
          </reference>
          <reference field="87" count="1">
            <x v="2016"/>
          </reference>
        </references>
      </pivotArea>
    </format>
    <format dxfId="481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5"/>
          </reference>
          <reference field="82" count="1" selected="0">
            <x v="1173"/>
          </reference>
          <reference field="85" count="1" selected="0">
            <x v="4"/>
          </reference>
          <reference field="87" count="1">
            <x v="2097"/>
          </reference>
        </references>
      </pivotArea>
    </format>
    <format dxfId="481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16"/>
          </reference>
          <reference field="82" count="1" selected="0">
            <x v="1174"/>
          </reference>
          <reference field="85" count="1" selected="0">
            <x v="4"/>
          </reference>
          <reference field="87" count="1">
            <x v="2098"/>
          </reference>
        </references>
      </pivotArea>
    </format>
    <format dxfId="481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17"/>
          </reference>
          <reference field="82" count="1" selected="0">
            <x v="1175"/>
          </reference>
          <reference field="85" count="1" selected="0">
            <x v="4"/>
          </reference>
          <reference field="87" count="1">
            <x v="2099"/>
          </reference>
        </references>
      </pivotArea>
    </format>
    <format dxfId="481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18"/>
          </reference>
          <reference field="82" count="1" selected="0">
            <x v="1176"/>
          </reference>
          <reference field="85" count="1" selected="0">
            <x v="4"/>
          </reference>
          <reference field="87" count="1">
            <x v="2100"/>
          </reference>
        </references>
      </pivotArea>
    </format>
    <format dxfId="4814">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943"/>
          </reference>
          <reference field="85" count="1" selected="0">
            <x v="7"/>
          </reference>
          <reference field="87" count="1">
            <x v="1869"/>
          </reference>
        </references>
      </pivotArea>
    </format>
    <format dxfId="4813">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selected="0">
            <x v="933"/>
          </reference>
          <reference field="85" count="1" selected="0">
            <x v="7"/>
          </reference>
          <reference field="87" count="1">
            <x v="1859"/>
          </reference>
        </references>
      </pivotArea>
    </format>
    <format dxfId="481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32"/>
          </reference>
          <reference field="82" count="1" selected="0">
            <x v="989"/>
          </reference>
          <reference field="85" count="1" selected="0">
            <x v="4"/>
          </reference>
          <reference field="87" count="1">
            <x v="1914"/>
          </reference>
        </references>
      </pivotArea>
    </format>
    <format dxfId="481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534"/>
          </reference>
          <reference field="82" count="1" selected="0">
            <x v="991"/>
          </reference>
          <reference field="85" count="1" selected="0">
            <x v="4"/>
          </reference>
          <reference field="87" count="1">
            <x v="1916"/>
          </reference>
        </references>
      </pivotArea>
    </format>
    <format dxfId="481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535"/>
          </reference>
          <reference field="82" count="1" selected="0">
            <x v="992"/>
          </reference>
          <reference field="85" count="1" selected="0">
            <x v="4"/>
          </reference>
          <reference field="87" count="1">
            <x v="1917"/>
          </reference>
        </references>
      </pivotArea>
    </format>
    <format dxfId="480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531"/>
          </reference>
          <reference field="82" count="1" selected="0">
            <x v="988"/>
          </reference>
          <reference field="85" count="1" selected="0">
            <x v="4"/>
          </reference>
          <reference field="87" count="1">
            <x v="1913"/>
          </reference>
        </references>
      </pivotArea>
    </format>
    <format dxfId="480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36"/>
          </reference>
          <reference field="82" count="1" selected="0">
            <x v="993"/>
          </reference>
          <reference field="85" count="1" selected="0">
            <x v="4"/>
          </reference>
          <reference field="87" count="1">
            <x v="1918"/>
          </reference>
        </references>
      </pivotArea>
    </format>
    <format dxfId="480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37"/>
          </reference>
          <reference field="82" count="1" selected="0">
            <x v="994"/>
          </reference>
          <reference field="85" count="1" selected="0">
            <x v="4"/>
          </reference>
          <reference field="87" count="1">
            <x v="1919"/>
          </reference>
        </references>
      </pivotArea>
    </format>
    <format dxfId="480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38"/>
          </reference>
          <reference field="82" count="1" selected="0">
            <x v="995"/>
          </reference>
          <reference field="85" count="1" selected="0">
            <x v="4"/>
          </reference>
          <reference field="87" count="1">
            <x v="1920"/>
          </reference>
        </references>
      </pivotArea>
    </format>
    <format dxfId="480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533"/>
          </reference>
          <reference field="82" count="1" selected="0">
            <x v="990"/>
          </reference>
          <reference field="85" count="1" selected="0">
            <x v="4"/>
          </reference>
          <reference field="87" count="1">
            <x v="1915"/>
          </reference>
        </references>
      </pivotArea>
    </format>
    <format dxfId="480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selected="0">
            <x v="0"/>
          </reference>
          <reference field="87" count="1">
            <x v="1947"/>
          </reference>
        </references>
      </pivotArea>
    </format>
    <format dxfId="480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selected="0">
            <x v="1024"/>
          </reference>
          <reference field="85" count="1" selected="0">
            <x v="0"/>
          </reference>
          <reference field="87" count="1">
            <x v="1948"/>
          </reference>
        </references>
      </pivotArea>
    </format>
    <format dxfId="480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7"/>
          </reference>
          <reference field="82" count="1" selected="0">
            <x v="1025"/>
          </reference>
          <reference field="85" count="1" selected="0">
            <x v="0"/>
          </reference>
          <reference field="87" count="1">
            <x v="1949"/>
          </reference>
        </references>
      </pivotArea>
    </format>
    <format dxfId="480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selected="0">
            <x v="1022"/>
          </reference>
          <reference field="85" count="1" selected="0">
            <x v="0"/>
          </reference>
          <reference field="87" count="1">
            <x v="1946"/>
          </reference>
        </references>
      </pivotArea>
    </format>
    <format dxfId="4800">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6"/>
          </reference>
          <reference field="82" count="1" selected="0">
            <x v="942"/>
          </reference>
          <reference field="85" count="1" selected="0">
            <x v="7"/>
          </reference>
          <reference field="87" count="1">
            <x v="1868"/>
          </reference>
        </references>
      </pivotArea>
    </format>
    <format dxfId="479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5"/>
          </reference>
          <reference field="82" count="1" selected="0">
            <x v="1093"/>
          </reference>
          <reference field="85" count="1" selected="0">
            <x v="7"/>
          </reference>
          <reference field="87" count="1">
            <x v="2017"/>
          </reference>
        </references>
      </pivotArea>
    </format>
    <format dxfId="479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6"/>
          </reference>
          <reference field="82" count="1" selected="0">
            <x v="1094"/>
          </reference>
          <reference field="85" count="1" selected="0">
            <x v="7"/>
          </reference>
          <reference field="87" count="1">
            <x v="2018"/>
          </reference>
        </references>
      </pivotArea>
    </format>
    <format dxfId="479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63"/>
          </reference>
          <reference field="82" count="1" selected="0">
            <x v="1021"/>
          </reference>
          <reference field="85" count="1" selected="0">
            <x v="0"/>
          </reference>
          <reference field="87" count="1">
            <x v="1945"/>
          </reference>
        </references>
      </pivotArea>
    </format>
    <format dxfId="479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61"/>
          </reference>
          <reference field="82" count="1" selected="0">
            <x v="1019"/>
          </reference>
          <reference field="85" count="1" selected="0">
            <x v="0"/>
          </reference>
          <reference field="87" count="1">
            <x v="1943"/>
          </reference>
        </references>
      </pivotArea>
    </format>
    <format dxfId="479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62"/>
          </reference>
          <reference field="82" count="1" selected="0">
            <x v="1020"/>
          </reference>
          <reference field="85" count="1" selected="0">
            <x v="0"/>
          </reference>
          <reference field="87" count="1">
            <x v="1944"/>
          </reference>
        </references>
      </pivotArea>
    </format>
    <format dxfId="4794">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9"/>
          </reference>
          <reference field="82" count="1" selected="0">
            <x v="1097"/>
          </reference>
          <reference field="85" count="1" selected="0">
            <x v="7"/>
          </reference>
          <reference field="87" count="1">
            <x v="2021"/>
          </reference>
        </references>
      </pivotArea>
    </format>
    <format dxfId="479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40"/>
          </reference>
          <reference field="82" count="1" selected="0">
            <x v="1098"/>
          </reference>
          <reference field="85" count="1" selected="0">
            <x v="7"/>
          </reference>
          <reference field="87" count="1">
            <x v="2022"/>
          </reference>
        </references>
      </pivotArea>
    </format>
    <format dxfId="479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9"/>
          </reference>
          <reference field="82" count="1" selected="0">
            <x v="1177"/>
          </reference>
          <reference field="85" count="1" selected="0">
            <x v="4"/>
          </reference>
          <reference field="87" count="1">
            <x v="2101"/>
          </reference>
        </references>
      </pivotArea>
    </format>
    <format dxfId="479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20"/>
          </reference>
          <reference field="82" count="1" selected="0">
            <x v="1178"/>
          </reference>
          <reference field="85" count="1" selected="0">
            <x v="4"/>
          </reference>
          <reference field="87" count="1">
            <x v="2102"/>
          </reference>
        </references>
      </pivotArea>
    </format>
    <format dxfId="479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21"/>
          </reference>
          <reference field="82" count="1" selected="0">
            <x v="1179"/>
          </reference>
          <reference field="85" count="1" selected="0">
            <x v="4"/>
          </reference>
          <reference field="87" count="1">
            <x v="2103"/>
          </reference>
        </references>
      </pivotArea>
    </format>
    <format dxfId="478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2"/>
          </reference>
          <reference field="82" count="1" selected="0">
            <x v="1180"/>
          </reference>
          <reference field="85" count="1" selected="0">
            <x v="4"/>
          </reference>
          <reference field="87" count="1">
            <x v="2104"/>
          </reference>
        </references>
      </pivotArea>
    </format>
    <format dxfId="4788">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x v="2025"/>
          </reference>
        </references>
      </pivotArea>
    </format>
    <format dxfId="478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4"/>
          </reference>
          <reference field="82" count="1" selected="0">
            <x v="1102"/>
          </reference>
          <reference field="85" count="1" selected="0">
            <x v="7"/>
          </reference>
          <reference field="87" count="1">
            <x v="2026"/>
          </reference>
        </references>
      </pivotArea>
    </format>
    <format dxfId="4786">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2"/>
          </reference>
          <reference field="82" count="1" selected="0">
            <x v="1030"/>
          </reference>
          <reference field="85" count="1" selected="0">
            <x v="0"/>
          </reference>
          <reference field="87" count="1">
            <x v="1954"/>
          </reference>
        </references>
      </pivotArea>
    </format>
    <format dxfId="478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579"/>
          </reference>
          <reference field="82" count="1" selected="0">
            <x v="1037"/>
          </reference>
          <reference field="85" count="1" selected="0">
            <x v="0"/>
          </reference>
          <reference field="87" count="1">
            <x v="1961"/>
          </reference>
        </references>
      </pivotArea>
    </format>
    <format dxfId="478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580"/>
          </reference>
          <reference field="82" count="1" selected="0">
            <x v="1038"/>
          </reference>
          <reference field="85" count="1" selected="0">
            <x v="0"/>
          </reference>
          <reference field="87" count="1">
            <x v="1962"/>
          </reference>
        </references>
      </pivotArea>
    </format>
    <format dxfId="478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81"/>
          </reference>
          <reference field="82" count="1" selected="0">
            <x v="1039"/>
          </reference>
          <reference field="85" count="1" selected="0">
            <x v="0"/>
          </reference>
          <reference field="87" count="1">
            <x v="1963"/>
          </reference>
        </references>
      </pivotArea>
    </format>
    <format dxfId="4782">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3"/>
          </reference>
          <reference field="82" count="1" selected="0">
            <x v="939"/>
          </reference>
          <reference field="85" count="1" selected="0">
            <x v="7"/>
          </reference>
          <reference field="87" count="1">
            <x v="1865"/>
          </reference>
        </references>
      </pivotArea>
    </format>
    <format dxfId="4781">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467"/>
          </reference>
          <reference field="82" count="1" selected="0">
            <x v="922"/>
          </reference>
          <reference field="85" count="1" selected="0">
            <x v="7"/>
          </reference>
          <reference field="87" count="1">
            <x v="1849"/>
          </reference>
        </references>
      </pivotArea>
    </format>
    <format dxfId="478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68"/>
          </reference>
          <reference field="82" count="1" selected="0">
            <x v="923"/>
          </reference>
          <reference field="85" count="1" selected="0">
            <x v="7"/>
          </reference>
          <reference field="87" count="1">
            <x v="1850"/>
          </reference>
        </references>
      </pivotArea>
    </format>
    <format dxfId="477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3"/>
          </reference>
          <reference field="82" count="1" selected="0">
            <x v="1031"/>
          </reference>
          <reference field="85" count="1" selected="0">
            <x v="0"/>
          </reference>
          <reference field="87" count="1">
            <x v="1955"/>
          </reference>
        </references>
      </pivotArea>
    </format>
    <format dxfId="477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74"/>
          </reference>
          <reference field="82" count="1" selected="0">
            <x v="1032"/>
          </reference>
          <reference field="85" count="1" selected="0">
            <x v="0"/>
          </reference>
          <reference field="87" count="1">
            <x v="1956"/>
          </reference>
        </references>
      </pivotArea>
    </format>
    <format dxfId="477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75"/>
          </reference>
          <reference field="82" count="1" selected="0">
            <x v="1033"/>
          </reference>
          <reference field="85" count="1" selected="0">
            <x v="0"/>
          </reference>
          <reference field="87" count="1">
            <x v="1957"/>
          </reference>
        </references>
      </pivotArea>
    </format>
    <format dxfId="477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45"/>
          </reference>
          <reference field="82" count="1" selected="0">
            <x v="1103"/>
          </reference>
          <reference field="85" count="1" selected="0">
            <x v="7"/>
          </reference>
          <reference field="87" count="1">
            <x v="2027"/>
          </reference>
        </references>
      </pivotArea>
    </format>
    <format dxfId="477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46"/>
          </reference>
          <reference field="82" count="1" selected="0">
            <x v="1104"/>
          </reference>
          <reference field="85" count="1" selected="0">
            <x v="7"/>
          </reference>
          <reference field="87" count="1">
            <x v="2028"/>
          </reference>
        </references>
      </pivotArea>
    </format>
    <format dxfId="4774">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88"/>
          </reference>
          <reference field="82" count="1" selected="0">
            <x v="944"/>
          </reference>
          <reference field="85" count="1" selected="0">
            <x v="7"/>
          </reference>
          <reference field="87" count="1">
            <x v="1870"/>
          </reference>
        </references>
      </pivotArea>
    </format>
    <format dxfId="477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6"/>
          </reference>
          <reference field="82" count="1" selected="0">
            <x v="1034"/>
          </reference>
          <reference field="85" count="1" selected="0">
            <x v="0"/>
          </reference>
          <reference field="87" count="1">
            <x v="1958"/>
          </reference>
        </references>
      </pivotArea>
    </format>
    <format dxfId="477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77"/>
          </reference>
          <reference field="82" count="1" selected="0">
            <x v="1035"/>
          </reference>
          <reference field="85" count="1" selected="0">
            <x v="0"/>
          </reference>
          <reference field="87" count="1">
            <x v="1959"/>
          </reference>
        </references>
      </pivotArea>
    </format>
    <format dxfId="477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78"/>
          </reference>
          <reference field="82" count="1" selected="0">
            <x v="1036"/>
          </reference>
          <reference field="85" count="1" selected="0">
            <x v="0"/>
          </reference>
          <reference field="87" count="1">
            <x v="1960"/>
          </reference>
        </references>
      </pivotArea>
    </format>
    <format dxfId="4770">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 field="85" count="1" selected="0">
            <x v="7"/>
          </reference>
          <reference field="87" count="1">
            <x v="2034"/>
          </reference>
        </references>
      </pivotArea>
    </format>
    <format dxfId="476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85"/>
          </reference>
          <reference field="82" count="1" selected="0">
            <x v="1043"/>
          </reference>
          <reference field="85" count="1" selected="0">
            <x v="0"/>
          </reference>
          <reference field="87" count="1">
            <x v="1967"/>
          </reference>
        </references>
      </pivotArea>
    </format>
    <format dxfId="476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86"/>
          </reference>
          <reference field="82" count="1" selected="0">
            <x v="1044"/>
          </reference>
          <reference field="85" count="1" selected="0">
            <x v="0"/>
          </reference>
          <reference field="87" count="1">
            <x v="1968"/>
          </reference>
        </references>
      </pivotArea>
    </format>
    <format dxfId="476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87"/>
          </reference>
          <reference field="82" count="1" selected="0">
            <x v="1045"/>
          </reference>
          <reference field="85" count="1" selected="0">
            <x v="0"/>
          </reference>
          <reference field="87" count="1">
            <x v="1969"/>
          </reference>
        </references>
      </pivotArea>
    </format>
    <format dxfId="476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60"/>
          </reference>
          <reference field="82" count="1" selected="0">
            <x v="915"/>
          </reference>
          <reference field="85" count="1" selected="0">
            <x v="7"/>
          </reference>
          <reference field="87" count="1">
            <x v="1842"/>
          </reference>
        </references>
      </pivotArea>
    </format>
    <format dxfId="476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1"/>
          </reference>
          <reference field="82" count="1" selected="0">
            <x v="916"/>
          </reference>
          <reference field="85" count="1" selected="0">
            <x v="7"/>
          </reference>
          <reference field="87" count="1">
            <x v="1843"/>
          </reference>
        </references>
      </pivotArea>
    </format>
    <format dxfId="476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23"/>
          </reference>
          <reference field="82" count="1" selected="0">
            <x v="980"/>
          </reference>
          <reference field="85" count="1" selected="0">
            <x v="4"/>
          </reference>
          <reference field="87" count="1">
            <x v="1905"/>
          </reference>
        </references>
      </pivotArea>
    </format>
    <format dxfId="476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524"/>
          </reference>
          <reference field="82" count="1" selected="0">
            <x v="981"/>
          </reference>
          <reference field="85" count="1" selected="0">
            <x v="4"/>
          </reference>
          <reference field="87" count="1">
            <x v="1906"/>
          </reference>
        </references>
      </pivotArea>
    </format>
    <format dxfId="476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521"/>
          </reference>
          <reference field="82" count="1" selected="0">
            <x v="978"/>
          </reference>
          <reference field="85" count="1" selected="0">
            <x v="4"/>
          </reference>
          <reference field="87" count="1">
            <x v="1903"/>
          </reference>
        </references>
      </pivotArea>
    </format>
    <format dxfId="476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522"/>
          </reference>
          <reference field="82" count="1" selected="0">
            <x v="979"/>
          </reference>
          <reference field="85" count="1" selected="0">
            <x v="4"/>
          </reference>
          <reference field="87" count="1">
            <x v="1904"/>
          </reference>
        </references>
      </pivotArea>
    </format>
    <format dxfId="476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82"/>
          </reference>
          <reference field="82" count="1" selected="0">
            <x v="1040"/>
          </reference>
          <reference field="85" count="1" selected="0">
            <x v="0"/>
          </reference>
          <reference field="87" count="1">
            <x v="1964"/>
          </reference>
        </references>
      </pivotArea>
    </format>
    <format dxfId="475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83"/>
          </reference>
          <reference field="82" count="1" selected="0">
            <x v="1041"/>
          </reference>
          <reference field="85" count="1" selected="0">
            <x v="0"/>
          </reference>
          <reference field="87" count="1">
            <x v="1965"/>
          </reference>
        </references>
      </pivotArea>
    </format>
    <format dxfId="475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84"/>
          </reference>
          <reference field="82" count="1" selected="0">
            <x v="1042"/>
          </reference>
          <reference field="85" count="1" selected="0">
            <x v="0"/>
          </reference>
          <reference field="87" count="1">
            <x v="1966"/>
          </reference>
        </references>
      </pivotArea>
    </format>
    <format dxfId="4757">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66"/>
          </reference>
          <reference field="82" count="1" selected="0">
            <x v="1124"/>
          </reference>
          <reference field="85" count="1" selected="0">
            <x v="7"/>
          </reference>
          <reference field="87" count="1">
            <x v="2048"/>
          </reference>
        </references>
      </pivotArea>
    </format>
    <format dxfId="4756">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76"/>
          </reference>
          <reference field="82" count="1" selected="0">
            <x v="931"/>
          </reference>
          <reference field="85" count="1" selected="0">
            <x v="7"/>
          </reference>
          <reference field="87" count="1">
            <x v="1858"/>
          </reference>
        </references>
      </pivotArea>
    </format>
    <format dxfId="475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46"/>
          </reference>
          <reference field="82" count="1" selected="0">
            <x v="1004"/>
          </reference>
          <reference field="85" count="1" selected="0">
            <x v="0"/>
          </reference>
          <reference field="87" count="1">
            <x v="1928"/>
          </reference>
        </references>
      </pivotArea>
    </format>
    <format dxfId="475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45"/>
          </reference>
          <reference field="82" count="1" selected="0">
            <x v="1003"/>
          </reference>
          <reference field="85" count="1" selected="0">
            <x v="0"/>
          </reference>
          <reference field="87" count="1">
            <x v="1927"/>
          </reference>
        </references>
      </pivotArea>
    </format>
    <format dxfId="475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47"/>
          </reference>
          <reference field="82" count="1" selected="0">
            <x v="1005"/>
          </reference>
          <reference field="85" count="1" selected="0">
            <x v="0"/>
          </reference>
          <reference field="87" count="1">
            <x v="1929"/>
          </reference>
        </references>
      </pivotArea>
    </format>
    <format dxfId="475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84"/>
          </reference>
          <reference field="82" count="1" selected="0">
            <x v="940"/>
          </reference>
          <reference field="85" count="1" selected="0">
            <x v="7"/>
          </reference>
          <reference field="87" count="1">
            <x v="1866"/>
          </reference>
        </references>
      </pivotArea>
    </format>
    <format dxfId="475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75"/>
          </reference>
          <reference field="82" count="1" selected="0">
            <x v="930"/>
          </reference>
          <reference field="85" count="1" selected="0">
            <x v="7"/>
          </reference>
          <reference field="87" count="1">
            <x v="1857"/>
          </reference>
        </references>
      </pivotArea>
    </format>
    <format dxfId="475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27"/>
          </reference>
          <reference field="82" count="1" selected="0">
            <x v="984"/>
          </reference>
          <reference field="85" count="1" selected="0">
            <x v="4"/>
          </reference>
          <reference field="87" count="1">
            <x v="1909"/>
          </reference>
        </references>
      </pivotArea>
    </format>
    <format dxfId="474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528"/>
          </reference>
          <reference field="82" count="1" selected="0">
            <x v="985"/>
          </reference>
          <reference field="85" count="1" selected="0">
            <x v="4"/>
          </reference>
          <reference field="87" count="1">
            <x v="1910"/>
          </reference>
        </references>
      </pivotArea>
    </format>
    <format dxfId="474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525"/>
          </reference>
          <reference field="82" count="1" selected="0">
            <x v="982"/>
          </reference>
          <reference field="85" count="1" selected="0">
            <x v="4"/>
          </reference>
          <reference field="87" count="1">
            <x v="1907"/>
          </reference>
        </references>
      </pivotArea>
    </format>
    <format dxfId="474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526"/>
          </reference>
          <reference field="82" count="1" selected="0">
            <x v="983"/>
          </reference>
          <reference field="85" count="1" selected="0">
            <x v="4"/>
          </reference>
          <reference field="87" count="1">
            <x v="1908"/>
          </reference>
        </references>
      </pivotArea>
    </format>
    <format dxfId="474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2"/>
          </reference>
          <reference field="82" count="1" selected="0">
            <x v="1000"/>
          </reference>
          <reference field="85" count="1" selected="0">
            <x v="0"/>
          </reference>
          <reference field="87" count="1">
            <x v="1924"/>
          </reference>
        </references>
      </pivotArea>
    </format>
    <format dxfId="474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43"/>
          </reference>
          <reference field="82" count="1" selected="0">
            <x v="1001"/>
          </reference>
          <reference field="85" count="1" selected="0">
            <x v="0"/>
          </reference>
          <reference field="87" count="1">
            <x v="1925"/>
          </reference>
        </references>
      </pivotArea>
    </format>
    <format dxfId="474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44"/>
          </reference>
          <reference field="82" count="1" selected="0">
            <x v="1002"/>
          </reference>
          <reference field="85" count="1" selected="0">
            <x v="0"/>
          </reference>
          <reference field="87" count="1">
            <x v="1926"/>
          </reference>
        </references>
      </pivotArea>
    </format>
    <format dxfId="4743">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58"/>
          </reference>
          <reference field="82" count="1" selected="0">
            <x v="1116"/>
          </reference>
          <reference field="85" count="1" selected="0">
            <x v="7"/>
          </reference>
          <reference field="87" count="1">
            <x v="2040"/>
          </reference>
        </references>
      </pivotArea>
    </format>
    <format dxfId="474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8"/>
          </reference>
          <reference field="82" count="1" selected="0">
            <x v="1006"/>
          </reference>
          <reference field="85" count="1" selected="0">
            <x v="0"/>
          </reference>
          <reference field="87" count="1">
            <x v="1930"/>
          </reference>
        </references>
      </pivotArea>
    </format>
    <format dxfId="474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49"/>
          </reference>
          <reference field="82" count="1" selected="0">
            <x v="1007"/>
          </reference>
          <reference field="85" count="1" selected="0">
            <x v="0"/>
          </reference>
          <reference field="87" count="1">
            <x v="1931"/>
          </reference>
        </references>
      </pivotArea>
    </format>
    <format dxfId="474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50"/>
          </reference>
          <reference field="82" count="1" selected="0">
            <x v="1008"/>
          </reference>
          <reference field="85" count="1" selected="0">
            <x v="0"/>
          </reference>
          <reference field="87" count="1">
            <x v="1932"/>
          </reference>
        </references>
      </pivotArea>
    </format>
    <format dxfId="473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69"/>
          </reference>
          <reference field="82" count="1" selected="0">
            <x v="924"/>
          </reference>
          <reference field="85" count="1" selected="0">
            <x v="7"/>
          </reference>
          <reference field="87" count="1">
            <x v="1851"/>
          </reference>
        </references>
      </pivotArea>
    </format>
    <format dxfId="473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70"/>
          </reference>
          <reference field="82" count="1" selected="0">
            <x v="925"/>
          </reference>
          <reference field="85" count="1" selected="0">
            <x v="7"/>
          </reference>
          <reference field="87" count="1">
            <x v="1852"/>
          </reference>
        </references>
      </pivotArea>
    </format>
    <format dxfId="473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1"/>
          </reference>
          <reference field="82" count="1" selected="0">
            <x v="1009"/>
          </reference>
          <reference field="85" count="1" selected="0">
            <x v="0"/>
          </reference>
          <reference field="87" count="1">
            <x v="1933"/>
          </reference>
        </references>
      </pivotArea>
    </format>
    <format dxfId="473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52"/>
          </reference>
          <reference field="82" count="1" selected="0">
            <x v="1010"/>
          </reference>
          <reference field="85" count="1" selected="0">
            <x v="0"/>
          </reference>
          <reference field="87" count="1">
            <x v="1934"/>
          </reference>
        </references>
      </pivotArea>
    </format>
    <format dxfId="473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53"/>
          </reference>
          <reference field="82" count="1" selected="0">
            <x v="1011"/>
          </reference>
          <reference field="85" count="1" selected="0">
            <x v="0"/>
          </reference>
          <reference field="87" count="1">
            <x v="1935"/>
          </reference>
        </references>
      </pivotArea>
    </format>
    <format dxfId="473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12"/>
          </reference>
          <reference field="82" count="1" selected="0">
            <x v="1070"/>
          </reference>
          <reference field="85" count="1" selected="0">
            <x v="2"/>
          </reference>
          <reference field="87" count="1">
            <x v="1994"/>
          </reference>
        </references>
      </pivotArea>
    </format>
    <format dxfId="473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11"/>
          </reference>
          <reference field="82" count="1" selected="0">
            <x v="1069"/>
          </reference>
          <reference field="85" count="1" selected="0">
            <x v="2"/>
          </reference>
          <reference field="87" count="1">
            <x v="1993"/>
          </reference>
        </references>
      </pivotArea>
    </format>
    <format dxfId="473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13"/>
          </reference>
          <reference field="82" count="1" selected="0">
            <x v="1071"/>
          </reference>
          <reference field="85" count="1" selected="0">
            <x v="2"/>
          </reference>
          <reference field="87" count="1">
            <x v="1995"/>
          </reference>
        </references>
      </pivotArea>
    </format>
    <format dxfId="473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4"/>
          </reference>
          <reference field="82" count="1" selected="0">
            <x v="1012"/>
          </reference>
          <reference field="85" count="1" selected="0">
            <x v="0"/>
          </reference>
          <reference field="87" count="1">
            <x v="1936"/>
          </reference>
        </references>
      </pivotArea>
    </format>
    <format dxfId="473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55"/>
          </reference>
          <reference field="82" count="1" selected="0">
            <x v="1013"/>
          </reference>
          <reference field="85" count="1" selected="0">
            <x v="0"/>
          </reference>
          <reference field="87" count="1">
            <x v="1937"/>
          </reference>
        </references>
      </pivotArea>
    </format>
    <format dxfId="472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56"/>
          </reference>
          <reference field="82" count="1" selected="0">
            <x v="1014"/>
          </reference>
          <reference field="85" count="1" selected="0">
            <x v="0"/>
          </reference>
          <reference field="87" count="1">
            <x v="1938"/>
          </reference>
        </references>
      </pivotArea>
    </format>
    <format dxfId="4728">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49"/>
          </reference>
          <reference field="82" count="1" selected="0">
            <x v="1107"/>
          </reference>
          <reference field="85" count="1" selected="0">
            <x v="7"/>
          </reference>
          <reference field="87" count="1">
            <x v="2031"/>
          </reference>
        </references>
      </pivotArea>
    </format>
    <format dxfId="472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53"/>
          </reference>
          <reference field="82" count="1" selected="0">
            <x v="1211"/>
          </reference>
          <reference field="85" count="1" selected="0">
            <x v="4"/>
          </reference>
          <reference field="87" count="1">
            <x v="2135"/>
          </reference>
        </references>
      </pivotArea>
    </format>
    <format dxfId="472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54"/>
          </reference>
          <reference field="82" count="1" selected="0">
            <x v="1212"/>
          </reference>
          <reference field="85" count="1" selected="0">
            <x v="4"/>
          </reference>
          <reference field="87" count="1">
            <x v="2136"/>
          </reference>
        </references>
      </pivotArea>
    </format>
    <format dxfId="472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55"/>
          </reference>
          <reference field="82" count="1" selected="0">
            <x v="1213"/>
          </reference>
          <reference field="85" count="1" selected="0">
            <x v="4"/>
          </reference>
          <reference field="87" count="1">
            <x v="2137"/>
          </reference>
        </references>
      </pivotArea>
    </format>
    <format dxfId="472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56"/>
          </reference>
          <reference field="82" count="1" selected="0">
            <x v="1214"/>
          </reference>
          <reference field="85" count="1" selected="0">
            <x v="4"/>
          </reference>
          <reference field="87" count="1">
            <x v="2138"/>
          </reference>
        </references>
      </pivotArea>
    </format>
    <format dxfId="472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6"/>
          </reference>
          <reference field="82" count="1" selected="0">
            <x v="1134"/>
          </reference>
          <reference field="85" count="1" selected="0">
            <x v="4"/>
          </reference>
          <reference field="87" count="1">
            <x v="2058"/>
          </reference>
        </references>
      </pivotArea>
    </format>
    <format dxfId="472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77"/>
          </reference>
          <reference field="82" count="1" selected="0">
            <x v="1135"/>
          </reference>
          <reference field="85" count="1" selected="0">
            <x v="4"/>
          </reference>
          <reference field="87" count="1">
            <x v="2059"/>
          </reference>
        </references>
      </pivotArea>
    </format>
    <format dxfId="472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8"/>
          </reference>
          <reference field="82" count="1" selected="0">
            <x v="1136"/>
          </reference>
          <reference field="85" count="1" selected="0">
            <x v="4"/>
          </reference>
          <reference field="87" count="1">
            <x v="2060"/>
          </reference>
        </references>
      </pivotArea>
    </format>
    <format dxfId="472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9"/>
          </reference>
          <reference field="82" count="1" selected="0">
            <x v="1137"/>
          </reference>
          <reference field="85" count="1" selected="0">
            <x v="4"/>
          </reference>
          <reference field="87" count="1">
            <x v="2061"/>
          </reference>
        </references>
      </pivotArea>
    </format>
    <format dxfId="4719">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49"/>
          </reference>
          <reference field="82" count="1" selected="0">
            <x v="904"/>
          </reference>
          <reference field="85" count="1" selected="0">
            <x v="3"/>
          </reference>
          <reference field="87" count="1">
            <x v="1831"/>
          </reference>
        </references>
      </pivotArea>
    </format>
    <format dxfId="471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48"/>
          </reference>
          <reference field="82" count="1" selected="0">
            <x v="903"/>
          </reference>
          <reference field="85" count="1" selected="0">
            <x v="3"/>
          </reference>
          <reference field="87" count="1">
            <x v="1830"/>
          </reference>
        </references>
      </pivotArea>
    </format>
    <format dxfId="471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2"/>
          </reference>
          <reference field="82" count="1" selected="0">
            <x v="1130"/>
          </reference>
          <reference field="85" count="1" selected="0">
            <x v="4"/>
          </reference>
          <reference field="87" count="1">
            <x v="2054"/>
          </reference>
        </references>
      </pivotArea>
    </format>
    <format dxfId="471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73"/>
          </reference>
          <reference field="82" count="1" selected="0">
            <x v="1131"/>
          </reference>
          <reference field="85" count="1" selected="0">
            <x v="4"/>
          </reference>
          <reference field="87" count="1">
            <x v="2055"/>
          </reference>
        </references>
      </pivotArea>
    </format>
    <format dxfId="471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4"/>
          </reference>
          <reference field="82" count="1" selected="0">
            <x v="1132"/>
          </reference>
          <reference field="85" count="1" selected="0">
            <x v="4"/>
          </reference>
          <reference field="87" count="1">
            <x v="2056"/>
          </reference>
        </references>
      </pivotArea>
    </format>
    <format dxfId="471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5"/>
          </reference>
          <reference field="82" count="1" selected="0">
            <x v="1133"/>
          </reference>
          <reference field="85" count="1" selected="0">
            <x v="4"/>
          </reference>
          <reference field="87" count="1">
            <x v="2057"/>
          </reference>
        </references>
      </pivotArea>
    </format>
    <format dxfId="471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68"/>
          </reference>
          <reference field="82" count="1" selected="0">
            <x v="1126"/>
          </reference>
          <reference field="85" count="1" selected="0">
            <x v="4"/>
          </reference>
          <reference field="87" count="1">
            <x v="2050"/>
          </reference>
        </references>
      </pivotArea>
    </format>
    <format dxfId="471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69"/>
          </reference>
          <reference field="82" count="1" selected="0">
            <x v="1127"/>
          </reference>
          <reference field="85" count="1" selected="0">
            <x v="4"/>
          </reference>
          <reference field="87" count="1">
            <x v="2051"/>
          </reference>
        </references>
      </pivotArea>
    </format>
    <format dxfId="471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0"/>
          </reference>
          <reference field="82" count="1" selected="0">
            <x v="1128"/>
          </reference>
          <reference field="85" count="1" selected="0">
            <x v="4"/>
          </reference>
          <reference field="87" count="1">
            <x v="2052"/>
          </reference>
        </references>
      </pivotArea>
    </format>
    <format dxfId="471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1"/>
          </reference>
          <reference field="82" count="1" selected="0">
            <x v="1129"/>
          </reference>
          <reference field="85" count="1" selected="0">
            <x v="4"/>
          </reference>
          <reference field="87" count="1">
            <x v="2053"/>
          </reference>
        </references>
      </pivotArea>
    </format>
    <format dxfId="470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89"/>
          </reference>
          <reference field="82" count="1" selected="0">
            <x v="1047"/>
          </reference>
          <reference field="85" count="1" selected="0">
            <x v="0"/>
          </reference>
          <reference field="87" count="1">
            <x v="1971"/>
          </reference>
        </references>
      </pivotArea>
    </format>
    <format dxfId="470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590"/>
          </reference>
          <reference field="82" count="1" selected="0">
            <x v="1048"/>
          </reference>
          <reference field="85" count="1" selected="0">
            <x v="0"/>
          </reference>
          <reference field="87" count="1">
            <x v="1972"/>
          </reference>
        </references>
      </pivotArea>
    </format>
    <format dxfId="470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588"/>
          </reference>
          <reference field="82" count="1" selected="0">
            <x v="1046"/>
          </reference>
          <reference field="85" count="1" selected="0">
            <x v="0"/>
          </reference>
          <reference field="87" count="1">
            <x v="1970"/>
          </reference>
        </references>
      </pivotArea>
    </format>
    <format dxfId="470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62"/>
          </reference>
          <reference field="82" count="1" selected="0">
            <x v="917"/>
          </reference>
          <reference field="85" count="1" selected="0">
            <x v="7"/>
          </reference>
          <reference field="87" count="1">
            <x v="1844"/>
          </reference>
        </references>
      </pivotArea>
    </format>
    <format dxfId="470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63"/>
          </reference>
          <reference field="82" count="1" selected="0">
            <x v="918"/>
          </reference>
          <reference field="85" count="1" selected="0">
            <x v="7"/>
          </reference>
          <reference field="87" count="1">
            <x v="1845"/>
          </reference>
        </references>
      </pivotArea>
    </format>
    <format dxfId="470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selected="0">
            <x v="919"/>
          </reference>
          <reference field="85" count="1" selected="0">
            <x v="7"/>
          </reference>
          <reference field="87" count="1">
            <x v="1846"/>
          </reference>
        </references>
      </pivotArea>
    </format>
    <format dxfId="470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17"/>
          </reference>
          <reference field="82" count="1" selected="0">
            <x v="974"/>
          </reference>
          <reference field="85" count="1" selected="0">
            <x v="4"/>
          </reference>
          <reference field="87" count="1">
            <x v="1899"/>
          </reference>
        </references>
      </pivotArea>
    </format>
    <format dxfId="470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518"/>
          </reference>
          <reference field="82" count="1" selected="0">
            <x v="975"/>
          </reference>
          <reference field="85" count="1" selected="0">
            <x v="4"/>
          </reference>
          <reference field="87" count="1">
            <x v="1900"/>
          </reference>
        </references>
      </pivotArea>
    </format>
    <format dxfId="470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519"/>
          </reference>
          <reference field="82" count="1" selected="0">
            <x v="976"/>
          </reference>
          <reference field="85" count="1" selected="0">
            <x v="4"/>
          </reference>
          <reference field="87" count="1">
            <x v="1901"/>
          </reference>
        </references>
      </pivotArea>
    </format>
    <format dxfId="470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520"/>
          </reference>
          <reference field="82" count="1" selected="0">
            <x v="977"/>
          </reference>
          <reference field="85" count="1" selected="0">
            <x v="4"/>
          </reference>
          <reference field="87" count="1">
            <x v="1902"/>
          </reference>
        </references>
      </pivotArea>
    </format>
    <format dxfId="469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00"/>
          </reference>
          <reference field="82" count="1" selected="0">
            <x v="1058"/>
          </reference>
          <reference field="85" count="1" selected="0">
            <x v="0"/>
          </reference>
          <reference field="87" count="1">
            <x v="1982"/>
          </reference>
        </references>
      </pivotArea>
    </format>
    <format dxfId="469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01"/>
          </reference>
          <reference field="82" count="1" selected="0">
            <x v="1059"/>
          </reference>
          <reference field="85" count="1" selected="0">
            <x v="0"/>
          </reference>
          <reference field="87" count="1">
            <x v="1983"/>
          </reference>
        </references>
      </pivotArea>
    </format>
    <format dxfId="469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02"/>
          </reference>
          <reference field="82" count="1" selected="0">
            <x v="1060"/>
          </reference>
          <reference field="85" count="1" selected="0">
            <x v="0"/>
          </reference>
          <reference field="87" count="1">
            <x v="1984"/>
          </reference>
        </references>
      </pivotArea>
    </format>
    <format dxfId="469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4"/>
          </reference>
          <reference field="82" count="1" selected="0">
            <x v="1122"/>
          </reference>
          <reference field="85" count="1" selected="0">
            <x v="7"/>
          </reference>
          <reference field="87" count="1">
            <x v="2046"/>
          </reference>
        </references>
      </pivotArea>
    </format>
    <format dxfId="469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65"/>
          </reference>
          <reference field="82" count="1" selected="0">
            <x v="1123"/>
          </reference>
          <reference field="85" count="1" selected="0">
            <x v="7"/>
          </reference>
          <reference field="87" count="1">
            <x v="2047"/>
          </reference>
        </references>
      </pivotArea>
    </format>
    <format dxfId="469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8"/>
          </reference>
          <reference field="82" count="1" selected="0">
            <x v="913"/>
          </reference>
          <reference field="85" count="1" selected="0">
            <x v="3"/>
          </reference>
          <reference field="87" count="1">
            <x v="1840"/>
          </reference>
        </references>
      </pivotArea>
    </format>
    <format dxfId="469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1"/>
          </reference>
          <reference field="82" count="1" selected="0">
            <x v="926"/>
          </reference>
          <reference field="85" count="1" selected="0">
            <x v="7"/>
          </reference>
          <reference field="87" count="1">
            <x v="1853"/>
          </reference>
        </references>
      </pivotArea>
    </format>
    <format dxfId="4692">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72"/>
          </reference>
          <reference field="82" count="1" selected="0">
            <x v="927"/>
          </reference>
          <reference field="85" count="1" selected="0">
            <x v="7"/>
          </reference>
          <reference field="87" count="1">
            <x v="1854"/>
          </reference>
        </references>
      </pivotArea>
    </format>
    <format dxfId="469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65"/>
          </reference>
          <reference field="82" count="1" selected="0">
            <x v="920"/>
          </reference>
          <reference field="85" count="1" selected="0">
            <x v="7"/>
          </reference>
          <reference field="87" count="1">
            <x v="1847"/>
          </reference>
        </references>
      </pivotArea>
    </format>
    <format dxfId="469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66"/>
          </reference>
          <reference field="82" count="1" selected="0">
            <x v="921"/>
          </reference>
          <reference field="85" count="1" selected="0">
            <x v="7"/>
          </reference>
          <reference field="87" count="1">
            <x v="1848"/>
          </reference>
        </references>
      </pivotArea>
    </format>
    <format dxfId="468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selected="0">
            <x v="919"/>
          </reference>
          <reference field="85" count="1" selected="0">
            <x v="7"/>
          </reference>
          <reference field="87" count="1">
            <x v="1846"/>
          </reference>
        </references>
      </pivotArea>
    </format>
    <format dxfId="468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14"/>
          </reference>
          <reference field="82" count="1" selected="0">
            <x v="970"/>
          </reference>
          <reference field="85" count="1" selected="0">
            <x v="4"/>
          </reference>
          <reference field="87" count="1">
            <x v="1896"/>
          </reference>
        </references>
      </pivotArea>
    </format>
    <format dxfId="468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512"/>
          </reference>
          <reference field="82" count="1" selected="0">
            <x v="971"/>
          </reference>
          <reference field="85" count="1" selected="0">
            <x v="4"/>
          </reference>
          <reference field="87" count="1">
            <x v="1894"/>
          </reference>
        </references>
      </pivotArea>
    </format>
    <format dxfId="468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515"/>
          </reference>
          <reference field="82" count="1" selected="0">
            <x v="972"/>
          </reference>
          <reference field="85" count="1" selected="0">
            <x v="4"/>
          </reference>
          <reference field="87" count="1">
            <x v="1897"/>
          </reference>
        </references>
      </pivotArea>
    </format>
    <format dxfId="468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516"/>
          </reference>
          <reference field="82" count="1" selected="0">
            <x v="973"/>
          </reference>
          <reference field="85" count="1" selected="0">
            <x v="4"/>
          </reference>
          <reference field="87" count="1">
            <x v="1898"/>
          </reference>
        </references>
      </pivotArea>
    </format>
    <format dxfId="468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97"/>
          </reference>
          <reference field="82" count="1" selected="0">
            <x v="1055"/>
          </reference>
          <reference field="85" count="1" selected="0">
            <x v="0"/>
          </reference>
          <reference field="87" count="1">
            <x v="1979"/>
          </reference>
        </references>
      </pivotArea>
    </format>
    <format dxfId="468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98"/>
          </reference>
          <reference field="82" count="1" selected="0">
            <x v="1056"/>
          </reference>
          <reference field="85" count="1" selected="0">
            <x v="0"/>
          </reference>
          <reference field="87" count="1">
            <x v="1980"/>
          </reference>
        </references>
      </pivotArea>
    </format>
    <format dxfId="4682">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99"/>
          </reference>
          <reference field="82" count="1" selected="0">
            <x v="1057"/>
          </reference>
          <reference field="85" count="1" selected="0">
            <x v="0"/>
          </reference>
          <reference field="87" count="1">
            <x v="1981"/>
          </reference>
        </references>
      </pivotArea>
    </format>
    <format dxfId="4681">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3"/>
          </reference>
          <reference field="82" count="1" selected="0">
            <x v="1121"/>
          </reference>
          <reference field="85" count="1" selected="0">
            <x v="7"/>
          </reference>
          <reference field="87" count="1">
            <x v="2045"/>
          </reference>
        </references>
      </pivotArea>
    </format>
    <format dxfId="468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9"/>
          </reference>
          <reference field="82" count="1" selected="0">
            <x v="914"/>
          </reference>
          <reference field="85" count="1" selected="0">
            <x v="3"/>
          </reference>
          <reference field="87" count="1">
            <x v="1841"/>
          </reference>
        </references>
      </pivotArea>
    </format>
    <format dxfId="467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3"/>
          </reference>
          <reference field="82" count="1" selected="0">
            <x v="928"/>
          </reference>
          <reference field="85" count="1" selected="0">
            <x v="7"/>
          </reference>
          <reference field="87" count="1">
            <x v="1855"/>
          </reference>
        </references>
      </pivotArea>
    </format>
    <format dxfId="467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74"/>
          </reference>
          <reference field="82" count="1" selected="0">
            <x v="929"/>
          </reference>
          <reference field="85" count="1" selected="0">
            <x v="7"/>
          </reference>
          <reference field="87" count="1">
            <x v="1856"/>
          </reference>
        </references>
      </pivotArea>
    </format>
    <format dxfId="467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3"/>
          </reference>
          <reference field="82" count="1" selected="0">
            <x v="908"/>
          </reference>
          <reference field="85" count="1" selected="0">
            <x v="3"/>
          </reference>
          <reference field="87" count="1">
            <x v="1835"/>
          </reference>
        </references>
      </pivotArea>
    </format>
    <format dxfId="467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52"/>
          </reference>
          <reference field="82" count="1" selected="0">
            <x v="907"/>
          </reference>
          <reference field="85" count="1" selected="0">
            <x v="3"/>
          </reference>
          <reference field="87" count="1">
            <x v="1834"/>
          </reference>
        </references>
      </pivotArea>
    </format>
    <format dxfId="467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50"/>
          </reference>
          <reference field="82" count="1" selected="0">
            <x v="905"/>
          </reference>
          <reference field="85" count="1" selected="0">
            <x v="3"/>
          </reference>
          <reference field="87" count="1">
            <x v="1832"/>
          </reference>
        </references>
      </pivotArea>
    </format>
    <format dxfId="467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51"/>
          </reference>
          <reference field="82" count="1" selected="0">
            <x v="906"/>
          </reference>
          <reference field="85" count="1" selected="0">
            <x v="3"/>
          </reference>
          <reference field="87" count="1">
            <x v="1833"/>
          </reference>
        </references>
      </pivotArea>
    </format>
    <format dxfId="4673">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29"/>
          </reference>
          <reference field="82" count="1" selected="0">
            <x v="986"/>
          </reference>
          <reference field="85" count="1" selected="0">
            <x v="4"/>
          </reference>
          <reference field="87" count="1">
            <x v="1911"/>
          </reference>
        </references>
      </pivotArea>
    </format>
    <format dxfId="467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91"/>
          </reference>
          <reference field="82" count="1" selected="0">
            <x v="1049"/>
          </reference>
          <reference field="85" count="1" selected="0">
            <x v="0"/>
          </reference>
          <reference field="87" count="1">
            <x v="1973"/>
          </reference>
        </references>
      </pivotArea>
    </format>
    <format dxfId="467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92"/>
          </reference>
          <reference field="82" count="1" selected="0">
            <x v="1050"/>
          </reference>
          <reference field="85" count="1" selected="0">
            <x v="0"/>
          </reference>
          <reference field="87" count="1">
            <x v="1974"/>
          </reference>
        </references>
      </pivotArea>
    </format>
    <format dxfId="467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593"/>
          </reference>
          <reference field="82" count="1" selected="0">
            <x v="1051"/>
          </reference>
          <reference field="85" count="1" selected="0">
            <x v="0"/>
          </reference>
          <reference field="87" count="1">
            <x v="1975"/>
          </reference>
        </references>
      </pivotArea>
    </format>
    <format dxfId="466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4"/>
          </reference>
          <reference field="82" count="1" selected="0">
            <x v="1062"/>
          </reference>
          <reference field="85" count="1" selected="0">
            <x v="2"/>
          </reference>
          <reference field="87" count="1">
            <x v="1986"/>
          </reference>
        </references>
      </pivotArea>
    </format>
    <format dxfId="466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05"/>
          </reference>
          <reference field="82" count="1" selected="0">
            <x v="1063"/>
          </reference>
          <reference field="85" count="1" selected="0">
            <x v="2"/>
          </reference>
          <reference field="87" count="1">
            <x v="1987"/>
          </reference>
        </references>
      </pivotArea>
    </format>
    <format dxfId="466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03"/>
          </reference>
          <reference field="82" count="1" selected="0">
            <x v="1061"/>
          </reference>
          <reference field="85" count="1" selected="0">
            <x v="2"/>
          </reference>
          <reference field="87" count="1">
            <x v="1985"/>
          </reference>
        </references>
      </pivotArea>
    </format>
    <format dxfId="4666">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30"/>
          </reference>
          <reference field="82" count="1" selected="0">
            <x v="987"/>
          </reference>
          <reference field="85" count="1" selected="0">
            <x v="4"/>
          </reference>
          <reference field="87" count="1">
            <x v="1912"/>
          </reference>
        </references>
      </pivotArea>
    </format>
    <format dxfId="466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94"/>
          </reference>
          <reference field="82" count="1" selected="0">
            <x v="1052"/>
          </reference>
          <reference field="85" count="1" selected="0">
            <x v="0"/>
          </reference>
          <reference field="87" count="1">
            <x v="1976"/>
          </reference>
        </references>
      </pivotArea>
    </format>
    <format dxfId="466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95"/>
          </reference>
          <reference field="82" count="1" selected="0">
            <x v="1053"/>
          </reference>
          <reference field="85" count="1" selected="0">
            <x v="0"/>
          </reference>
          <reference field="87" count="1">
            <x v="1977"/>
          </reference>
        </references>
      </pivotArea>
    </format>
    <format dxfId="466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96"/>
          </reference>
          <reference field="82" count="1" selected="0">
            <x v="1054"/>
          </reference>
          <reference field="85" count="1" selected="0">
            <x v="0"/>
          </reference>
          <reference field="87" count="1">
            <x v="1978"/>
          </reference>
        </references>
      </pivotArea>
    </format>
    <format dxfId="466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7"/>
          </reference>
          <reference field="82" count="1" selected="0">
            <x v="1065"/>
          </reference>
          <reference field="85" count="1" selected="0">
            <x v="2"/>
          </reference>
          <reference field="87" count="1">
            <x v="1989"/>
          </reference>
        </references>
      </pivotArea>
    </format>
    <format dxfId="466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08"/>
          </reference>
          <reference field="82" count="1" selected="0">
            <x v="1066"/>
          </reference>
          <reference field="85" count="1" selected="0">
            <x v="2"/>
          </reference>
          <reference field="87" count="1">
            <x v="1990"/>
          </reference>
        </references>
      </pivotArea>
    </format>
    <format dxfId="466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09"/>
          </reference>
          <reference field="82" count="1" selected="0">
            <x v="1067"/>
          </reference>
          <reference field="85" count="1" selected="0">
            <x v="2"/>
          </reference>
          <reference field="87" count="1">
            <x v="1991"/>
          </reference>
        </references>
      </pivotArea>
    </format>
    <format dxfId="465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06"/>
          </reference>
          <reference field="82" count="1" selected="0">
            <x v="1064"/>
          </reference>
          <reference field="85" count="1" selected="0">
            <x v="2"/>
          </reference>
          <reference field="87" count="1">
            <x v="1988"/>
          </reference>
        </references>
      </pivotArea>
    </format>
    <format dxfId="465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10"/>
          </reference>
          <reference field="82" count="1" selected="0">
            <x v="1068"/>
          </reference>
          <reference field="85" count="1" selected="0">
            <x v="2"/>
          </reference>
          <reference field="87" count="1">
            <x v="1992"/>
          </reference>
        </references>
      </pivotArea>
    </format>
    <format dxfId="465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61"/>
          </reference>
          <reference field="82" count="1" selected="0">
            <x v="1119"/>
          </reference>
          <reference field="85" count="1" selected="0">
            <x v="7"/>
          </reference>
          <reference field="87" count="1">
            <x v="2043"/>
          </reference>
        </references>
      </pivotArea>
    </format>
    <format dxfId="465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662"/>
          </reference>
          <reference field="82" count="1" selected="0">
            <x v="1120"/>
          </reference>
          <reference field="85" count="1" selected="0">
            <x v="7"/>
          </reference>
          <reference field="87" count="1">
            <x v="2044"/>
          </reference>
        </references>
      </pivotArea>
    </format>
    <format dxfId="465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32"/>
          </reference>
          <reference field="82" count="1" selected="0">
            <x v="1190"/>
          </reference>
          <reference field="85" count="1" selected="0">
            <x v="4"/>
          </reference>
          <reference field="87" count="1">
            <x v="2114"/>
          </reference>
        </references>
      </pivotArea>
    </format>
    <format dxfId="465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33"/>
          </reference>
          <reference field="82" count="1" selected="0">
            <x v="1191"/>
          </reference>
          <reference field="85" count="1" selected="0">
            <x v="4"/>
          </reference>
          <reference field="87" count="1">
            <x v="2115"/>
          </reference>
        </references>
      </pivotArea>
    </format>
    <format dxfId="465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34"/>
          </reference>
          <reference field="82" count="1" selected="0">
            <x v="1192"/>
          </reference>
          <reference field="85" count="1" selected="0">
            <x v="4"/>
          </reference>
          <reference field="87" count="1">
            <x v="2116"/>
          </reference>
        </references>
      </pivotArea>
    </format>
    <format dxfId="465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31"/>
          </reference>
          <reference field="82" count="1" selected="0">
            <x v="1189"/>
          </reference>
          <reference field="85" count="1" selected="0">
            <x v="4"/>
          </reference>
          <reference field="87" count="1">
            <x v="2113"/>
          </reference>
        </references>
      </pivotArea>
    </format>
    <format dxfId="465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40"/>
          </reference>
          <reference field="82" count="1" selected="0">
            <x v="1198"/>
          </reference>
          <reference field="85" count="1" selected="0">
            <x v="4"/>
          </reference>
          <reference field="87" count="1">
            <x v="2122"/>
          </reference>
        </references>
      </pivotArea>
    </format>
    <format dxfId="465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41"/>
          </reference>
          <reference field="82" count="1" selected="0">
            <x v="1199"/>
          </reference>
          <reference field="85" count="1" selected="0">
            <x v="4"/>
          </reference>
          <reference field="87" count="1">
            <x v="2123"/>
          </reference>
        </references>
      </pivotArea>
    </format>
    <format dxfId="464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42"/>
          </reference>
          <reference field="82" count="1" selected="0">
            <x v="1200"/>
          </reference>
          <reference field="85" count="1" selected="0">
            <x v="4"/>
          </reference>
          <reference field="87" count="1">
            <x v="2124"/>
          </reference>
        </references>
      </pivotArea>
    </format>
    <format dxfId="464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39"/>
          </reference>
          <reference field="82" count="1" selected="0">
            <x v="1197"/>
          </reference>
          <reference field="85" count="1" selected="0">
            <x v="4"/>
          </reference>
          <reference field="87" count="1">
            <x v="2121"/>
          </reference>
        </references>
      </pivotArea>
    </format>
    <format dxfId="464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37"/>
          </reference>
          <reference field="82" count="1" selected="0">
            <x v="1195"/>
          </reference>
          <reference field="85" count="1" selected="0">
            <x v="4"/>
          </reference>
          <reference field="87" count="1">
            <x v="2119"/>
          </reference>
        </references>
      </pivotArea>
    </format>
    <format dxfId="464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38"/>
          </reference>
          <reference field="82" count="1" selected="0">
            <x v="1196"/>
          </reference>
          <reference field="85" count="1" selected="0">
            <x v="4"/>
          </reference>
          <reference field="87" count="1">
            <x v="2120"/>
          </reference>
        </references>
      </pivotArea>
    </format>
    <format dxfId="464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36"/>
          </reference>
          <reference field="82" count="1" selected="0">
            <x v="1194"/>
          </reference>
          <reference field="85" count="1" selected="0">
            <x v="4"/>
          </reference>
          <reference field="87" count="1">
            <x v="2118"/>
          </reference>
        </references>
      </pivotArea>
    </format>
    <format dxfId="464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735"/>
          </reference>
          <reference field="82" count="1" selected="0">
            <x v="1193"/>
          </reference>
          <reference field="85" count="1" selected="0">
            <x v="4"/>
          </reference>
          <reference field="87" count="1">
            <x v="2117"/>
          </reference>
        </references>
      </pivotArea>
    </format>
    <format dxfId="464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79"/>
          </reference>
          <reference field="82" count="1" selected="0">
            <x v="935"/>
          </reference>
          <reference field="85" count="1" selected="0">
            <x v="7"/>
          </reference>
          <reference field="87" count="1">
            <x v="1861"/>
          </reference>
        </references>
      </pivotArea>
    </format>
    <format dxfId="464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80"/>
          </reference>
          <reference field="82" count="1" selected="0">
            <x v="936"/>
          </reference>
          <reference field="85" count="1" selected="0">
            <x v="7"/>
          </reference>
          <reference field="87" count="1">
            <x v="1862"/>
          </reference>
        </references>
      </pivotArea>
    </format>
    <format dxfId="4641">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32"/>
          </reference>
          <reference field="82" count="1" selected="0">
            <x v="1090"/>
          </reference>
          <reference field="85" count="1" selected="0">
            <x v="2"/>
          </reference>
          <reference field="87" count="1">
            <x v="2014"/>
          </reference>
        </references>
      </pivotArea>
    </format>
    <format dxfId="4640">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49"/>
          </reference>
          <reference field="82" count="1" selected="0">
            <x v="1207"/>
          </reference>
          <reference field="85" count="1" selected="0">
            <x v="4"/>
          </reference>
          <reference field="87" count="1">
            <x v="2131"/>
          </reference>
        </references>
      </pivotArea>
    </format>
    <format dxfId="4639">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50"/>
          </reference>
          <reference field="82" count="1" selected="0">
            <x v="1208"/>
          </reference>
          <reference field="85" count="1" selected="0">
            <x v="4"/>
          </reference>
          <reference field="87" count="1">
            <x v="2132"/>
          </reference>
        </references>
      </pivotArea>
    </format>
    <format dxfId="4638">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52"/>
          </reference>
          <reference field="82" count="1" selected="0">
            <x v="1210"/>
          </reference>
          <reference field="85" count="1" selected="0">
            <x v="4"/>
          </reference>
          <reference field="87" count="1">
            <x v="2134"/>
          </reference>
        </references>
      </pivotArea>
    </format>
    <format dxfId="463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98"/>
          </reference>
          <reference field="82" count="1" selected="0">
            <x v="954"/>
          </reference>
          <reference field="85" count="1" selected="0">
            <x v="4"/>
          </reference>
          <reference field="87" count="1">
            <x v="1880"/>
          </reference>
        </references>
      </pivotArea>
    </format>
    <format dxfId="463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01"/>
          </reference>
          <reference field="82" count="1" selected="0">
            <x v="957"/>
          </reference>
          <reference field="85" count="1" selected="0">
            <x v="4"/>
          </reference>
          <reference field="87" count="1">
            <x v="1883"/>
          </reference>
        </references>
      </pivotArea>
    </format>
    <format dxfId="463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99"/>
          </reference>
          <reference field="82" count="1" selected="0">
            <x v="955"/>
          </reference>
          <reference field="85" count="1" selected="0">
            <x v="4"/>
          </reference>
          <reference field="87" count="1">
            <x v="1881"/>
          </reference>
        </references>
      </pivotArea>
    </format>
    <format dxfId="463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0"/>
          </reference>
          <reference field="82" count="1" selected="0">
            <x v="956"/>
          </reference>
          <reference field="85" count="1" selected="0">
            <x v="4"/>
          </reference>
          <reference field="87" count="1">
            <x v="1882"/>
          </reference>
        </references>
      </pivotArea>
    </format>
    <format dxfId="463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8"/>
          </reference>
          <reference field="82" count="1" selected="0">
            <x v="1156"/>
          </reference>
          <reference field="85" count="1" selected="0">
            <x v="4"/>
          </reference>
          <reference field="87" count="1">
            <x v="2080"/>
          </reference>
        </references>
      </pivotArea>
    </format>
    <format dxfId="463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94"/>
          </reference>
          <reference field="82" count="1" selected="0">
            <x v="1152"/>
          </reference>
          <reference field="85" count="1" selected="0">
            <x v="4"/>
          </reference>
          <reference field="87" count="1">
            <x v="2076"/>
          </reference>
        </references>
      </pivotArea>
    </format>
    <format dxfId="463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95"/>
          </reference>
          <reference field="82" count="1" selected="0">
            <x v="1153"/>
          </reference>
          <reference field="85" count="1" selected="0">
            <x v="4"/>
          </reference>
          <reference field="87" count="1">
            <x v="2077"/>
          </reference>
        </references>
      </pivotArea>
    </format>
    <format dxfId="463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96"/>
          </reference>
          <reference field="82" count="1" selected="0">
            <x v="1154"/>
          </reference>
          <reference field="85" count="1" selected="0">
            <x v="4"/>
          </reference>
          <reference field="87" count="1">
            <x v="2078"/>
          </reference>
        </references>
      </pivotArea>
    </format>
    <format dxfId="462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97"/>
          </reference>
          <reference field="82" count="1" selected="0">
            <x v="1155"/>
          </reference>
          <reference field="85" count="1" selected="0">
            <x v="4"/>
          </reference>
          <reference field="87" count="1">
            <x v="2079"/>
          </reference>
        </references>
      </pivotArea>
    </format>
    <format dxfId="462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94"/>
          </reference>
          <reference field="82" count="1" selected="0">
            <x v="950"/>
          </reference>
          <reference field="85" count="1" selected="0">
            <x v="4"/>
          </reference>
          <reference field="87" count="1">
            <x v="1876"/>
          </reference>
        </references>
      </pivotArea>
    </format>
    <format dxfId="462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97"/>
          </reference>
          <reference field="82" count="1" selected="0">
            <x v="953"/>
          </reference>
          <reference field="85" count="1" selected="0">
            <x v="4"/>
          </reference>
          <reference field="87" count="1">
            <x v="1879"/>
          </reference>
        </references>
      </pivotArea>
    </format>
    <format dxfId="462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95"/>
          </reference>
          <reference field="82" count="1" selected="0">
            <x v="951"/>
          </reference>
          <reference field="85" count="1" selected="0">
            <x v="4"/>
          </reference>
          <reference field="87" count="1">
            <x v="1877"/>
          </reference>
        </references>
      </pivotArea>
    </format>
    <format dxfId="462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96"/>
          </reference>
          <reference field="82" count="1" selected="0">
            <x v="952"/>
          </reference>
          <reference field="85" count="1" selected="0">
            <x v="4"/>
          </reference>
          <reference field="87" count="1">
            <x v="1878"/>
          </reference>
        </references>
      </pivotArea>
    </format>
    <format dxfId="462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3"/>
          </reference>
          <reference field="82" count="1" selected="0">
            <x v="1151"/>
          </reference>
          <reference field="85" count="1" selected="0">
            <x v="4"/>
          </reference>
          <reference field="87" count="1">
            <x v="2075"/>
          </reference>
        </references>
      </pivotArea>
    </format>
    <format dxfId="462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89"/>
          </reference>
          <reference field="82" count="1" selected="0">
            <x v="1147"/>
          </reference>
          <reference field="85" count="1" selected="0">
            <x v="4"/>
          </reference>
          <reference field="87" count="1">
            <x v="2071"/>
          </reference>
        </references>
      </pivotArea>
    </format>
    <format dxfId="462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90"/>
          </reference>
          <reference field="82" count="1" selected="0">
            <x v="1148"/>
          </reference>
          <reference field="85" count="1" selected="0">
            <x v="4"/>
          </reference>
          <reference field="87" count="1">
            <x v="2072"/>
          </reference>
        </references>
      </pivotArea>
    </format>
    <format dxfId="462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91"/>
          </reference>
          <reference field="82" count="1" selected="0">
            <x v="1149"/>
          </reference>
          <reference field="85" count="1" selected="0">
            <x v="4"/>
          </reference>
          <reference field="87" count="1">
            <x v="2073"/>
          </reference>
        </references>
      </pivotArea>
    </format>
    <format dxfId="462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92"/>
          </reference>
          <reference field="82" count="1" selected="0">
            <x v="1150"/>
          </reference>
          <reference field="85" count="1" selected="0">
            <x v="4"/>
          </reference>
          <reference field="87" count="1">
            <x v="2074"/>
          </reference>
        </references>
      </pivotArea>
    </format>
    <format dxfId="461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39"/>
          </reference>
          <reference field="82" count="1" selected="0">
            <x v="996"/>
          </reference>
          <reference field="85" count="1" selected="0">
            <x v="4"/>
          </reference>
          <reference field="87" count="1">
            <x v="1921"/>
          </reference>
        </references>
      </pivotArea>
    </format>
    <format dxfId="461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34"/>
          </reference>
          <reference field="82" count="1" selected="0">
            <x v="999"/>
          </reference>
          <reference field="85" count="1" selected="0">
            <x v="4"/>
          </reference>
          <reference field="87" count="1">
            <x v="1916"/>
          </reference>
        </references>
      </pivotArea>
    </format>
    <format dxfId="461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0"/>
          </reference>
          <reference field="82" count="1" selected="0">
            <x v="997"/>
          </reference>
          <reference field="85" count="1" selected="0">
            <x v="4"/>
          </reference>
          <reference field="87" count="1">
            <x v="1922"/>
          </reference>
        </references>
      </pivotArea>
    </format>
    <format dxfId="461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41"/>
          </reference>
          <reference field="82" count="1" selected="0">
            <x v="998"/>
          </reference>
          <reference field="85" count="1" selected="0">
            <x v="4"/>
          </reference>
          <reference field="87" count="1">
            <x v="1923"/>
          </reference>
        </references>
      </pivotArea>
    </format>
    <format dxfId="461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88"/>
          </reference>
          <reference field="82" count="1" selected="0">
            <x v="1146"/>
          </reference>
          <reference field="85" count="1" selected="0">
            <x v="4"/>
          </reference>
          <reference field="87" count="1">
            <x v="2070"/>
          </reference>
        </references>
      </pivotArea>
    </format>
    <format dxfId="461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84"/>
          </reference>
          <reference field="82" count="1" selected="0">
            <x v="1142"/>
          </reference>
          <reference field="85" count="1" selected="0">
            <x v="4"/>
          </reference>
          <reference field="87" count="1">
            <x v="2066"/>
          </reference>
        </references>
      </pivotArea>
    </format>
    <format dxfId="461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85"/>
          </reference>
          <reference field="82" count="1" selected="0">
            <x v="1143"/>
          </reference>
          <reference field="85" count="1" selected="0">
            <x v="4"/>
          </reference>
          <reference field="87" count="1">
            <x v="2067"/>
          </reference>
        </references>
      </pivotArea>
    </format>
    <format dxfId="461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86"/>
          </reference>
          <reference field="82" count="1" selected="0">
            <x v="1144"/>
          </reference>
          <reference field="85" count="1" selected="0">
            <x v="4"/>
          </reference>
          <reference field="87" count="1">
            <x v="2068"/>
          </reference>
        </references>
      </pivotArea>
    </format>
    <format dxfId="461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87"/>
          </reference>
          <reference field="82" count="1" selected="0">
            <x v="1145"/>
          </reference>
          <reference field="85" count="1" selected="0">
            <x v="4"/>
          </reference>
          <reference field="87" count="1">
            <x v="2069"/>
          </reference>
        </references>
      </pivotArea>
    </format>
    <format dxfId="461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45"/>
          </reference>
          <reference field="82" count="1" selected="0">
            <x v="1203"/>
          </reference>
          <reference field="85" count="1" selected="0">
            <x v="4"/>
          </reference>
          <reference field="87" count="1">
            <x v="2127"/>
          </reference>
        </references>
      </pivotArea>
    </format>
    <format dxfId="460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48"/>
          </reference>
          <reference field="82" count="1" selected="0">
            <x v="1206"/>
          </reference>
          <reference field="85" count="1" selected="0">
            <x v="4"/>
          </reference>
          <reference field="87" count="1">
            <x v="2130"/>
          </reference>
        </references>
      </pivotArea>
    </format>
    <format dxfId="460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46"/>
          </reference>
          <reference field="82" count="1" selected="0">
            <x v="1204"/>
          </reference>
          <reference field="85" count="1" selected="0">
            <x v="4"/>
          </reference>
          <reference field="87" count="1">
            <x v="2128"/>
          </reference>
        </references>
      </pivotArea>
    </format>
    <format dxfId="460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47"/>
          </reference>
          <reference field="82" count="1" selected="0">
            <x v="1205"/>
          </reference>
          <reference field="85" count="1" selected="0">
            <x v="4"/>
          </reference>
          <reference field="87" count="1">
            <x v="2129"/>
          </reference>
        </references>
      </pivotArea>
    </format>
    <format dxfId="460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07"/>
          </reference>
          <reference field="82" count="1" selected="0">
            <x v="1165"/>
          </reference>
          <reference field="85" count="1" selected="0">
            <x v="4"/>
          </reference>
          <reference field="87" count="1">
            <x v="2089"/>
          </reference>
        </references>
      </pivotArea>
    </format>
    <format dxfId="460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08"/>
          </reference>
          <reference field="82" count="1" selected="0">
            <x v="1166"/>
          </reference>
          <reference field="85" count="1" selected="0">
            <x v="4"/>
          </reference>
          <reference field="87" count="1">
            <x v="2090"/>
          </reference>
        </references>
      </pivotArea>
    </format>
    <format dxfId="460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09"/>
          </reference>
          <reference field="82" count="1" selected="0">
            <x v="1167"/>
          </reference>
          <reference field="85" count="1" selected="0">
            <x v="4"/>
          </reference>
          <reference field="87" count="1">
            <x v="2091"/>
          </reference>
        </references>
      </pivotArea>
    </format>
    <format dxfId="460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10"/>
          </reference>
          <reference field="82" count="1" selected="0">
            <x v="1168"/>
          </reference>
          <reference field="85" count="1" selected="0">
            <x v="4"/>
          </reference>
          <reference field="87" count="1">
            <x v="2092"/>
          </reference>
        </references>
      </pivotArea>
    </format>
    <format dxfId="460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11"/>
          </reference>
          <reference field="82" count="1" selected="0">
            <x v="1169"/>
          </reference>
          <reference field="85" count="1" selected="0">
            <x v="4"/>
          </reference>
          <reference field="87" count="1">
            <x v="2093"/>
          </reference>
        </references>
      </pivotArea>
    </format>
    <format dxfId="460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12"/>
          </reference>
          <reference field="82" count="1" selected="0">
            <x v="1170"/>
          </reference>
          <reference field="85" count="1" selected="0">
            <x v="4"/>
          </reference>
          <reference field="87" count="1">
            <x v="2094"/>
          </reference>
        </references>
      </pivotArea>
    </format>
    <format dxfId="460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13"/>
          </reference>
          <reference field="82" count="1" selected="0">
            <x v="1171"/>
          </reference>
          <reference field="85" count="1" selected="0">
            <x v="4"/>
          </reference>
          <reference field="87" count="1">
            <x v="2095"/>
          </reference>
        </references>
      </pivotArea>
    </format>
    <format dxfId="459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14"/>
          </reference>
          <reference field="82" count="1" selected="0">
            <x v="1172"/>
          </reference>
          <reference field="85" count="1" selected="0">
            <x v="4"/>
          </reference>
          <reference field="87" count="1">
            <x v="2096"/>
          </reference>
        </references>
      </pivotArea>
    </format>
    <format dxfId="459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680"/>
          </reference>
          <reference field="82" count="1" selected="0">
            <x v="1138"/>
          </reference>
          <reference field="85" count="1" selected="0">
            <x v="4"/>
          </reference>
          <reference field="87" count="1">
            <x v="2062"/>
          </reference>
        </references>
      </pivotArea>
    </format>
    <format dxfId="459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682"/>
          </reference>
          <reference field="82" count="1" selected="0">
            <x v="1140"/>
          </reference>
          <reference field="85" count="1" selected="0">
            <x v="4"/>
          </reference>
          <reference field="87" count="1">
            <x v="2064"/>
          </reference>
        </references>
      </pivotArea>
    </format>
    <format dxfId="459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683"/>
          </reference>
          <reference field="82" count="1" selected="0">
            <x v="1141"/>
          </reference>
          <reference field="85" count="1" selected="0">
            <x v="4"/>
          </reference>
          <reference field="87" count="1">
            <x v="2065"/>
          </reference>
        </references>
      </pivotArea>
    </format>
    <format dxfId="459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681"/>
          </reference>
          <reference field="82" count="1" selected="0">
            <x v="1139"/>
          </reference>
          <reference field="85" count="1" selected="0">
            <x v="4"/>
          </reference>
          <reference field="87" count="1">
            <x v="2063"/>
          </reference>
        </references>
      </pivotArea>
    </format>
    <format dxfId="459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630"/>
          </reference>
          <reference field="82" count="1" selected="0">
            <x v="1088"/>
          </reference>
          <reference field="85" count="1" selected="0">
            <x v="2"/>
          </reference>
          <reference field="87" count="1">
            <x v="2012"/>
          </reference>
        </references>
      </pivotArea>
    </format>
    <format dxfId="459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631"/>
          </reference>
          <reference field="82" count="1" selected="0">
            <x v="1089"/>
          </reference>
          <reference field="85" count="1" selected="0">
            <x v="2"/>
          </reference>
          <reference field="87" count="1">
            <x v="2013"/>
          </reference>
        </references>
      </pivotArea>
    </format>
    <format dxfId="459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629"/>
          </reference>
          <reference field="82" count="1" selected="0">
            <x v="1087"/>
          </reference>
          <reference field="85" count="1" selected="0">
            <x v="2"/>
          </reference>
          <reference field="87" count="1">
            <x v="2011"/>
          </reference>
        </references>
      </pivotArea>
    </format>
    <format dxfId="459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02"/>
          </reference>
          <reference field="82" count="1" selected="0">
            <x v="958"/>
          </reference>
          <reference field="85" count="1" selected="0">
            <x v="4"/>
          </reference>
          <reference field="87" count="1">
            <x v="1884"/>
          </reference>
        </references>
      </pivotArea>
    </format>
    <format dxfId="459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05"/>
          </reference>
          <reference field="82" count="1" selected="0">
            <x v="961"/>
          </reference>
          <reference field="85" count="1" selected="0">
            <x v="4"/>
          </reference>
          <reference field="87" count="1">
            <x v="1887"/>
          </reference>
        </references>
      </pivotArea>
    </format>
    <format dxfId="458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03"/>
          </reference>
          <reference field="82" count="1" selected="0">
            <x v="959"/>
          </reference>
          <reference field="85" count="1" selected="0">
            <x v="4"/>
          </reference>
          <reference field="87" count="1">
            <x v="1885"/>
          </reference>
        </references>
      </pivotArea>
    </format>
    <format dxfId="458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4"/>
          </reference>
          <reference field="82" count="1" selected="0">
            <x v="960"/>
          </reference>
          <reference field="85" count="1" selected="0">
            <x v="4"/>
          </reference>
          <reference field="87" count="1">
            <x v="1886"/>
          </reference>
        </references>
      </pivotArea>
    </format>
    <format dxfId="458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99"/>
          </reference>
          <reference field="82" count="1" selected="0">
            <x v="1157"/>
          </reference>
          <reference field="85" count="1" selected="0">
            <x v="4"/>
          </reference>
          <reference field="87" count="1">
            <x v="2081"/>
          </reference>
        </references>
      </pivotArea>
    </format>
    <format dxfId="458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00"/>
          </reference>
          <reference field="82" count="1" selected="0">
            <x v="1158"/>
          </reference>
          <reference field="85" count="1" selected="0">
            <x v="4"/>
          </reference>
          <reference field="87" count="1">
            <x v="2082"/>
          </reference>
        </references>
      </pivotArea>
    </format>
    <format dxfId="458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01"/>
          </reference>
          <reference field="82" count="1" selected="0">
            <x v="1159"/>
          </reference>
          <reference field="85" count="1" selected="0">
            <x v="4"/>
          </reference>
          <reference field="87" count="1">
            <x v="2083"/>
          </reference>
        </references>
      </pivotArea>
    </format>
    <format dxfId="458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02"/>
          </reference>
          <reference field="82" count="1" selected="0">
            <x v="1160"/>
          </reference>
          <reference field="85" count="1" selected="0">
            <x v="4"/>
          </reference>
          <reference field="87" count="1">
            <x v="2084"/>
          </reference>
        </references>
      </pivotArea>
    </format>
    <format dxfId="458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03"/>
          </reference>
          <reference field="82" count="1" selected="0">
            <x v="1161"/>
          </reference>
          <reference field="85" count="1" selected="0">
            <x v="4"/>
          </reference>
          <reference field="87" count="1">
            <x v="2085"/>
          </reference>
        </references>
      </pivotArea>
    </format>
    <format dxfId="458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04"/>
          </reference>
          <reference field="82" count="1" selected="0">
            <x v="1162"/>
          </reference>
          <reference field="85" count="1" selected="0">
            <x v="4"/>
          </reference>
          <reference field="87" count="1">
            <x v="2086"/>
          </reference>
        </references>
      </pivotArea>
    </format>
    <format dxfId="458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05"/>
          </reference>
          <reference field="82" count="1" selected="0">
            <x v="1163"/>
          </reference>
          <reference field="85" count="1" selected="0">
            <x v="4"/>
          </reference>
          <reference field="87" count="1">
            <x v="2087"/>
          </reference>
        </references>
      </pivotArea>
    </format>
    <format dxfId="458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06"/>
          </reference>
          <reference field="82" count="1" selected="0">
            <x v="1164"/>
          </reference>
          <reference field="85" count="1" selected="0">
            <x v="4"/>
          </reference>
          <reference field="87" count="1">
            <x v="2088"/>
          </reference>
        </references>
      </pivotArea>
    </format>
    <format dxfId="4579">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55"/>
          </reference>
          <reference field="82" count="1" selected="0">
            <x v="910"/>
          </reference>
          <reference field="85" count="1" selected="0">
            <x v="3"/>
          </reference>
          <reference field="87" count="1">
            <x v="1837"/>
          </reference>
        </references>
      </pivotArea>
    </format>
    <format dxfId="4578">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57"/>
          </reference>
          <reference field="82" count="1" selected="0">
            <x v="1215"/>
          </reference>
          <reference field="85" count="1" selected="0">
            <x v="4"/>
          </reference>
          <reference field="87" count="1">
            <x v="2139"/>
          </reference>
        </references>
      </pivotArea>
    </format>
    <format dxfId="4577">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2"/>
          </reference>
          <reference field="82" count="1" selected="0">
            <x v="948"/>
          </reference>
          <reference field="85" count="1" selected="0">
            <x v="7"/>
          </reference>
          <reference field="87" count="1">
            <x v="1874"/>
          </reference>
        </references>
      </pivotArea>
    </format>
    <format dxfId="4576">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56"/>
          </reference>
          <reference field="82" count="1" selected="0">
            <x v="911"/>
          </reference>
          <reference field="85" count="1" selected="0">
            <x v="3"/>
          </reference>
          <reference field="87" count="1">
            <x v="1838"/>
          </reference>
        </references>
      </pivotArea>
    </format>
    <format dxfId="4575">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3"/>
          </reference>
          <reference field="82" count="1" selected="0">
            <x v="949"/>
          </reference>
          <reference field="85" count="1" selected="0">
            <x v="7"/>
          </reference>
          <reference field="87" count="1">
            <x v="1875"/>
          </reference>
        </references>
      </pivotArea>
    </format>
    <format dxfId="4574">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4573">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59"/>
          </reference>
          <reference field="82" count="1" selected="0">
            <x v="1217"/>
          </reference>
          <reference field="85" count="1" selected="0">
            <x v="7"/>
          </reference>
          <reference field="87" count="1">
            <x v="2141"/>
          </reference>
        </references>
      </pivotArea>
    </format>
    <format dxfId="4572">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61"/>
          </reference>
          <reference field="82" count="1" selected="0">
            <x v="1219"/>
          </reference>
          <reference field="85" count="1" selected="0">
            <x v="7"/>
          </reference>
          <reference field="87" count="1">
            <x v="2143"/>
          </reference>
        </references>
      </pivotArea>
    </format>
    <format dxfId="4571">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4570">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569">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60"/>
          </reference>
          <reference field="82" count="1" selected="0">
            <x v="1218"/>
          </reference>
          <reference field="85" count="1" selected="0">
            <x v="7"/>
          </reference>
          <reference field="87" count="1">
            <x v="2142"/>
          </reference>
        </references>
      </pivotArea>
    </format>
    <format dxfId="4568">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5"/>
          </reference>
          <reference field="82" count="1" selected="0">
            <x v="941"/>
          </reference>
          <reference field="85" count="1" selected="0">
            <x v="2"/>
          </reference>
          <reference field="87" count="1">
            <x v="1867"/>
          </reference>
        </references>
      </pivotArea>
    </format>
    <format dxfId="4567">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62"/>
          </reference>
          <reference field="82" count="1" selected="0">
            <x v="1220"/>
          </reference>
          <reference field="85" count="1" selected="0">
            <x v="7"/>
          </reference>
          <reference field="87" count="1">
            <x v="2144"/>
          </reference>
        </references>
      </pivotArea>
    </format>
    <format dxfId="4566">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565">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4564">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4563">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54"/>
          </reference>
          <reference field="82" count="1" selected="0">
            <x v="909"/>
          </reference>
          <reference field="85" count="1" selected="0">
            <x v="3"/>
          </reference>
          <reference field="87" count="1">
            <x v="1836"/>
          </reference>
        </references>
      </pivotArea>
    </format>
    <format dxfId="4562">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51"/>
          </reference>
          <reference field="82" count="1" selected="0">
            <x v="1209"/>
          </reference>
          <reference field="85" count="1" selected="0">
            <x v="4"/>
          </reference>
          <reference field="87" count="1">
            <x v="2133"/>
          </reference>
        </references>
      </pivotArea>
    </format>
    <format dxfId="456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15"/>
          </reference>
          <reference field="82" count="1" selected="0">
            <x v="1073"/>
          </reference>
          <reference field="85" count="1" selected="0">
            <x v="2"/>
          </reference>
          <reference field="87" count="1">
            <x v="1997"/>
          </reference>
        </references>
      </pivotArea>
    </format>
    <format dxfId="456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18"/>
          </reference>
          <reference field="82" count="1" selected="0">
            <x v="1076"/>
          </reference>
          <reference field="85" count="1" selected="0">
            <x v="2"/>
          </reference>
          <reference field="87" count="1">
            <x v="2000"/>
          </reference>
        </references>
      </pivotArea>
    </format>
    <format dxfId="455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16"/>
          </reference>
          <reference field="82" count="1" selected="0">
            <x v="1074"/>
          </reference>
          <reference field="85" count="1" selected="0">
            <x v="2"/>
          </reference>
          <reference field="87" count="1">
            <x v="1998"/>
          </reference>
        </references>
      </pivotArea>
    </format>
    <format dxfId="455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19"/>
          </reference>
          <reference field="82" count="1" selected="0">
            <x v="1077"/>
          </reference>
          <reference field="85" count="1" selected="0">
            <x v="2"/>
          </reference>
          <reference field="87" count="1">
            <x v="2001"/>
          </reference>
        </references>
      </pivotArea>
    </format>
    <format dxfId="455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624"/>
          </reference>
          <reference field="82" count="1" selected="0">
            <x v="1082"/>
          </reference>
          <reference field="85" count="1" selected="0">
            <x v="2"/>
          </reference>
          <reference field="87" count="1">
            <x v="2006"/>
          </reference>
        </references>
      </pivotArea>
    </format>
    <format dxfId="455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622"/>
          </reference>
          <reference field="82" count="1" selected="0">
            <x v="1080"/>
          </reference>
          <reference field="85" count="1" selected="0">
            <x v="2"/>
          </reference>
          <reference field="87" count="1">
            <x v="2004"/>
          </reference>
        </references>
      </pivotArea>
    </format>
    <format dxfId="455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621"/>
          </reference>
          <reference field="82" count="1" selected="0">
            <x v="1079"/>
          </reference>
          <reference field="85" count="1" selected="0">
            <x v="2"/>
          </reference>
          <reference field="87" count="1">
            <x v="2003"/>
          </reference>
        </references>
      </pivotArea>
    </format>
    <format dxfId="455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620"/>
          </reference>
          <reference field="82" count="1" selected="0">
            <x v="1078"/>
          </reference>
          <reference field="85" count="1" selected="0">
            <x v="2"/>
          </reference>
          <reference field="87" count="1">
            <x v="2002"/>
          </reference>
        </references>
      </pivotArea>
    </format>
    <format dxfId="455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14"/>
          </reference>
          <reference field="82" count="1" selected="0">
            <x v="1072"/>
          </reference>
          <reference field="85" count="1" selected="0">
            <x v="2"/>
          </reference>
          <reference field="87" count="1">
            <x v="1996"/>
          </reference>
        </references>
      </pivotArea>
    </format>
    <format dxfId="455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17"/>
          </reference>
          <reference field="82" count="1" selected="0">
            <x v="1075"/>
          </reference>
          <reference field="85" count="1" selected="0">
            <x v="2"/>
          </reference>
          <reference field="87" count="1">
            <x v="1999"/>
          </reference>
        </references>
      </pivotArea>
    </format>
    <format dxfId="455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623"/>
          </reference>
          <reference field="82" count="1" selected="0">
            <x v="1081"/>
          </reference>
          <reference field="85" count="1" selected="0">
            <x v="2"/>
          </reference>
          <reference field="87" count="1">
            <x v="2005"/>
          </reference>
        </references>
      </pivotArea>
    </format>
    <format dxfId="4550">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58"/>
          </reference>
          <reference field="82" count="1" selected="0">
            <x v="1216"/>
          </reference>
          <reference field="85" count="1" selected="0">
            <x v="4"/>
          </reference>
          <reference field="87" count="1">
            <x v="2140"/>
          </reference>
        </references>
      </pivotArea>
    </format>
    <format dxfId="4549">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1"/>
          </reference>
          <reference field="82" count="1" selected="0">
            <x v="947"/>
          </reference>
          <reference field="85" count="1" selected="0">
            <x v="2"/>
          </reference>
          <reference field="87" count="1">
            <x v="1873"/>
          </reference>
        </references>
      </pivotArea>
    </format>
    <format dxfId="4548">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89"/>
          </reference>
          <reference field="82" count="1" selected="0">
            <x v="945"/>
          </reference>
          <reference field="85" count="1" selected="0">
            <x v="7"/>
          </reference>
          <reference field="87" count="1">
            <x v="1871"/>
          </reference>
        </references>
      </pivotArea>
    </format>
    <format dxfId="454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26"/>
          </reference>
          <reference field="82" count="1" selected="0">
            <x v="1084"/>
          </reference>
          <reference field="85" count="1" selected="0">
            <x v="2"/>
          </reference>
          <reference field="87" count="1">
            <x v="2008"/>
          </reference>
        </references>
      </pivotArea>
    </format>
    <format dxfId="454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28"/>
          </reference>
          <reference field="82" count="1" selected="0">
            <x v="1086"/>
          </reference>
          <reference field="85" count="1" selected="0">
            <x v="2"/>
          </reference>
          <reference field="87" count="1">
            <x v="2010"/>
          </reference>
        </references>
      </pivotArea>
    </format>
    <format dxfId="454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25"/>
          </reference>
          <reference field="82" count="1" selected="0">
            <x v="1083"/>
          </reference>
          <reference field="85" count="1" selected="0">
            <x v="2"/>
          </reference>
          <reference field="87" count="1">
            <x v="2007"/>
          </reference>
        </references>
      </pivotArea>
    </format>
    <format dxfId="454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27"/>
          </reference>
          <reference field="82" count="1" selected="0">
            <x v="1085"/>
          </reference>
          <reference field="85" count="1" selected="0">
            <x v="2"/>
          </reference>
          <reference field="87" count="1">
            <x v="2009"/>
          </reference>
        </references>
      </pivotArea>
    </format>
    <format dxfId="4543">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0"/>
          </reference>
          <reference field="82" count="1" selected="0">
            <x v="946"/>
          </reference>
          <reference field="85" count="1" selected="0">
            <x v="7"/>
          </reference>
          <reference field="87" count="1">
            <x v="1872"/>
          </reference>
        </references>
      </pivotArea>
    </format>
    <format dxfId="4542">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43"/>
          </reference>
          <reference field="82" count="1" selected="0">
            <x v="1201"/>
          </reference>
          <reference field="85" count="1" selected="0">
            <x v="4"/>
          </reference>
          <reference field="87" count="1">
            <x v="2125"/>
          </reference>
        </references>
      </pivotArea>
    </format>
    <format dxfId="4541">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44"/>
          </reference>
          <reference field="82" count="1" selected="0">
            <x v="1202"/>
          </reference>
          <reference field="85" count="1" selected="0">
            <x v="4"/>
          </reference>
          <reference field="87" count="1">
            <x v="2126"/>
          </reference>
        </references>
      </pivotArea>
    </format>
    <format dxfId="4540">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51"/>
          </reference>
          <reference field="82" count="1" selected="0">
            <x v="1109"/>
          </reference>
          <reference field="85" count="1" selected="0">
            <x v="7"/>
          </reference>
          <reference field="87" count="1">
            <x v="2033"/>
          </reference>
        </references>
      </pivotArea>
    </format>
    <format dxfId="4539">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657"/>
          </reference>
          <reference field="82" count="1" selected="0">
            <x v="1115"/>
          </reference>
          <reference field="85" count="1" selected="0">
            <x v="7"/>
          </reference>
          <reference field="87" count="1">
            <x v="2039"/>
          </reference>
        </references>
      </pivotArea>
    </format>
    <format dxfId="453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82"/>
          </reference>
          <reference field="82" count="1" selected="0">
            <x v="938"/>
          </reference>
          <reference field="85" count="1" selected="0">
            <x v="7"/>
          </reference>
          <reference field="87" count="1">
            <x v="1864"/>
          </reference>
        </references>
      </pivotArea>
    </format>
    <format dxfId="453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81"/>
          </reference>
          <reference field="82" count="1" selected="0">
            <x v="937"/>
          </reference>
          <reference field="85" count="1" selected="0">
            <x v="7"/>
          </reference>
          <reference field="87" count="1">
            <x v="1863"/>
          </reference>
        </references>
      </pivotArea>
    </format>
    <format dxfId="453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12"/>
          </reference>
          <reference field="82" count="1" selected="0">
            <x v="968"/>
          </reference>
          <reference field="85" count="1" selected="0">
            <x v="4"/>
          </reference>
          <reference field="87" count="1">
            <x v="1894"/>
          </reference>
        </references>
      </pivotArea>
    </format>
    <format dxfId="453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513"/>
          </reference>
          <reference field="82" count="1" selected="0">
            <x v="969"/>
          </reference>
          <reference field="85" count="1" selected="0">
            <x v="4"/>
          </reference>
          <reference field="87" count="1">
            <x v="1895"/>
          </reference>
        </references>
      </pivotArea>
    </format>
    <format dxfId="453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10"/>
          </reference>
          <reference field="82" count="1" selected="0">
            <x v="966"/>
          </reference>
          <reference field="85" count="1" selected="0">
            <x v="4"/>
          </reference>
          <reference field="87" count="1">
            <x v="1892"/>
          </reference>
        </references>
      </pivotArea>
    </format>
    <format dxfId="453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11"/>
          </reference>
          <reference field="82" count="1" selected="0">
            <x v="967"/>
          </reference>
          <reference field="85" count="1" selected="0">
            <x v="4"/>
          </reference>
          <reference field="87" count="1">
            <x v="1893"/>
          </reference>
        </references>
      </pivotArea>
    </format>
    <format dxfId="453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06"/>
          </reference>
          <reference field="82" count="1" selected="0">
            <x v="962"/>
          </reference>
          <reference field="85" count="1" selected="0">
            <x v="4"/>
          </reference>
          <reference field="87" count="1">
            <x v="1888"/>
          </reference>
        </references>
      </pivotArea>
    </format>
    <format dxfId="453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07"/>
          </reference>
          <reference field="82" count="1" selected="0">
            <x v="963"/>
          </reference>
          <reference field="85" count="1" selected="0">
            <x v="4"/>
          </reference>
          <reference field="87" count="1">
            <x v="1889"/>
          </reference>
        </references>
      </pivotArea>
    </format>
    <format dxfId="453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08"/>
          </reference>
          <reference field="82" count="1" selected="0">
            <x v="964"/>
          </reference>
          <reference field="85" count="1" selected="0">
            <x v="4"/>
          </reference>
          <reference field="87" count="1">
            <x v="1890"/>
          </reference>
        </references>
      </pivotArea>
    </format>
    <format dxfId="452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509"/>
          </reference>
          <reference field="82" count="1" selected="0">
            <x v="965"/>
          </reference>
          <reference field="85" count="1" selected="0">
            <x v="4"/>
          </reference>
          <reference field="87" count="1">
            <x v="1891"/>
          </reference>
        </references>
      </pivotArea>
    </format>
    <format dxfId="452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27"/>
          </reference>
          <reference field="82" count="1" selected="0">
            <x v="1185"/>
          </reference>
          <reference field="85" count="1" selected="0">
            <x v="4"/>
          </reference>
          <reference field="87" count="1">
            <x v="2109"/>
          </reference>
        </references>
      </pivotArea>
    </format>
    <format dxfId="452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728"/>
          </reference>
          <reference field="82" count="1" selected="0">
            <x v="1186"/>
          </reference>
          <reference field="85" count="1" selected="0">
            <x v="4"/>
          </reference>
          <reference field="87" count="1">
            <x v="2110"/>
          </reference>
        </references>
      </pivotArea>
    </format>
    <format dxfId="452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729"/>
          </reference>
          <reference field="82" count="1" selected="0">
            <x v="1187"/>
          </reference>
          <reference field="85" count="1" selected="0">
            <x v="4"/>
          </reference>
          <reference field="87" count="1">
            <x v="2111"/>
          </reference>
        </references>
      </pivotArea>
    </format>
    <format dxfId="452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730"/>
          </reference>
          <reference field="82" count="1" selected="0">
            <x v="1188"/>
          </reference>
          <reference field="85" count="1" selected="0">
            <x v="4"/>
          </reference>
          <reference field="87" count="1">
            <x v="2112"/>
          </reference>
        </references>
      </pivotArea>
    </format>
    <format dxfId="4524">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 field="85" count="1" selected="0">
            <x v="7"/>
          </reference>
          <reference field="87" count="1">
            <x v="2034"/>
          </reference>
        </references>
      </pivotArea>
    </format>
    <format dxfId="4523">
      <pivotArea dataOnly="0" labelOnly="1" outline="0" fieldPosition="0">
        <references count="13">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67"/>
          </reference>
          <reference field="82" count="1" selected="0">
            <x v="1125"/>
          </reference>
          <reference field="85" count="1" selected="0">
            <x v="7"/>
          </reference>
          <reference field="87" count="1">
            <x v="2049"/>
          </reference>
        </references>
      </pivotArea>
    </format>
    <format dxfId="4522">
      <pivotArea field="88" type="button" dataOnly="0" labelOnly="1" outline="0" axis="axisRow" fieldPosition="13"/>
    </format>
    <format dxfId="452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7"/>
          </reference>
          <reference field="82" count="1" selected="0">
            <x v="1095"/>
          </reference>
          <reference field="85" count="1" selected="0">
            <x v="7"/>
          </reference>
          <reference field="87" count="1" selected="0">
            <x v="2019"/>
          </reference>
          <reference field="88" count="1">
            <x v="881"/>
          </reference>
        </references>
      </pivotArea>
    </format>
    <format dxfId="4520">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8"/>
          </reference>
          <reference field="82" count="1" selected="0">
            <x v="1096"/>
          </reference>
          <reference field="85" count="1" selected="0">
            <x v="7"/>
          </reference>
          <reference field="87" count="1" selected="0">
            <x v="2020"/>
          </reference>
          <reference field="88" count="1">
            <x v="882"/>
          </reference>
        </references>
      </pivotArea>
    </format>
    <format dxfId="451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23"/>
          </reference>
          <reference field="82" count="1" selected="0">
            <x v="1181"/>
          </reference>
          <reference field="85" count="1" selected="0">
            <x v="4"/>
          </reference>
          <reference field="87" count="1" selected="0">
            <x v="2105"/>
          </reference>
          <reference field="88" count="1">
            <x v="967"/>
          </reference>
        </references>
      </pivotArea>
    </format>
    <format dxfId="451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24"/>
          </reference>
          <reference field="82" count="1" selected="0">
            <x v="1182"/>
          </reference>
          <reference field="85" count="1" selected="0">
            <x v="4"/>
          </reference>
          <reference field="87" count="1" selected="0">
            <x v="2106"/>
          </reference>
          <reference field="88" count="1">
            <x v="968"/>
          </reference>
        </references>
      </pivotArea>
    </format>
    <format dxfId="451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25"/>
          </reference>
          <reference field="82" count="1" selected="0">
            <x v="1183"/>
          </reference>
          <reference field="85" count="1" selected="0">
            <x v="4"/>
          </reference>
          <reference field="87" count="1" selected="0">
            <x v="2107"/>
          </reference>
          <reference field="88" count="1">
            <x v="969"/>
          </reference>
        </references>
      </pivotArea>
    </format>
    <format dxfId="451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6"/>
          </reference>
          <reference field="82" count="1" selected="0">
            <x v="1184"/>
          </reference>
          <reference field="85" count="1" selected="0">
            <x v="4"/>
          </reference>
          <reference field="87" count="1" selected="0">
            <x v="2108"/>
          </reference>
          <reference field="88" count="1">
            <x v="970"/>
          </reference>
        </references>
      </pivotArea>
    </format>
    <format dxfId="451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selected="0">
            <x v="2025"/>
          </reference>
          <reference field="88" count="1">
            <x v="887"/>
          </reference>
        </references>
      </pivotArea>
    </format>
    <format dxfId="451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selected="0">
            <x v="2024"/>
          </reference>
          <reference field="88" count="1">
            <x v="886"/>
          </reference>
        </references>
      </pivotArea>
    </format>
    <format dxfId="451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0"/>
          </reference>
          <reference field="82" count="1" selected="0">
            <x v="1028"/>
          </reference>
          <reference field="85" count="1" selected="0">
            <x v="0"/>
          </reference>
          <reference field="87" count="1" selected="0">
            <x v="1952"/>
          </reference>
          <reference field="88" count="1">
            <x v="814"/>
          </reference>
        </references>
      </pivotArea>
    </format>
    <format dxfId="451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71"/>
          </reference>
          <reference field="82" count="1" selected="0">
            <x v="1029"/>
          </reference>
          <reference field="85" count="1" selected="0">
            <x v="0"/>
          </reference>
          <reference field="87" count="1" selected="0">
            <x v="1953"/>
          </reference>
          <reference field="88" count="1">
            <x v="815"/>
          </reference>
        </references>
      </pivotArea>
    </format>
    <format dxfId="451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selected="0">
            <x v="1026"/>
          </reference>
          <reference field="85" count="1" selected="0">
            <x v="0"/>
          </reference>
          <reference field="87" count="1" selected="0">
            <x v="1950"/>
          </reference>
          <reference field="88" count="1">
            <x v="812"/>
          </reference>
        </references>
      </pivotArea>
    </format>
    <format dxfId="451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9"/>
          </reference>
          <reference field="82" count="1" selected="0">
            <x v="1027"/>
          </reference>
          <reference field="85" count="1" selected="0">
            <x v="0"/>
          </reference>
          <reference field="87" count="1" selected="0">
            <x v="1951"/>
          </reference>
          <reference field="88" count="1">
            <x v="813"/>
          </reference>
        </references>
      </pivotArea>
    </format>
    <format dxfId="450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selected="0">
            <x v="2025"/>
          </reference>
          <reference field="88" count="1">
            <x v="887"/>
          </reference>
        </references>
      </pivotArea>
    </format>
    <format dxfId="4508">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selected="0">
            <x v="2024"/>
          </reference>
          <reference field="88" count="1">
            <x v="886"/>
          </reference>
        </references>
      </pivotArea>
    </format>
    <format dxfId="450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selected="0">
            <x v="0"/>
          </reference>
          <reference field="87" count="1" selected="0">
            <x v="1947"/>
          </reference>
          <reference field="88" count="1">
            <x v="809"/>
          </reference>
        </references>
      </pivotArea>
    </format>
    <format dxfId="450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selected="0">
            <x v="1024"/>
          </reference>
          <reference field="85" count="1" selected="0">
            <x v="0"/>
          </reference>
          <reference field="87" count="1" selected="0">
            <x v="1948"/>
          </reference>
          <reference field="88" count="1">
            <x v="810"/>
          </reference>
        </references>
      </pivotArea>
    </format>
    <format dxfId="450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8"/>
          </reference>
          <reference field="82" count="1" selected="0">
            <x v="1026"/>
          </reference>
          <reference field="85" count="1" selected="0">
            <x v="0"/>
          </reference>
          <reference field="87" count="1" selected="0">
            <x v="1950"/>
          </reference>
          <reference field="88" count="1">
            <x v="812"/>
          </reference>
        </references>
      </pivotArea>
    </format>
    <format dxfId="450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selected="0">
            <x v="1022"/>
          </reference>
          <reference field="85" count="1" selected="0">
            <x v="0"/>
          </reference>
          <reference field="87" count="1" selected="0">
            <x v="1946"/>
          </reference>
          <reference field="88" count="1">
            <x v="808"/>
          </reference>
        </references>
      </pivotArea>
    </format>
    <format dxfId="450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1"/>
          </reference>
          <reference field="82" count="1" selected="0">
            <x v="1099"/>
          </reference>
          <reference field="85" count="1" selected="0">
            <x v="7"/>
          </reference>
          <reference field="87" count="1" selected="0">
            <x v="2023"/>
          </reference>
          <reference field="88" count="1">
            <x v="885"/>
          </reference>
        </references>
      </pivotArea>
    </format>
    <format dxfId="450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2"/>
          </reference>
          <reference field="82" count="1" selected="0">
            <x v="1100"/>
          </reference>
          <reference field="85" count="1" selected="0">
            <x v="7"/>
          </reference>
          <reference field="87" count="1" selected="0">
            <x v="2024"/>
          </reference>
          <reference field="88" count="1">
            <x v="886"/>
          </reference>
        </references>
      </pivotArea>
    </format>
    <format dxfId="450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selected="0">
            <x v="932"/>
          </reference>
          <reference field="85" count="1" selected="0">
            <x v="7"/>
          </reference>
          <reference field="87" count="1" selected="0">
            <x v="1859"/>
          </reference>
          <reference field="88" count="1">
            <x v="718"/>
          </reference>
        </references>
      </pivotArea>
    </format>
    <format dxfId="450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78"/>
          </reference>
          <reference field="82" count="1" selected="0">
            <x v="934"/>
          </reference>
          <reference field="85" count="1" selected="0">
            <x v="7"/>
          </reference>
          <reference field="87" count="1" selected="0">
            <x v="1860"/>
          </reference>
          <reference field="88" count="1">
            <x v="720"/>
          </reference>
        </references>
      </pivotArea>
    </format>
    <format dxfId="449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57"/>
          </reference>
          <reference field="82" count="1" selected="0">
            <x v="1015"/>
          </reference>
          <reference field="85" count="1" selected="0">
            <x v="0"/>
          </reference>
          <reference field="87" count="1" selected="0">
            <x v="1939"/>
          </reference>
          <reference field="88" count="1">
            <x v="801"/>
          </reference>
        </references>
      </pivotArea>
    </format>
    <format dxfId="449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60"/>
          </reference>
          <reference field="82" count="1" selected="0">
            <x v="1018"/>
          </reference>
          <reference field="85" count="1" selected="0">
            <x v="0"/>
          </reference>
          <reference field="87" count="1" selected="0">
            <x v="1942"/>
          </reference>
          <reference field="88" count="1">
            <x v="804"/>
          </reference>
        </references>
      </pivotArea>
    </format>
    <format dxfId="449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58"/>
          </reference>
          <reference field="82" count="1" selected="0">
            <x v="1016"/>
          </reference>
          <reference field="85" count="1" selected="0">
            <x v="0"/>
          </reference>
          <reference field="87" count="1" selected="0">
            <x v="1940"/>
          </reference>
          <reference field="88" count="1">
            <x v="802"/>
          </reference>
        </references>
      </pivotArea>
    </format>
    <format dxfId="449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59"/>
          </reference>
          <reference field="82" count="1" selected="0">
            <x v="1017"/>
          </reference>
          <reference field="85" count="1" selected="0">
            <x v="0"/>
          </reference>
          <reference field="87" count="1" selected="0">
            <x v="1941"/>
          </reference>
          <reference field="88" count="1">
            <x v="803"/>
          </reference>
        </references>
      </pivotArea>
    </format>
    <format dxfId="449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3"/>
          </reference>
          <reference field="82" count="1" selected="0">
            <x v="1091"/>
          </reference>
          <reference field="85" count="1" selected="0">
            <x v="7"/>
          </reference>
          <reference field="87" count="1" selected="0">
            <x v="2015"/>
          </reference>
          <reference field="88" count="1">
            <x v="877"/>
          </reference>
        </references>
      </pivotArea>
    </format>
    <format dxfId="449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4"/>
          </reference>
          <reference field="82" count="1" selected="0">
            <x v="1092"/>
          </reference>
          <reference field="85" count="1" selected="0">
            <x v="7"/>
          </reference>
          <reference field="87" count="1" selected="0">
            <x v="2016"/>
          </reference>
          <reference field="88" count="1">
            <x v="878"/>
          </reference>
        </references>
      </pivotArea>
    </format>
    <format dxfId="449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5"/>
          </reference>
          <reference field="82" count="1" selected="0">
            <x v="1173"/>
          </reference>
          <reference field="85" count="1" selected="0">
            <x v="4"/>
          </reference>
          <reference field="87" count="1" selected="0">
            <x v="2097"/>
          </reference>
          <reference field="88" count="1">
            <x v="959"/>
          </reference>
        </references>
      </pivotArea>
    </format>
    <format dxfId="449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16"/>
          </reference>
          <reference field="82" count="1" selected="0">
            <x v="1174"/>
          </reference>
          <reference field="85" count="1" selected="0">
            <x v="4"/>
          </reference>
          <reference field="87" count="1" selected="0">
            <x v="2098"/>
          </reference>
          <reference field="88" count="1">
            <x v="960"/>
          </reference>
        </references>
      </pivotArea>
    </format>
    <format dxfId="449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17"/>
          </reference>
          <reference field="82" count="1" selected="0">
            <x v="1175"/>
          </reference>
          <reference field="85" count="1" selected="0">
            <x v="4"/>
          </reference>
          <reference field="87" count="1" selected="0">
            <x v="2099"/>
          </reference>
          <reference field="88" count="1">
            <x v="961"/>
          </reference>
        </references>
      </pivotArea>
    </format>
    <format dxfId="449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18"/>
          </reference>
          <reference field="82" count="1" selected="0">
            <x v="1176"/>
          </reference>
          <reference field="85" count="1" selected="0">
            <x v="4"/>
          </reference>
          <reference field="87" count="1" selected="0">
            <x v="2100"/>
          </reference>
          <reference field="88" count="1">
            <x v="962"/>
          </reference>
        </references>
      </pivotArea>
    </format>
    <format dxfId="4489">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7"/>
          </reference>
          <reference field="82" count="1" selected="0">
            <x v="943"/>
          </reference>
          <reference field="85" count="1" selected="0">
            <x v="7"/>
          </reference>
          <reference field="87" count="1" selected="0">
            <x v="1869"/>
          </reference>
          <reference field="88" count="1">
            <x v="729"/>
          </reference>
        </references>
      </pivotArea>
    </format>
    <format dxfId="4488">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77"/>
          </reference>
          <reference field="82" count="1" selected="0">
            <x v="933"/>
          </reference>
          <reference field="85" count="1" selected="0">
            <x v="7"/>
          </reference>
          <reference field="87" count="1" selected="0">
            <x v="1859"/>
          </reference>
          <reference field="88" count="1">
            <x v="719"/>
          </reference>
        </references>
      </pivotArea>
    </format>
    <format dxfId="448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532"/>
          </reference>
          <reference field="82" count="1" selected="0">
            <x v="989"/>
          </reference>
          <reference field="85" count="1" selected="0">
            <x v="4"/>
          </reference>
          <reference field="87" count="1" selected="0">
            <x v="1914"/>
          </reference>
          <reference field="88" count="1">
            <x v="775"/>
          </reference>
        </references>
      </pivotArea>
    </format>
    <format dxfId="448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534"/>
          </reference>
          <reference field="82" count="1" selected="0">
            <x v="991"/>
          </reference>
          <reference field="85" count="1" selected="0">
            <x v="4"/>
          </reference>
          <reference field="87" count="1" selected="0">
            <x v="1916"/>
          </reference>
          <reference field="88" count="1">
            <x v="777"/>
          </reference>
        </references>
      </pivotArea>
    </format>
    <format dxfId="448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535"/>
          </reference>
          <reference field="82" count="1" selected="0">
            <x v="992"/>
          </reference>
          <reference field="85" count="1" selected="0">
            <x v="4"/>
          </reference>
          <reference field="87" count="1" selected="0">
            <x v="1917"/>
          </reference>
          <reference field="88" count="1">
            <x v="778"/>
          </reference>
        </references>
      </pivotArea>
    </format>
    <format dxfId="448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531"/>
          </reference>
          <reference field="82" count="1" selected="0">
            <x v="988"/>
          </reference>
          <reference field="85" count="1" selected="0">
            <x v="4"/>
          </reference>
          <reference field="87" count="1" selected="0">
            <x v="1913"/>
          </reference>
          <reference field="88" count="1">
            <x v="774"/>
          </reference>
        </references>
      </pivotArea>
    </format>
    <format dxfId="448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36"/>
          </reference>
          <reference field="82" count="1" selected="0">
            <x v="993"/>
          </reference>
          <reference field="85" count="1" selected="0">
            <x v="4"/>
          </reference>
          <reference field="87" count="1" selected="0">
            <x v="1918"/>
          </reference>
          <reference field="88" count="1">
            <x v="779"/>
          </reference>
        </references>
      </pivotArea>
    </format>
    <format dxfId="448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37"/>
          </reference>
          <reference field="82" count="1" selected="0">
            <x v="994"/>
          </reference>
          <reference field="85" count="1" selected="0">
            <x v="4"/>
          </reference>
          <reference field="87" count="1" selected="0">
            <x v="1919"/>
          </reference>
          <reference field="88" count="1">
            <x v="780"/>
          </reference>
        </references>
      </pivotArea>
    </format>
    <format dxfId="448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38"/>
          </reference>
          <reference field="82" count="1" selected="0">
            <x v="995"/>
          </reference>
          <reference field="85" count="1" selected="0">
            <x v="4"/>
          </reference>
          <reference field="87" count="1" selected="0">
            <x v="1920"/>
          </reference>
          <reference field="88" count="1">
            <x v="781"/>
          </reference>
        </references>
      </pivotArea>
    </format>
    <format dxfId="448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533"/>
          </reference>
          <reference field="82" count="1" selected="0">
            <x v="990"/>
          </reference>
          <reference field="85" count="1" selected="0">
            <x v="4"/>
          </reference>
          <reference field="87" count="1" selected="0">
            <x v="1915"/>
          </reference>
          <reference field="88" count="1">
            <x v="776"/>
          </reference>
        </references>
      </pivotArea>
    </format>
    <format dxfId="447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65"/>
          </reference>
          <reference field="82" count="1" selected="0">
            <x v="1023"/>
          </reference>
          <reference field="85" count="1" selected="0">
            <x v="0"/>
          </reference>
          <reference field="87" count="1" selected="0">
            <x v="1947"/>
          </reference>
          <reference field="88" count="1">
            <x v="809"/>
          </reference>
        </references>
      </pivotArea>
    </format>
    <format dxfId="447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66"/>
          </reference>
          <reference field="82" count="1" selected="0">
            <x v="1024"/>
          </reference>
          <reference field="85" count="1" selected="0">
            <x v="0"/>
          </reference>
          <reference field="87" count="1" selected="0">
            <x v="1948"/>
          </reference>
          <reference field="88" count="1">
            <x v="810"/>
          </reference>
        </references>
      </pivotArea>
    </format>
    <format dxfId="447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67"/>
          </reference>
          <reference field="82" count="1" selected="0">
            <x v="1025"/>
          </reference>
          <reference field="85" count="1" selected="0">
            <x v="0"/>
          </reference>
          <reference field="87" count="1" selected="0">
            <x v="1949"/>
          </reference>
          <reference field="88" count="1">
            <x v="811"/>
          </reference>
        </references>
      </pivotArea>
    </format>
    <format dxfId="447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64"/>
          </reference>
          <reference field="82" count="1" selected="0">
            <x v="1022"/>
          </reference>
          <reference field="85" count="1" selected="0">
            <x v="0"/>
          </reference>
          <reference field="87" count="1" selected="0">
            <x v="1946"/>
          </reference>
          <reference field="88" count="1">
            <x v="808"/>
          </reference>
        </references>
      </pivotArea>
    </format>
    <format dxfId="4475">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86"/>
          </reference>
          <reference field="82" count="1" selected="0">
            <x v="942"/>
          </reference>
          <reference field="85" count="1" selected="0">
            <x v="7"/>
          </reference>
          <reference field="87" count="1" selected="0">
            <x v="1868"/>
          </reference>
          <reference field="88" count="1">
            <x v="728"/>
          </reference>
        </references>
      </pivotArea>
    </format>
    <format dxfId="447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5"/>
          </reference>
          <reference field="82" count="1" selected="0">
            <x v="1093"/>
          </reference>
          <reference field="85" count="1" selected="0">
            <x v="7"/>
          </reference>
          <reference field="87" count="1" selected="0">
            <x v="2017"/>
          </reference>
          <reference field="88" count="1">
            <x v="879"/>
          </reference>
        </references>
      </pivotArea>
    </format>
    <format dxfId="4473">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36"/>
          </reference>
          <reference field="82" count="1" selected="0">
            <x v="1094"/>
          </reference>
          <reference field="85" count="1" selected="0">
            <x v="7"/>
          </reference>
          <reference field="87" count="1" selected="0">
            <x v="2018"/>
          </reference>
          <reference field="88" count="1">
            <x v="880"/>
          </reference>
        </references>
      </pivotArea>
    </format>
    <format dxfId="447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63"/>
          </reference>
          <reference field="82" count="1" selected="0">
            <x v="1021"/>
          </reference>
          <reference field="85" count="1" selected="0">
            <x v="0"/>
          </reference>
          <reference field="87" count="1" selected="0">
            <x v="1945"/>
          </reference>
          <reference field="88" count="1">
            <x v="807"/>
          </reference>
        </references>
      </pivotArea>
    </format>
    <format dxfId="447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61"/>
          </reference>
          <reference field="82" count="1" selected="0">
            <x v="1019"/>
          </reference>
          <reference field="85" count="1" selected="0">
            <x v="0"/>
          </reference>
          <reference field="87" count="1" selected="0">
            <x v="1943"/>
          </reference>
          <reference field="88" count="1">
            <x v="805"/>
          </reference>
        </references>
      </pivotArea>
    </format>
    <format dxfId="447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62"/>
          </reference>
          <reference field="82" count="1" selected="0">
            <x v="1020"/>
          </reference>
          <reference field="85" count="1" selected="0">
            <x v="0"/>
          </reference>
          <reference field="87" count="1" selected="0">
            <x v="1944"/>
          </reference>
          <reference field="88" count="1">
            <x v="806"/>
          </reference>
        </references>
      </pivotArea>
    </format>
    <format dxfId="446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39"/>
          </reference>
          <reference field="82" count="1" selected="0">
            <x v="1097"/>
          </reference>
          <reference field="85" count="1" selected="0">
            <x v="7"/>
          </reference>
          <reference field="87" count="1" selected="0">
            <x v="2021"/>
          </reference>
          <reference field="88" count="1">
            <x v="883"/>
          </reference>
        </references>
      </pivotArea>
    </format>
    <format dxfId="446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40"/>
          </reference>
          <reference field="82" count="1" selected="0">
            <x v="1098"/>
          </reference>
          <reference field="85" count="1" selected="0">
            <x v="7"/>
          </reference>
          <reference field="87" count="1" selected="0">
            <x v="2022"/>
          </reference>
          <reference field="88" count="1">
            <x v="884"/>
          </reference>
        </references>
      </pivotArea>
    </format>
    <format dxfId="446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9"/>
          </reference>
          <reference field="82" count="1" selected="0">
            <x v="1177"/>
          </reference>
          <reference field="85" count="1" selected="0">
            <x v="4"/>
          </reference>
          <reference field="87" count="1" selected="0">
            <x v="2101"/>
          </reference>
          <reference field="88" count="1">
            <x v="963"/>
          </reference>
        </references>
      </pivotArea>
    </format>
    <format dxfId="446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20"/>
          </reference>
          <reference field="82" count="1" selected="0">
            <x v="1178"/>
          </reference>
          <reference field="85" count="1" selected="0">
            <x v="4"/>
          </reference>
          <reference field="87" count="1" selected="0">
            <x v="2102"/>
          </reference>
          <reference field="88" count="1">
            <x v="964"/>
          </reference>
        </references>
      </pivotArea>
    </format>
    <format dxfId="446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21"/>
          </reference>
          <reference field="82" count="1" selected="0">
            <x v="1179"/>
          </reference>
          <reference field="85" count="1" selected="0">
            <x v="4"/>
          </reference>
          <reference field="87" count="1" selected="0">
            <x v="2103"/>
          </reference>
          <reference field="88" count="1">
            <x v="965"/>
          </reference>
        </references>
      </pivotArea>
    </format>
    <format dxfId="446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2"/>
          </reference>
          <reference field="82" count="1" selected="0">
            <x v="1180"/>
          </reference>
          <reference field="85" count="1" selected="0">
            <x v="4"/>
          </reference>
          <reference field="87" count="1" selected="0">
            <x v="2104"/>
          </reference>
          <reference field="88" count="1">
            <x v="966"/>
          </reference>
        </references>
      </pivotArea>
    </format>
    <format dxfId="446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43"/>
          </reference>
          <reference field="82" count="1" selected="0">
            <x v="1101"/>
          </reference>
          <reference field="85" count="1" selected="0">
            <x v="7"/>
          </reference>
          <reference field="87" count="1" selected="0">
            <x v="2025"/>
          </reference>
          <reference field="88" count="1">
            <x v="887"/>
          </reference>
        </references>
      </pivotArea>
    </format>
    <format dxfId="446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44"/>
          </reference>
          <reference field="82" count="1" selected="0">
            <x v="1102"/>
          </reference>
          <reference field="85" count="1" selected="0">
            <x v="7"/>
          </reference>
          <reference field="87" count="1" selected="0">
            <x v="2026"/>
          </reference>
          <reference field="88" count="1">
            <x v="888"/>
          </reference>
        </references>
      </pivotArea>
    </format>
    <format dxfId="4461">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72"/>
          </reference>
          <reference field="82" count="1" selected="0">
            <x v="1030"/>
          </reference>
          <reference field="85" count="1" selected="0">
            <x v="0"/>
          </reference>
          <reference field="87" count="1" selected="0">
            <x v="1954"/>
          </reference>
          <reference field="88" count="1">
            <x v="816"/>
          </reference>
        </references>
      </pivotArea>
    </format>
    <format dxfId="446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579"/>
          </reference>
          <reference field="82" count="1" selected="0">
            <x v="1037"/>
          </reference>
          <reference field="85" count="1" selected="0">
            <x v="0"/>
          </reference>
          <reference field="87" count="1" selected="0">
            <x v="1961"/>
          </reference>
          <reference field="88" count="1">
            <x v="823"/>
          </reference>
        </references>
      </pivotArea>
    </format>
    <format dxfId="445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580"/>
          </reference>
          <reference field="82" count="1" selected="0">
            <x v="1038"/>
          </reference>
          <reference field="85" count="1" selected="0">
            <x v="0"/>
          </reference>
          <reference field="87" count="1" selected="0">
            <x v="1962"/>
          </reference>
          <reference field="88" count="1">
            <x v="824"/>
          </reference>
        </references>
      </pivotArea>
    </format>
    <format dxfId="445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81"/>
          </reference>
          <reference field="82" count="1" selected="0">
            <x v="1039"/>
          </reference>
          <reference field="85" count="1" selected="0">
            <x v="0"/>
          </reference>
          <reference field="87" count="1" selected="0">
            <x v="1963"/>
          </reference>
          <reference field="88" count="1">
            <x v="825"/>
          </reference>
        </references>
      </pivotArea>
    </format>
    <format dxfId="4457">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83"/>
          </reference>
          <reference field="82" count="1" selected="0">
            <x v="939"/>
          </reference>
          <reference field="85" count="1" selected="0">
            <x v="7"/>
          </reference>
          <reference field="87" count="1" selected="0">
            <x v="1865"/>
          </reference>
          <reference field="88" count="1">
            <x v="725"/>
          </reference>
        </references>
      </pivotArea>
    </format>
    <format dxfId="4456">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467"/>
          </reference>
          <reference field="82" count="1" selected="0">
            <x v="922"/>
          </reference>
          <reference field="85" count="1" selected="0">
            <x v="7"/>
          </reference>
          <reference field="87" count="1" selected="0">
            <x v="1849"/>
          </reference>
          <reference field="88" count="1">
            <x v="708"/>
          </reference>
        </references>
      </pivotArea>
    </format>
    <format dxfId="4455">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68"/>
          </reference>
          <reference field="82" count="1" selected="0">
            <x v="923"/>
          </reference>
          <reference field="85" count="1" selected="0">
            <x v="7"/>
          </reference>
          <reference field="87" count="1" selected="0">
            <x v="1850"/>
          </reference>
          <reference field="88" count="1">
            <x v="709"/>
          </reference>
        </references>
      </pivotArea>
    </format>
    <format dxfId="445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3"/>
          </reference>
          <reference field="82" count="1" selected="0">
            <x v="1031"/>
          </reference>
          <reference field="85" count="1" selected="0">
            <x v="0"/>
          </reference>
          <reference field="87" count="1" selected="0">
            <x v="1955"/>
          </reference>
          <reference field="88" count="1">
            <x v="817"/>
          </reference>
        </references>
      </pivotArea>
    </format>
    <format dxfId="445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74"/>
          </reference>
          <reference field="82" count="1" selected="0">
            <x v="1032"/>
          </reference>
          <reference field="85" count="1" selected="0">
            <x v="0"/>
          </reference>
          <reference field="87" count="1" selected="0">
            <x v="1956"/>
          </reference>
          <reference field="88" count="1">
            <x v="818"/>
          </reference>
        </references>
      </pivotArea>
    </format>
    <format dxfId="445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75"/>
          </reference>
          <reference field="82" count="1" selected="0">
            <x v="1033"/>
          </reference>
          <reference field="85" count="1" selected="0">
            <x v="0"/>
          </reference>
          <reference field="87" count="1" selected="0">
            <x v="1957"/>
          </reference>
          <reference field="88" count="1">
            <x v="819"/>
          </reference>
        </references>
      </pivotArea>
    </format>
    <format dxfId="445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45"/>
          </reference>
          <reference field="82" count="1" selected="0">
            <x v="1103"/>
          </reference>
          <reference field="85" count="1" selected="0">
            <x v="7"/>
          </reference>
          <reference field="87" count="1" selected="0">
            <x v="2027"/>
          </reference>
          <reference field="88" count="1">
            <x v="889"/>
          </reference>
        </references>
      </pivotArea>
    </format>
    <format dxfId="4450">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46"/>
          </reference>
          <reference field="82" count="1" selected="0">
            <x v="1104"/>
          </reference>
          <reference field="85" count="1" selected="0">
            <x v="7"/>
          </reference>
          <reference field="87" count="1" selected="0">
            <x v="2028"/>
          </reference>
          <reference field="88" count="1">
            <x v="890"/>
          </reference>
        </references>
      </pivotArea>
    </format>
    <format dxfId="4449">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88"/>
          </reference>
          <reference field="82" count="1" selected="0">
            <x v="944"/>
          </reference>
          <reference field="85" count="1" selected="0">
            <x v="7"/>
          </reference>
          <reference field="87" count="1" selected="0">
            <x v="1870"/>
          </reference>
          <reference field="88" count="1">
            <x v="730"/>
          </reference>
        </references>
      </pivotArea>
    </format>
    <format dxfId="444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76"/>
          </reference>
          <reference field="82" count="1" selected="0">
            <x v="1034"/>
          </reference>
          <reference field="85" count="1" selected="0">
            <x v="0"/>
          </reference>
          <reference field="87" count="1" selected="0">
            <x v="1958"/>
          </reference>
          <reference field="88" count="1">
            <x v="820"/>
          </reference>
        </references>
      </pivotArea>
    </format>
    <format dxfId="444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77"/>
          </reference>
          <reference field="82" count="1" selected="0">
            <x v="1035"/>
          </reference>
          <reference field="85" count="1" selected="0">
            <x v="0"/>
          </reference>
          <reference field="87" count="1" selected="0">
            <x v="1959"/>
          </reference>
          <reference field="88" count="1">
            <x v="821"/>
          </reference>
        </references>
      </pivotArea>
    </format>
    <format dxfId="444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78"/>
          </reference>
          <reference field="82" count="1" selected="0">
            <x v="1036"/>
          </reference>
          <reference field="85" count="1" selected="0">
            <x v="0"/>
          </reference>
          <reference field="87" count="1" selected="0">
            <x v="1960"/>
          </reference>
          <reference field="88" count="1">
            <x v="822"/>
          </reference>
        </references>
      </pivotArea>
    </format>
    <format dxfId="4445">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 field="85" count="1" selected="0">
            <x v="7"/>
          </reference>
          <reference field="87" count="1" selected="0">
            <x v="2034"/>
          </reference>
          <reference field="88" count="1">
            <x v="896"/>
          </reference>
        </references>
      </pivotArea>
    </format>
    <format dxfId="444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85"/>
          </reference>
          <reference field="82" count="1" selected="0">
            <x v="1043"/>
          </reference>
          <reference field="85" count="1" selected="0">
            <x v="0"/>
          </reference>
          <reference field="87" count="1" selected="0">
            <x v="1967"/>
          </reference>
          <reference field="88" count="1">
            <x v="829"/>
          </reference>
        </references>
      </pivotArea>
    </format>
    <format dxfId="444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86"/>
          </reference>
          <reference field="82" count="1" selected="0">
            <x v="1044"/>
          </reference>
          <reference field="85" count="1" selected="0">
            <x v="0"/>
          </reference>
          <reference field="87" count="1" selected="0">
            <x v="1968"/>
          </reference>
          <reference field="88" count="1">
            <x v="830"/>
          </reference>
        </references>
      </pivotArea>
    </format>
    <format dxfId="444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87"/>
          </reference>
          <reference field="82" count="1" selected="0">
            <x v="1045"/>
          </reference>
          <reference field="85" count="1" selected="0">
            <x v="0"/>
          </reference>
          <reference field="87" count="1" selected="0">
            <x v="1969"/>
          </reference>
          <reference field="88" count="1">
            <x v="831"/>
          </reference>
        </references>
      </pivotArea>
    </format>
    <format dxfId="444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60"/>
          </reference>
          <reference field="82" count="1" selected="0">
            <x v="915"/>
          </reference>
          <reference field="85" count="1" selected="0">
            <x v="7"/>
          </reference>
          <reference field="87" count="1" selected="0">
            <x v="1842"/>
          </reference>
          <reference field="88" count="1">
            <x v="701"/>
          </reference>
        </references>
      </pivotArea>
    </format>
    <format dxfId="4440">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1"/>
          </reference>
          <reference field="82" count="1" selected="0">
            <x v="916"/>
          </reference>
          <reference field="85" count="1" selected="0">
            <x v="7"/>
          </reference>
          <reference field="87" count="1" selected="0">
            <x v="1843"/>
          </reference>
          <reference field="88" count="1">
            <x v="702"/>
          </reference>
        </references>
      </pivotArea>
    </format>
    <format dxfId="443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523"/>
          </reference>
          <reference field="82" count="1" selected="0">
            <x v="980"/>
          </reference>
          <reference field="85" count="1" selected="0">
            <x v="4"/>
          </reference>
          <reference field="87" count="1" selected="0">
            <x v="1905"/>
          </reference>
          <reference field="88" count="1">
            <x v="766"/>
          </reference>
        </references>
      </pivotArea>
    </format>
    <format dxfId="443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524"/>
          </reference>
          <reference field="82" count="1" selected="0">
            <x v="981"/>
          </reference>
          <reference field="85" count="1" selected="0">
            <x v="4"/>
          </reference>
          <reference field="87" count="1" selected="0">
            <x v="1906"/>
          </reference>
          <reference field="88" count="1">
            <x v="767"/>
          </reference>
        </references>
      </pivotArea>
    </format>
    <format dxfId="443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521"/>
          </reference>
          <reference field="82" count="1" selected="0">
            <x v="978"/>
          </reference>
          <reference field="85" count="1" selected="0">
            <x v="4"/>
          </reference>
          <reference field="87" count="1" selected="0">
            <x v="1903"/>
          </reference>
          <reference field="88" count="1">
            <x v="764"/>
          </reference>
        </references>
      </pivotArea>
    </format>
    <format dxfId="443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522"/>
          </reference>
          <reference field="82" count="1" selected="0">
            <x v="979"/>
          </reference>
          <reference field="85" count="1" selected="0">
            <x v="4"/>
          </reference>
          <reference field="87" count="1" selected="0">
            <x v="1904"/>
          </reference>
          <reference field="88" count="1">
            <x v="765"/>
          </reference>
        </references>
      </pivotArea>
    </format>
    <format dxfId="443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82"/>
          </reference>
          <reference field="82" count="1" selected="0">
            <x v="1040"/>
          </reference>
          <reference field="85" count="1" selected="0">
            <x v="0"/>
          </reference>
          <reference field="87" count="1" selected="0">
            <x v="1964"/>
          </reference>
          <reference field="88" count="1">
            <x v="826"/>
          </reference>
        </references>
      </pivotArea>
    </format>
    <format dxfId="443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83"/>
          </reference>
          <reference field="82" count="1" selected="0">
            <x v="1041"/>
          </reference>
          <reference field="85" count="1" selected="0">
            <x v="0"/>
          </reference>
          <reference field="87" count="1" selected="0">
            <x v="1965"/>
          </reference>
          <reference field="88" count="1">
            <x v="827"/>
          </reference>
        </references>
      </pivotArea>
    </format>
    <format dxfId="443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84"/>
          </reference>
          <reference field="82" count="1" selected="0">
            <x v="1042"/>
          </reference>
          <reference field="85" count="1" selected="0">
            <x v="0"/>
          </reference>
          <reference field="87" count="1" selected="0">
            <x v="1966"/>
          </reference>
          <reference field="88" count="1">
            <x v="828"/>
          </reference>
        </references>
      </pivotArea>
    </format>
    <format dxfId="4432">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66"/>
          </reference>
          <reference field="82" count="1" selected="0">
            <x v="1124"/>
          </reference>
          <reference field="85" count="1" selected="0">
            <x v="7"/>
          </reference>
          <reference field="87" count="1" selected="0">
            <x v="2048"/>
          </reference>
          <reference field="88" count="1">
            <x v="910"/>
          </reference>
        </references>
      </pivotArea>
    </format>
    <format dxfId="4431">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76"/>
          </reference>
          <reference field="82" count="1" selected="0">
            <x v="931"/>
          </reference>
          <reference field="85" count="1" selected="0">
            <x v="7"/>
          </reference>
          <reference field="87" count="1" selected="0">
            <x v="1858"/>
          </reference>
          <reference field="88" count="1">
            <x v="717"/>
          </reference>
        </references>
      </pivotArea>
    </format>
    <format dxfId="443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46"/>
          </reference>
          <reference field="82" count="1" selected="0">
            <x v="1004"/>
          </reference>
          <reference field="85" count="1" selected="0">
            <x v="0"/>
          </reference>
          <reference field="87" count="1" selected="0">
            <x v="1928"/>
          </reference>
          <reference field="88" count="1">
            <x v="790"/>
          </reference>
        </references>
      </pivotArea>
    </format>
    <format dxfId="442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45"/>
          </reference>
          <reference field="82" count="1" selected="0">
            <x v="1003"/>
          </reference>
          <reference field="85" count="1" selected="0">
            <x v="0"/>
          </reference>
          <reference field="87" count="1" selected="0">
            <x v="1927"/>
          </reference>
          <reference field="88" count="1">
            <x v="789"/>
          </reference>
        </references>
      </pivotArea>
    </format>
    <format dxfId="442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47"/>
          </reference>
          <reference field="82" count="1" selected="0">
            <x v="1005"/>
          </reference>
          <reference field="85" count="1" selected="0">
            <x v="0"/>
          </reference>
          <reference field="87" count="1" selected="0">
            <x v="1929"/>
          </reference>
          <reference field="88" count="1">
            <x v="791"/>
          </reference>
        </references>
      </pivotArea>
    </format>
    <format dxfId="442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84"/>
          </reference>
          <reference field="82" count="1" selected="0">
            <x v="940"/>
          </reference>
          <reference field="85" count="1" selected="0">
            <x v="7"/>
          </reference>
          <reference field="87" count="1" selected="0">
            <x v="1866"/>
          </reference>
          <reference field="88" count="1">
            <x v="726"/>
          </reference>
        </references>
      </pivotArea>
    </format>
    <format dxfId="4426">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75"/>
          </reference>
          <reference field="82" count="1" selected="0">
            <x v="930"/>
          </reference>
          <reference field="85" count="1" selected="0">
            <x v="7"/>
          </reference>
          <reference field="87" count="1" selected="0">
            <x v="1857"/>
          </reference>
          <reference field="88" count="1">
            <x v="716"/>
          </reference>
        </references>
      </pivotArea>
    </format>
    <format dxfId="442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527"/>
          </reference>
          <reference field="82" count="1" selected="0">
            <x v="984"/>
          </reference>
          <reference field="85" count="1" selected="0">
            <x v="4"/>
          </reference>
          <reference field="87" count="1" selected="0">
            <x v="1909"/>
          </reference>
          <reference field="88" count="1">
            <x v="770"/>
          </reference>
        </references>
      </pivotArea>
    </format>
    <format dxfId="442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528"/>
          </reference>
          <reference field="82" count="1" selected="0">
            <x v="985"/>
          </reference>
          <reference field="85" count="1" selected="0">
            <x v="4"/>
          </reference>
          <reference field="87" count="1" selected="0">
            <x v="1910"/>
          </reference>
          <reference field="88" count="1">
            <x v="771"/>
          </reference>
        </references>
      </pivotArea>
    </format>
    <format dxfId="442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525"/>
          </reference>
          <reference field="82" count="1" selected="0">
            <x v="982"/>
          </reference>
          <reference field="85" count="1" selected="0">
            <x v="4"/>
          </reference>
          <reference field="87" count="1" selected="0">
            <x v="1907"/>
          </reference>
          <reference field="88" count="1">
            <x v="768"/>
          </reference>
        </references>
      </pivotArea>
    </format>
    <format dxfId="442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526"/>
          </reference>
          <reference field="82" count="1" selected="0">
            <x v="983"/>
          </reference>
          <reference field="85" count="1" selected="0">
            <x v="4"/>
          </reference>
          <reference field="87" count="1" selected="0">
            <x v="1908"/>
          </reference>
          <reference field="88" count="1">
            <x v="769"/>
          </reference>
        </references>
      </pivotArea>
    </format>
    <format dxfId="442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2"/>
          </reference>
          <reference field="82" count="1" selected="0">
            <x v="1000"/>
          </reference>
          <reference field="85" count="1" selected="0">
            <x v="0"/>
          </reference>
          <reference field="87" count="1" selected="0">
            <x v="1924"/>
          </reference>
          <reference field="88" count="1">
            <x v="786"/>
          </reference>
        </references>
      </pivotArea>
    </format>
    <format dxfId="442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43"/>
          </reference>
          <reference field="82" count="1" selected="0">
            <x v="1001"/>
          </reference>
          <reference field="85" count="1" selected="0">
            <x v="0"/>
          </reference>
          <reference field="87" count="1" selected="0">
            <x v="1925"/>
          </reference>
          <reference field="88" count="1">
            <x v="787"/>
          </reference>
        </references>
      </pivotArea>
    </format>
    <format dxfId="441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44"/>
          </reference>
          <reference field="82" count="1" selected="0">
            <x v="1002"/>
          </reference>
          <reference field="85" count="1" selected="0">
            <x v="0"/>
          </reference>
          <reference field="87" count="1" selected="0">
            <x v="1926"/>
          </reference>
          <reference field="88" count="1">
            <x v="788"/>
          </reference>
        </references>
      </pivotArea>
    </format>
    <format dxfId="4418">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58"/>
          </reference>
          <reference field="82" count="1" selected="0">
            <x v="1116"/>
          </reference>
          <reference field="85" count="1" selected="0">
            <x v="7"/>
          </reference>
          <reference field="87" count="1" selected="0">
            <x v="2040"/>
          </reference>
          <reference field="88" count="1">
            <x v="902"/>
          </reference>
        </references>
      </pivotArea>
    </format>
    <format dxfId="441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48"/>
          </reference>
          <reference field="82" count="1" selected="0">
            <x v="1006"/>
          </reference>
          <reference field="85" count="1" selected="0">
            <x v="0"/>
          </reference>
          <reference field="87" count="1" selected="0">
            <x v="1930"/>
          </reference>
          <reference field="88" count="1">
            <x v="792"/>
          </reference>
        </references>
      </pivotArea>
    </format>
    <format dxfId="441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49"/>
          </reference>
          <reference field="82" count="1" selected="0">
            <x v="1007"/>
          </reference>
          <reference field="85" count="1" selected="0">
            <x v="0"/>
          </reference>
          <reference field="87" count="1" selected="0">
            <x v="1931"/>
          </reference>
          <reference field="88" count="1">
            <x v="793"/>
          </reference>
        </references>
      </pivotArea>
    </format>
    <format dxfId="441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50"/>
          </reference>
          <reference field="82" count="1" selected="0">
            <x v="1008"/>
          </reference>
          <reference field="85" count="1" selected="0">
            <x v="0"/>
          </reference>
          <reference field="87" count="1" selected="0">
            <x v="1932"/>
          </reference>
          <reference field="88" count="1">
            <x v="794"/>
          </reference>
        </references>
      </pivotArea>
    </format>
    <format dxfId="441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69"/>
          </reference>
          <reference field="82" count="1" selected="0">
            <x v="924"/>
          </reference>
          <reference field="85" count="1" selected="0">
            <x v="7"/>
          </reference>
          <reference field="87" count="1" selected="0">
            <x v="1851"/>
          </reference>
          <reference field="88" count="1">
            <x v="710"/>
          </reference>
        </references>
      </pivotArea>
    </format>
    <format dxfId="441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70"/>
          </reference>
          <reference field="82" count="1" selected="0">
            <x v="925"/>
          </reference>
          <reference field="85" count="1" selected="0">
            <x v="7"/>
          </reference>
          <reference field="87" count="1" selected="0">
            <x v="1852"/>
          </reference>
          <reference field="88" count="1">
            <x v="711"/>
          </reference>
        </references>
      </pivotArea>
    </format>
    <format dxfId="441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1"/>
          </reference>
          <reference field="82" count="1" selected="0">
            <x v="1009"/>
          </reference>
          <reference field="85" count="1" selected="0">
            <x v="0"/>
          </reference>
          <reference field="87" count="1" selected="0">
            <x v="1933"/>
          </reference>
          <reference field="88" count="1">
            <x v="795"/>
          </reference>
        </references>
      </pivotArea>
    </format>
    <format dxfId="441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52"/>
          </reference>
          <reference field="82" count="1" selected="0">
            <x v="1010"/>
          </reference>
          <reference field="85" count="1" selected="0">
            <x v="0"/>
          </reference>
          <reference field="87" count="1" selected="0">
            <x v="1934"/>
          </reference>
          <reference field="88" count="1">
            <x v="796"/>
          </reference>
        </references>
      </pivotArea>
    </format>
    <format dxfId="441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53"/>
          </reference>
          <reference field="82" count="1" selected="0">
            <x v="1011"/>
          </reference>
          <reference field="85" count="1" selected="0">
            <x v="0"/>
          </reference>
          <reference field="87" count="1" selected="0">
            <x v="1935"/>
          </reference>
          <reference field="88" count="1">
            <x v="797"/>
          </reference>
        </references>
      </pivotArea>
    </format>
    <format dxfId="440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612"/>
          </reference>
          <reference field="82" count="1" selected="0">
            <x v="1070"/>
          </reference>
          <reference field="85" count="1" selected="0">
            <x v="2"/>
          </reference>
          <reference field="87" count="1" selected="0">
            <x v="1994"/>
          </reference>
          <reference field="88" count="1">
            <x v="856"/>
          </reference>
        </references>
      </pivotArea>
    </format>
    <format dxfId="440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611"/>
          </reference>
          <reference field="82" count="1" selected="0">
            <x v="1069"/>
          </reference>
          <reference field="85" count="1" selected="0">
            <x v="2"/>
          </reference>
          <reference field="87" count="1" selected="0">
            <x v="1993"/>
          </reference>
          <reference field="88" count="1">
            <x v="855"/>
          </reference>
        </references>
      </pivotArea>
    </format>
    <format dxfId="440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613"/>
          </reference>
          <reference field="82" count="1" selected="0">
            <x v="1071"/>
          </reference>
          <reference field="85" count="1" selected="0">
            <x v="2"/>
          </reference>
          <reference field="87" count="1" selected="0">
            <x v="1995"/>
          </reference>
          <reference field="88" count="1">
            <x v="857"/>
          </reference>
        </references>
      </pivotArea>
    </format>
    <format dxfId="440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54"/>
          </reference>
          <reference field="82" count="1" selected="0">
            <x v="1012"/>
          </reference>
          <reference field="85" count="1" selected="0">
            <x v="0"/>
          </reference>
          <reference field="87" count="1" selected="0">
            <x v="1936"/>
          </reference>
          <reference field="88" count="1">
            <x v="798"/>
          </reference>
        </references>
      </pivotArea>
    </format>
    <format dxfId="440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55"/>
          </reference>
          <reference field="82" count="1" selected="0">
            <x v="1013"/>
          </reference>
          <reference field="85" count="1" selected="0">
            <x v="0"/>
          </reference>
          <reference field="87" count="1" selected="0">
            <x v="1937"/>
          </reference>
          <reference field="88" count="1">
            <x v="799"/>
          </reference>
        </references>
      </pivotArea>
    </format>
    <format dxfId="440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56"/>
          </reference>
          <reference field="82" count="1" selected="0">
            <x v="1014"/>
          </reference>
          <reference field="85" count="1" selected="0">
            <x v="0"/>
          </reference>
          <reference field="87" count="1" selected="0">
            <x v="1938"/>
          </reference>
          <reference field="88" count="1">
            <x v="800"/>
          </reference>
        </references>
      </pivotArea>
    </format>
    <format dxfId="4403">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49"/>
          </reference>
          <reference field="82" count="1" selected="0">
            <x v="1107"/>
          </reference>
          <reference field="85" count="1" selected="0">
            <x v="7"/>
          </reference>
          <reference field="87" count="1" selected="0">
            <x v="2031"/>
          </reference>
          <reference field="88" count="1">
            <x v="893"/>
          </reference>
        </references>
      </pivotArea>
    </format>
    <format dxfId="440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53"/>
          </reference>
          <reference field="82" count="1" selected="0">
            <x v="1211"/>
          </reference>
          <reference field="85" count="1" selected="0">
            <x v="4"/>
          </reference>
          <reference field="87" count="1" selected="0">
            <x v="2135"/>
          </reference>
          <reference field="88" count="1">
            <x v="997"/>
          </reference>
        </references>
      </pivotArea>
    </format>
    <format dxfId="440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54"/>
          </reference>
          <reference field="82" count="1" selected="0">
            <x v="1212"/>
          </reference>
          <reference field="85" count="1" selected="0">
            <x v="4"/>
          </reference>
          <reference field="87" count="1" selected="0">
            <x v="2136"/>
          </reference>
          <reference field="88" count="1">
            <x v="998"/>
          </reference>
        </references>
      </pivotArea>
    </format>
    <format dxfId="440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55"/>
          </reference>
          <reference field="82" count="1" selected="0">
            <x v="1213"/>
          </reference>
          <reference field="85" count="1" selected="0">
            <x v="4"/>
          </reference>
          <reference field="87" count="1" selected="0">
            <x v="2137"/>
          </reference>
          <reference field="88" count="1">
            <x v="999"/>
          </reference>
        </references>
      </pivotArea>
    </format>
    <format dxfId="439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56"/>
          </reference>
          <reference field="82" count="1" selected="0">
            <x v="1214"/>
          </reference>
          <reference field="85" count="1" selected="0">
            <x v="4"/>
          </reference>
          <reference field="87" count="1" selected="0">
            <x v="2138"/>
          </reference>
          <reference field="88" count="1">
            <x v="1000"/>
          </reference>
        </references>
      </pivotArea>
    </format>
    <format dxfId="439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6"/>
          </reference>
          <reference field="82" count="1" selected="0">
            <x v="1134"/>
          </reference>
          <reference field="85" count="1" selected="0">
            <x v="4"/>
          </reference>
          <reference field="87" count="1" selected="0">
            <x v="2058"/>
          </reference>
          <reference field="88" count="1">
            <x v="920"/>
          </reference>
        </references>
      </pivotArea>
    </format>
    <format dxfId="439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77"/>
          </reference>
          <reference field="82" count="1" selected="0">
            <x v="1135"/>
          </reference>
          <reference field="85" count="1" selected="0">
            <x v="4"/>
          </reference>
          <reference field="87" count="1" selected="0">
            <x v="2059"/>
          </reference>
          <reference field="88" count="1">
            <x v="921"/>
          </reference>
        </references>
      </pivotArea>
    </format>
    <format dxfId="439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8"/>
          </reference>
          <reference field="82" count="1" selected="0">
            <x v="1136"/>
          </reference>
          <reference field="85" count="1" selected="0">
            <x v="4"/>
          </reference>
          <reference field="87" count="1" selected="0">
            <x v="2060"/>
          </reference>
          <reference field="88" count="1">
            <x v="922"/>
          </reference>
        </references>
      </pivotArea>
    </format>
    <format dxfId="439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9"/>
          </reference>
          <reference field="82" count="1" selected="0">
            <x v="1137"/>
          </reference>
          <reference field="85" count="1" selected="0">
            <x v="4"/>
          </reference>
          <reference field="87" count="1" selected="0">
            <x v="2061"/>
          </reference>
          <reference field="88" count="1">
            <x v="923"/>
          </reference>
        </references>
      </pivotArea>
    </format>
    <format dxfId="439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49"/>
          </reference>
          <reference field="82" count="1" selected="0">
            <x v="904"/>
          </reference>
          <reference field="85" count="1" selected="0">
            <x v="3"/>
          </reference>
          <reference field="87" count="1" selected="0">
            <x v="1831"/>
          </reference>
          <reference field="88" count="1">
            <x v="690"/>
          </reference>
        </references>
      </pivotArea>
    </format>
    <format dxfId="4393">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48"/>
          </reference>
          <reference field="82" count="1" selected="0">
            <x v="903"/>
          </reference>
          <reference field="85" count="1" selected="0">
            <x v="3"/>
          </reference>
          <reference field="87" count="1" selected="0">
            <x v="1830"/>
          </reference>
          <reference field="88" count="1">
            <x v="689"/>
          </reference>
        </references>
      </pivotArea>
    </format>
    <format dxfId="439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72"/>
          </reference>
          <reference field="82" count="1" selected="0">
            <x v="1130"/>
          </reference>
          <reference field="85" count="1" selected="0">
            <x v="4"/>
          </reference>
          <reference field="87" count="1" selected="0">
            <x v="2054"/>
          </reference>
          <reference field="88" count="1">
            <x v="916"/>
          </reference>
        </references>
      </pivotArea>
    </format>
    <format dxfId="439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73"/>
          </reference>
          <reference field="82" count="1" selected="0">
            <x v="1131"/>
          </reference>
          <reference field="85" count="1" selected="0">
            <x v="4"/>
          </reference>
          <reference field="87" count="1" selected="0">
            <x v="2055"/>
          </reference>
          <reference field="88" count="1">
            <x v="917"/>
          </reference>
        </references>
      </pivotArea>
    </format>
    <format dxfId="439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4"/>
          </reference>
          <reference field="82" count="1" selected="0">
            <x v="1132"/>
          </reference>
          <reference field="85" count="1" selected="0">
            <x v="4"/>
          </reference>
          <reference field="87" count="1" selected="0">
            <x v="2056"/>
          </reference>
          <reference field="88" count="1">
            <x v="918"/>
          </reference>
        </references>
      </pivotArea>
    </format>
    <format dxfId="438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5"/>
          </reference>
          <reference field="82" count="1" selected="0">
            <x v="1133"/>
          </reference>
          <reference field="85" count="1" selected="0">
            <x v="4"/>
          </reference>
          <reference field="87" count="1" selected="0">
            <x v="2057"/>
          </reference>
          <reference field="88" count="1">
            <x v="919"/>
          </reference>
        </references>
      </pivotArea>
    </format>
    <format dxfId="438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68"/>
          </reference>
          <reference field="82" count="1" selected="0">
            <x v="1126"/>
          </reference>
          <reference field="85" count="1" selected="0">
            <x v="4"/>
          </reference>
          <reference field="87" count="1" selected="0">
            <x v="2050"/>
          </reference>
          <reference field="88" count="1">
            <x v="912"/>
          </reference>
        </references>
      </pivotArea>
    </format>
    <format dxfId="438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69"/>
          </reference>
          <reference field="82" count="1" selected="0">
            <x v="1127"/>
          </reference>
          <reference field="85" count="1" selected="0">
            <x v="4"/>
          </reference>
          <reference field="87" count="1" selected="0">
            <x v="2051"/>
          </reference>
          <reference field="88" count="1">
            <x v="913"/>
          </reference>
        </references>
      </pivotArea>
    </format>
    <format dxfId="438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70"/>
          </reference>
          <reference field="82" count="1" selected="0">
            <x v="1128"/>
          </reference>
          <reference field="85" count="1" selected="0">
            <x v="4"/>
          </reference>
          <reference field="87" count="1" selected="0">
            <x v="2052"/>
          </reference>
          <reference field="88" count="1">
            <x v="914"/>
          </reference>
        </references>
      </pivotArea>
    </format>
    <format dxfId="438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71"/>
          </reference>
          <reference field="82" count="1" selected="0">
            <x v="1129"/>
          </reference>
          <reference field="85" count="1" selected="0">
            <x v="4"/>
          </reference>
          <reference field="87" count="1" selected="0">
            <x v="2053"/>
          </reference>
          <reference field="88" count="1">
            <x v="915"/>
          </reference>
        </references>
      </pivotArea>
    </format>
    <format dxfId="438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89"/>
          </reference>
          <reference field="82" count="1" selected="0">
            <x v="1047"/>
          </reference>
          <reference field="85" count="1" selected="0">
            <x v="0"/>
          </reference>
          <reference field="87" count="1" selected="0">
            <x v="1971"/>
          </reference>
          <reference field="88" count="1">
            <x v="833"/>
          </reference>
        </references>
      </pivotArea>
    </format>
    <format dxfId="438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590"/>
          </reference>
          <reference field="82" count="1" selected="0">
            <x v="1048"/>
          </reference>
          <reference field="85" count="1" selected="0">
            <x v="0"/>
          </reference>
          <reference field="87" count="1" selected="0">
            <x v="1972"/>
          </reference>
          <reference field="88" count="1">
            <x v="834"/>
          </reference>
        </references>
      </pivotArea>
    </format>
    <format dxfId="438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588"/>
          </reference>
          <reference field="82" count="1" selected="0">
            <x v="1046"/>
          </reference>
          <reference field="85" count="1" selected="0">
            <x v="0"/>
          </reference>
          <reference field="87" count="1" selected="0">
            <x v="1970"/>
          </reference>
          <reference field="88" count="1">
            <x v="832"/>
          </reference>
        </references>
      </pivotArea>
    </format>
    <format dxfId="438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62"/>
          </reference>
          <reference field="82" count="1" selected="0">
            <x v="917"/>
          </reference>
          <reference field="85" count="1" selected="0">
            <x v="7"/>
          </reference>
          <reference field="87" count="1" selected="0">
            <x v="1844"/>
          </reference>
          <reference field="88" count="1">
            <x v="703"/>
          </reference>
        </references>
      </pivotArea>
    </format>
    <format dxfId="438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63"/>
          </reference>
          <reference field="82" count="1" selected="0">
            <x v="918"/>
          </reference>
          <reference field="85" count="1" selected="0">
            <x v="7"/>
          </reference>
          <reference field="87" count="1" selected="0">
            <x v="1845"/>
          </reference>
          <reference field="88" count="1">
            <x v="704"/>
          </reference>
        </references>
      </pivotArea>
    </format>
    <format dxfId="437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selected="0">
            <x v="919"/>
          </reference>
          <reference field="85" count="1" selected="0">
            <x v="7"/>
          </reference>
          <reference field="87" count="1" selected="0">
            <x v="1846"/>
          </reference>
          <reference field="88" count="1">
            <x v="705"/>
          </reference>
        </references>
      </pivotArea>
    </format>
    <format dxfId="437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517"/>
          </reference>
          <reference field="82" count="1" selected="0">
            <x v="974"/>
          </reference>
          <reference field="85" count="1" selected="0">
            <x v="4"/>
          </reference>
          <reference field="87" count="1" selected="0">
            <x v="1899"/>
          </reference>
          <reference field="88" count="1">
            <x v="760"/>
          </reference>
        </references>
      </pivotArea>
    </format>
    <format dxfId="437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518"/>
          </reference>
          <reference field="82" count="1" selected="0">
            <x v="975"/>
          </reference>
          <reference field="85" count="1" selected="0">
            <x v="4"/>
          </reference>
          <reference field="87" count="1" selected="0">
            <x v="1900"/>
          </reference>
          <reference field="88" count="1">
            <x v="761"/>
          </reference>
        </references>
      </pivotArea>
    </format>
    <format dxfId="437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519"/>
          </reference>
          <reference field="82" count="1" selected="0">
            <x v="976"/>
          </reference>
          <reference field="85" count="1" selected="0">
            <x v="4"/>
          </reference>
          <reference field="87" count="1" selected="0">
            <x v="1901"/>
          </reference>
          <reference field="88" count="1">
            <x v="762"/>
          </reference>
        </references>
      </pivotArea>
    </format>
    <format dxfId="437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520"/>
          </reference>
          <reference field="82" count="1" selected="0">
            <x v="977"/>
          </reference>
          <reference field="85" count="1" selected="0">
            <x v="4"/>
          </reference>
          <reference field="87" count="1" selected="0">
            <x v="1902"/>
          </reference>
          <reference field="88" count="1">
            <x v="763"/>
          </reference>
        </references>
      </pivotArea>
    </format>
    <format dxfId="437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600"/>
          </reference>
          <reference field="82" count="1" selected="0">
            <x v="1058"/>
          </reference>
          <reference field="85" count="1" selected="0">
            <x v="0"/>
          </reference>
          <reference field="87" count="1" selected="0">
            <x v="1982"/>
          </reference>
          <reference field="88" count="1">
            <x v="844"/>
          </reference>
        </references>
      </pivotArea>
    </format>
    <format dxfId="437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601"/>
          </reference>
          <reference field="82" count="1" selected="0">
            <x v="1059"/>
          </reference>
          <reference field="85" count="1" selected="0">
            <x v="0"/>
          </reference>
          <reference field="87" count="1" selected="0">
            <x v="1983"/>
          </reference>
          <reference field="88" count="1">
            <x v="845"/>
          </reference>
        </references>
      </pivotArea>
    </format>
    <format dxfId="437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602"/>
          </reference>
          <reference field="82" count="1" selected="0">
            <x v="1060"/>
          </reference>
          <reference field="85" count="1" selected="0">
            <x v="0"/>
          </reference>
          <reference field="87" count="1" selected="0">
            <x v="1984"/>
          </reference>
          <reference field="88" count="1">
            <x v="846"/>
          </reference>
        </references>
      </pivotArea>
    </format>
    <format dxfId="437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4"/>
          </reference>
          <reference field="82" count="1" selected="0">
            <x v="1122"/>
          </reference>
          <reference field="85" count="1" selected="0">
            <x v="7"/>
          </reference>
          <reference field="87" count="1" selected="0">
            <x v="2046"/>
          </reference>
          <reference field="88" count="1">
            <x v="908"/>
          </reference>
        </references>
      </pivotArea>
    </format>
    <format dxfId="4370">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65"/>
          </reference>
          <reference field="82" count="1" selected="0">
            <x v="1123"/>
          </reference>
          <reference field="85" count="1" selected="0">
            <x v="7"/>
          </reference>
          <reference field="87" count="1" selected="0">
            <x v="2047"/>
          </reference>
          <reference field="88" count="1">
            <x v="909"/>
          </reference>
        </references>
      </pivotArea>
    </format>
    <format dxfId="436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8"/>
          </reference>
          <reference field="82" count="1" selected="0">
            <x v="913"/>
          </reference>
          <reference field="85" count="1" selected="0">
            <x v="3"/>
          </reference>
          <reference field="87" count="1" selected="0">
            <x v="1840"/>
          </reference>
          <reference field="88" count="1">
            <x v="699"/>
          </reference>
        </references>
      </pivotArea>
    </format>
    <format dxfId="436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1"/>
          </reference>
          <reference field="82" count="1" selected="0">
            <x v="926"/>
          </reference>
          <reference field="85" count="1" selected="0">
            <x v="7"/>
          </reference>
          <reference field="87" count="1" selected="0">
            <x v="1853"/>
          </reference>
          <reference field="88" count="1">
            <x v="712"/>
          </reference>
        </references>
      </pivotArea>
    </format>
    <format dxfId="436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72"/>
          </reference>
          <reference field="82" count="1" selected="0">
            <x v="927"/>
          </reference>
          <reference field="85" count="1" selected="0">
            <x v="7"/>
          </reference>
          <reference field="87" count="1" selected="0">
            <x v="1854"/>
          </reference>
          <reference field="88" count="1">
            <x v="713"/>
          </reference>
        </references>
      </pivotArea>
    </format>
    <format dxfId="436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65"/>
          </reference>
          <reference field="82" count="1" selected="0">
            <x v="920"/>
          </reference>
          <reference field="85" count="1" selected="0">
            <x v="7"/>
          </reference>
          <reference field="87" count="1" selected="0">
            <x v="1847"/>
          </reference>
          <reference field="88" count="1">
            <x v="706"/>
          </reference>
        </references>
      </pivotArea>
    </format>
    <format dxfId="436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66"/>
          </reference>
          <reference field="82" count="1" selected="0">
            <x v="921"/>
          </reference>
          <reference field="85" count="1" selected="0">
            <x v="7"/>
          </reference>
          <reference field="87" count="1" selected="0">
            <x v="1848"/>
          </reference>
          <reference field="88" count="1">
            <x v="707"/>
          </reference>
        </references>
      </pivotArea>
    </format>
    <format dxfId="436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64"/>
          </reference>
          <reference field="82" count="1" selected="0">
            <x v="919"/>
          </reference>
          <reference field="85" count="1" selected="0">
            <x v="7"/>
          </reference>
          <reference field="87" count="1" selected="0">
            <x v="1846"/>
          </reference>
          <reference field="88" count="1">
            <x v="705"/>
          </reference>
        </references>
      </pivotArea>
    </format>
    <format dxfId="436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514"/>
          </reference>
          <reference field="82" count="1" selected="0">
            <x v="970"/>
          </reference>
          <reference field="85" count="1" selected="0">
            <x v="4"/>
          </reference>
          <reference field="87" count="1" selected="0">
            <x v="1896"/>
          </reference>
          <reference field="88" count="1">
            <x v="756"/>
          </reference>
        </references>
      </pivotArea>
    </format>
    <format dxfId="436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512"/>
          </reference>
          <reference field="82" count="1" selected="0">
            <x v="971"/>
          </reference>
          <reference field="85" count="1" selected="0">
            <x v="4"/>
          </reference>
          <reference field="87" count="1" selected="0">
            <x v="1894"/>
          </reference>
          <reference field="88" count="1">
            <x v="757"/>
          </reference>
        </references>
      </pivotArea>
    </format>
    <format dxfId="436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515"/>
          </reference>
          <reference field="82" count="1" selected="0">
            <x v="972"/>
          </reference>
          <reference field="85" count="1" selected="0">
            <x v="4"/>
          </reference>
          <reference field="87" count="1" selected="0">
            <x v="1897"/>
          </reference>
          <reference field="88" count="1">
            <x v="758"/>
          </reference>
        </references>
      </pivotArea>
    </format>
    <format dxfId="436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516"/>
          </reference>
          <reference field="82" count="1" selected="0">
            <x v="973"/>
          </reference>
          <reference field="85" count="1" selected="0">
            <x v="4"/>
          </reference>
          <reference field="87" count="1" selected="0">
            <x v="1898"/>
          </reference>
          <reference field="88" count="1">
            <x v="759"/>
          </reference>
        </references>
      </pivotArea>
    </format>
    <format dxfId="435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97"/>
          </reference>
          <reference field="82" count="1" selected="0">
            <x v="1055"/>
          </reference>
          <reference field="85" count="1" selected="0">
            <x v="0"/>
          </reference>
          <reference field="87" count="1" selected="0">
            <x v="1979"/>
          </reference>
          <reference field="88" count="1">
            <x v="841"/>
          </reference>
        </references>
      </pivotArea>
    </format>
    <format dxfId="435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98"/>
          </reference>
          <reference field="82" count="1" selected="0">
            <x v="1056"/>
          </reference>
          <reference field="85" count="1" selected="0">
            <x v="0"/>
          </reference>
          <reference field="87" count="1" selected="0">
            <x v="1980"/>
          </reference>
          <reference field="88" count="1">
            <x v="842"/>
          </reference>
        </references>
      </pivotArea>
    </format>
    <format dxfId="435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99"/>
          </reference>
          <reference field="82" count="1" selected="0">
            <x v="1057"/>
          </reference>
          <reference field="85" count="1" selected="0">
            <x v="0"/>
          </reference>
          <reference field="87" count="1" selected="0">
            <x v="1981"/>
          </reference>
          <reference field="88" count="1">
            <x v="843"/>
          </reference>
        </references>
      </pivotArea>
    </format>
    <format dxfId="4356">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63"/>
          </reference>
          <reference field="82" count="1" selected="0">
            <x v="1121"/>
          </reference>
          <reference field="85" count="1" selected="0">
            <x v="7"/>
          </reference>
          <reference field="87" count="1" selected="0">
            <x v="2045"/>
          </reference>
          <reference field="88" count="1">
            <x v="907"/>
          </reference>
        </references>
      </pivotArea>
    </format>
    <format dxfId="435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59"/>
          </reference>
          <reference field="82" count="1" selected="0">
            <x v="914"/>
          </reference>
          <reference field="85" count="1" selected="0">
            <x v="3"/>
          </reference>
          <reference field="87" count="1" selected="0">
            <x v="1841"/>
          </reference>
          <reference field="88" count="1">
            <x v="700"/>
          </reference>
        </references>
      </pivotArea>
    </format>
    <format dxfId="4354">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73"/>
          </reference>
          <reference field="82" count="1" selected="0">
            <x v="928"/>
          </reference>
          <reference field="85" count="1" selected="0">
            <x v="7"/>
          </reference>
          <reference field="87" count="1" selected="0">
            <x v="1855"/>
          </reference>
          <reference field="88" count="1">
            <x v="714"/>
          </reference>
        </references>
      </pivotArea>
    </format>
    <format dxfId="4353">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74"/>
          </reference>
          <reference field="82" count="1" selected="0">
            <x v="929"/>
          </reference>
          <reference field="85" count="1" selected="0">
            <x v="7"/>
          </reference>
          <reference field="87" count="1" selected="0">
            <x v="1856"/>
          </reference>
          <reference field="88" count="1">
            <x v="715"/>
          </reference>
        </references>
      </pivotArea>
    </format>
    <format dxfId="435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53"/>
          </reference>
          <reference field="82" count="1" selected="0">
            <x v="908"/>
          </reference>
          <reference field="85" count="1" selected="0">
            <x v="3"/>
          </reference>
          <reference field="87" count="1" selected="0">
            <x v="1835"/>
          </reference>
          <reference field="88" count="1">
            <x v="694"/>
          </reference>
        </references>
      </pivotArea>
    </format>
    <format dxfId="435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52"/>
          </reference>
          <reference field="82" count="1" selected="0">
            <x v="907"/>
          </reference>
          <reference field="85" count="1" selected="0">
            <x v="3"/>
          </reference>
          <reference field="87" count="1" selected="0">
            <x v="1834"/>
          </reference>
          <reference field="88" count="1">
            <x v="693"/>
          </reference>
        </references>
      </pivotArea>
    </format>
    <format dxfId="435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50"/>
          </reference>
          <reference field="82" count="1" selected="0">
            <x v="905"/>
          </reference>
          <reference field="85" count="1" selected="0">
            <x v="3"/>
          </reference>
          <reference field="87" count="1" selected="0">
            <x v="1832"/>
          </reference>
          <reference field="88" count="1">
            <x v="691"/>
          </reference>
        </references>
      </pivotArea>
    </format>
    <format dxfId="434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51"/>
          </reference>
          <reference field="82" count="1" selected="0">
            <x v="906"/>
          </reference>
          <reference field="85" count="1" selected="0">
            <x v="3"/>
          </reference>
          <reference field="87" count="1" selected="0">
            <x v="1833"/>
          </reference>
          <reference field="88" count="1">
            <x v="692"/>
          </reference>
        </references>
      </pivotArea>
    </format>
    <format dxfId="4348">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29"/>
          </reference>
          <reference field="82" count="1" selected="0">
            <x v="986"/>
          </reference>
          <reference field="85" count="1" selected="0">
            <x v="4"/>
          </reference>
          <reference field="87" count="1" selected="0">
            <x v="1911"/>
          </reference>
          <reference field="88" count="1">
            <x v="772"/>
          </reference>
        </references>
      </pivotArea>
    </format>
    <format dxfId="434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91"/>
          </reference>
          <reference field="82" count="1" selected="0">
            <x v="1049"/>
          </reference>
          <reference field="85" count="1" selected="0">
            <x v="0"/>
          </reference>
          <reference field="87" count="1" selected="0">
            <x v="1973"/>
          </reference>
          <reference field="88" count="1">
            <x v="835"/>
          </reference>
        </references>
      </pivotArea>
    </format>
    <format dxfId="434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92"/>
          </reference>
          <reference field="82" count="1" selected="0">
            <x v="1050"/>
          </reference>
          <reference field="85" count="1" selected="0">
            <x v="0"/>
          </reference>
          <reference field="87" count="1" selected="0">
            <x v="1974"/>
          </reference>
          <reference field="88" count="1">
            <x v="836"/>
          </reference>
        </references>
      </pivotArea>
    </format>
    <format dxfId="434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593"/>
          </reference>
          <reference field="82" count="1" selected="0">
            <x v="1051"/>
          </reference>
          <reference field="85" count="1" selected="0">
            <x v="0"/>
          </reference>
          <reference field="87" count="1" selected="0">
            <x v="1975"/>
          </reference>
          <reference field="88" count="1">
            <x v="837"/>
          </reference>
        </references>
      </pivotArea>
    </format>
    <format dxfId="434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4"/>
          </reference>
          <reference field="82" count="1" selected="0">
            <x v="1062"/>
          </reference>
          <reference field="85" count="1" selected="0">
            <x v="2"/>
          </reference>
          <reference field="87" count="1" selected="0">
            <x v="1986"/>
          </reference>
          <reference field="88" count="1">
            <x v="848"/>
          </reference>
        </references>
      </pivotArea>
    </format>
    <format dxfId="434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05"/>
          </reference>
          <reference field="82" count="1" selected="0">
            <x v="1063"/>
          </reference>
          <reference field="85" count="1" selected="0">
            <x v="2"/>
          </reference>
          <reference field="87" count="1" selected="0">
            <x v="1987"/>
          </reference>
          <reference field="88" count="1">
            <x v="849"/>
          </reference>
        </references>
      </pivotArea>
    </format>
    <format dxfId="434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03"/>
          </reference>
          <reference field="82" count="1" selected="0">
            <x v="1061"/>
          </reference>
          <reference field="85" count="1" selected="0">
            <x v="2"/>
          </reference>
          <reference field="87" count="1" selected="0">
            <x v="1985"/>
          </reference>
          <reference field="88" count="1">
            <x v="847"/>
          </reference>
        </references>
      </pivotArea>
    </format>
    <format dxfId="4341">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530"/>
          </reference>
          <reference field="82" count="1" selected="0">
            <x v="987"/>
          </reference>
          <reference field="85" count="1" selected="0">
            <x v="4"/>
          </reference>
          <reference field="87" count="1" selected="0">
            <x v="1912"/>
          </reference>
          <reference field="88" count="1">
            <x v="773"/>
          </reference>
        </references>
      </pivotArea>
    </format>
    <format dxfId="434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94"/>
          </reference>
          <reference field="82" count="1" selected="0">
            <x v="1052"/>
          </reference>
          <reference field="85" count="1" selected="0">
            <x v="0"/>
          </reference>
          <reference field="87" count="1" selected="0">
            <x v="1976"/>
          </reference>
          <reference field="88" count="1">
            <x v="838"/>
          </reference>
        </references>
      </pivotArea>
    </format>
    <format dxfId="433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95"/>
          </reference>
          <reference field="82" count="1" selected="0">
            <x v="1053"/>
          </reference>
          <reference field="85" count="1" selected="0">
            <x v="0"/>
          </reference>
          <reference field="87" count="1" selected="0">
            <x v="1977"/>
          </reference>
          <reference field="88" count="1">
            <x v="839"/>
          </reference>
        </references>
      </pivotArea>
    </format>
    <format dxfId="4338">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96"/>
          </reference>
          <reference field="82" count="1" selected="0">
            <x v="1054"/>
          </reference>
          <reference field="85" count="1" selected="0">
            <x v="0"/>
          </reference>
          <reference field="87" count="1" selected="0">
            <x v="1978"/>
          </reference>
          <reference field="88" count="1">
            <x v="840"/>
          </reference>
        </references>
      </pivotArea>
    </format>
    <format dxfId="433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607"/>
          </reference>
          <reference field="82" count="1" selected="0">
            <x v="1065"/>
          </reference>
          <reference field="85" count="1" selected="0">
            <x v="2"/>
          </reference>
          <reference field="87" count="1" selected="0">
            <x v="1989"/>
          </reference>
          <reference field="88" count="1">
            <x v="851"/>
          </reference>
        </references>
      </pivotArea>
    </format>
    <format dxfId="433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608"/>
          </reference>
          <reference field="82" count="1" selected="0">
            <x v="1066"/>
          </reference>
          <reference field="85" count="1" selected="0">
            <x v="2"/>
          </reference>
          <reference field="87" count="1" selected="0">
            <x v="1990"/>
          </reference>
          <reference field="88" count="1">
            <x v="852"/>
          </reference>
        </references>
      </pivotArea>
    </format>
    <format dxfId="433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609"/>
          </reference>
          <reference field="82" count="1" selected="0">
            <x v="1067"/>
          </reference>
          <reference field="85" count="1" selected="0">
            <x v="2"/>
          </reference>
          <reference field="87" count="1" selected="0">
            <x v="1991"/>
          </reference>
          <reference field="88" count="1">
            <x v="853"/>
          </reference>
        </references>
      </pivotArea>
    </format>
    <format dxfId="433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606"/>
          </reference>
          <reference field="82" count="1" selected="0">
            <x v="1064"/>
          </reference>
          <reference field="85" count="1" selected="0">
            <x v="2"/>
          </reference>
          <reference field="87" count="1" selected="0">
            <x v="1988"/>
          </reference>
          <reference field="88" count="1">
            <x v="850"/>
          </reference>
        </references>
      </pivotArea>
    </format>
    <format dxfId="433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610"/>
          </reference>
          <reference field="82" count="1" selected="0">
            <x v="1068"/>
          </reference>
          <reference field="85" count="1" selected="0">
            <x v="2"/>
          </reference>
          <reference field="87" count="1" selected="0">
            <x v="1992"/>
          </reference>
          <reference field="88" count="1">
            <x v="854"/>
          </reference>
        </references>
      </pivotArea>
    </format>
    <format dxfId="433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61"/>
          </reference>
          <reference field="82" count="1" selected="0">
            <x v="1119"/>
          </reference>
          <reference field="85" count="1" selected="0">
            <x v="7"/>
          </reference>
          <reference field="87" count="1" selected="0">
            <x v="2043"/>
          </reference>
          <reference field="88" count="1">
            <x v="905"/>
          </reference>
        </references>
      </pivotArea>
    </format>
    <format dxfId="4331">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662"/>
          </reference>
          <reference field="82" count="1" selected="0">
            <x v="1120"/>
          </reference>
          <reference field="85" count="1" selected="0">
            <x v="7"/>
          </reference>
          <reference field="87" count="1" selected="0">
            <x v="2044"/>
          </reference>
          <reference field="88" count="1">
            <x v="906"/>
          </reference>
        </references>
      </pivotArea>
    </format>
    <format dxfId="433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32"/>
          </reference>
          <reference field="82" count="1" selected="0">
            <x v="1190"/>
          </reference>
          <reference field="85" count="1" selected="0">
            <x v="4"/>
          </reference>
          <reference field="87" count="1" selected="0">
            <x v="2114"/>
          </reference>
          <reference field="88" count="1">
            <x v="976"/>
          </reference>
        </references>
      </pivotArea>
    </format>
    <format dxfId="432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33"/>
          </reference>
          <reference field="82" count="1" selected="0">
            <x v="1191"/>
          </reference>
          <reference field="85" count="1" selected="0">
            <x v="4"/>
          </reference>
          <reference field="87" count="1" selected="0">
            <x v="2115"/>
          </reference>
          <reference field="88" count="1">
            <x v="977"/>
          </reference>
        </references>
      </pivotArea>
    </format>
    <format dxfId="432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34"/>
          </reference>
          <reference field="82" count="1" selected="0">
            <x v="1192"/>
          </reference>
          <reference field="85" count="1" selected="0">
            <x v="4"/>
          </reference>
          <reference field="87" count="1" selected="0">
            <x v="2116"/>
          </reference>
          <reference field="88" count="1">
            <x v="978"/>
          </reference>
        </references>
      </pivotArea>
    </format>
    <format dxfId="432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31"/>
          </reference>
          <reference field="82" count="1" selected="0">
            <x v="1189"/>
          </reference>
          <reference field="85" count="1" selected="0">
            <x v="4"/>
          </reference>
          <reference field="87" count="1" selected="0">
            <x v="2113"/>
          </reference>
          <reference field="88" count="1">
            <x v="975"/>
          </reference>
        </references>
      </pivotArea>
    </format>
    <format dxfId="432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40"/>
          </reference>
          <reference field="82" count="1" selected="0">
            <x v="1198"/>
          </reference>
          <reference field="85" count="1" selected="0">
            <x v="4"/>
          </reference>
          <reference field="87" count="1" selected="0">
            <x v="2122"/>
          </reference>
          <reference field="88" count="1">
            <x v="984"/>
          </reference>
        </references>
      </pivotArea>
    </format>
    <format dxfId="432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41"/>
          </reference>
          <reference field="82" count="1" selected="0">
            <x v="1199"/>
          </reference>
          <reference field="85" count="1" selected="0">
            <x v="4"/>
          </reference>
          <reference field="87" count="1" selected="0">
            <x v="2123"/>
          </reference>
          <reference field="88" count="1">
            <x v="985"/>
          </reference>
        </references>
      </pivotArea>
    </format>
    <format dxfId="432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42"/>
          </reference>
          <reference field="82" count="1" selected="0">
            <x v="1200"/>
          </reference>
          <reference field="85" count="1" selected="0">
            <x v="4"/>
          </reference>
          <reference field="87" count="1" selected="0">
            <x v="2124"/>
          </reference>
          <reference field="88" count="1">
            <x v="986"/>
          </reference>
        </references>
      </pivotArea>
    </format>
    <format dxfId="432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39"/>
          </reference>
          <reference field="82" count="1" selected="0">
            <x v="1197"/>
          </reference>
          <reference field="85" count="1" selected="0">
            <x v="4"/>
          </reference>
          <reference field="87" count="1" selected="0">
            <x v="2121"/>
          </reference>
          <reference field="88" count="1">
            <x v="983"/>
          </reference>
        </references>
      </pivotArea>
    </format>
    <format dxfId="432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37"/>
          </reference>
          <reference field="82" count="1" selected="0">
            <x v="1195"/>
          </reference>
          <reference field="85" count="1" selected="0">
            <x v="4"/>
          </reference>
          <reference field="87" count="1" selected="0">
            <x v="2119"/>
          </reference>
          <reference field="88" count="1">
            <x v="981"/>
          </reference>
        </references>
      </pivotArea>
    </format>
    <format dxfId="432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38"/>
          </reference>
          <reference field="82" count="1" selected="0">
            <x v="1196"/>
          </reference>
          <reference field="85" count="1" selected="0">
            <x v="4"/>
          </reference>
          <reference field="87" count="1" selected="0">
            <x v="2120"/>
          </reference>
          <reference field="88" count="1">
            <x v="982"/>
          </reference>
        </references>
      </pivotArea>
    </format>
    <format dxfId="432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36"/>
          </reference>
          <reference field="82" count="1" selected="0">
            <x v="1194"/>
          </reference>
          <reference field="85" count="1" selected="0">
            <x v="4"/>
          </reference>
          <reference field="87" count="1" selected="0">
            <x v="2118"/>
          </reference>
          <reference field="88" count="1">
            <x v="980"/>
          </reference>
        </references>
      </pivotArea>
    </format>
    <format dxfId="431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735"/>
          </reference>
          <reference field="82" count="1" selected="0">
            <x v="1193"/>
          </reference>
          <reference field="85" count="1" selected="0">
            <x v="4"/>
          </reference>
          <reference field="87" count="1" selected="0">
            <x v="2117"/>
          </reference>
          <reference field="88" count="1">
            <x v="979"/>
          </reference>
        </references>
      </pivotArea>
    </format>
    <format dxfId="431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79"/>
          </reference>
          <reference field="82" count="1" selected="0">
            <x v="935"/>
          </reference>
          <reference field="85" count="1" selected="0">
            <x v="7"/>
          </reference>
          <reference field="87" count="1" selected="0">
            <x v="1861"/>
          </reference>
          <reference field="88" count="1">
            <x v="721"/>
          </reference>
        </references>
      </pivotArea>
    </format>
    <format dxfId="4317">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80"/>
          </reference>
          <reference field="82" count="1" selected="0">
            <x v="936"/>
          </reference>
          <reference field="85" count="1" selected="0">
            <x v="7"/>
          </reference>
          <reference field="87" count="1" selected="0">
            <x v="1862"/>
          </reference>
          <reference field="88" count="1">
            <x v="722"/>
          </reference>
        </references>
      </pivotArea>
    </format>
    <format dxfId="4316">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632"/>
          </reference>
          <reference field="82" count="1" selected="0">
            <x v="1090"/>
          </reference>
          <reference field="85" count="1" selected="0">
            <x v="2"/>
          </reference>
          <reference field="87" count="1" selected="0">
            <x v="2014"/>
          </reference>
          <reference field="88" count="1">
            <x v="876"/>
          </reference>
        </references>
      </pivotArea>
    </format>
    <format dxfId="4315">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49"/>
          </reference>
          <reference field="82" count="1" selected="0">
            <x v="1207"/>
          </reference>
          <reference field="85" count="1" selected="0">
            <x v="4"/>
          </reference>
          <reference field="87" count="1" selected="0">
            <x v="2131"/>
          </reference>
          <reference field="88" count="1">
            <x v="993"/>
          </reference>
        </references>
      </pivotArea>
    </format>
    <format dxfId="4314">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50"/>
          </reference>
          <reference field="82" count="1" selected="0">
            <x v="1208"/>
          </reference>
          <reference field="85" count="1" selected="0">
            <x v="4"/>
          </reference>
          <reference field="87" count="1" selected="0">
            <x v="2132"/>
          </reference>
          <reference field="88" count="1">
            <x v="994"/>
          </reference>
        </references>
      </pivotArea>
    </format>
    <format dxfId="4313">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52"/>
          </reference>
          <reference field="82" count="1" selected="0">
            <x v="1210"/>
          </reference>
          <reference field="85" count="1" selected="0">
            <x v="4"/>
          </reference>
          <reference field="87" count="1" selected="0">
            <x v="2134"/>
          </reference>
          <reference field="88" count="1">
            <x v="996"/>
          </reference>
        </references>
      </pivotArea>
    </format>
    <format dxfId="431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98"/>
          </reference>
          <reference field="82" count="1" selected="0">
            <x v="954"/>
          </reference>
          <reference field="85" count="1" selected="0">
            <x v="4"/>
          </reference>
          <reference field="87" count="1" selected="0">
            <x v="1880"/>
          </reference>
          <reference field="88" count="1">
            <x v="740"/>
          </reference>
        </references>
      </pivotArea>
    </format>
    <format dxfId="431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01"/>
          </reference>
          <reference field="82" count="1" selected="0">
            <x v="957"/>
          </reference>
          <reference field="85" count="1" selected="0">
            <x v="4"/>
          </reference>
          <reference field="87" count="1" selected="0">
            <x v="1883"/>
          </reference>
          <reference field="88" count="1">
            <x v="743"/>
          </reference>
        </references>
      </pivotArea>
    </format>
    <format dxfId="431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99"/>
          </reference>
          <reference field="82" count="1" selected="0">
            <x v="955"/>
          </reference>
          <reference field="85" count="1" selected="0">
            <x v="4"/>
          </reference>
          <reference field="87" count="1" selected="0">
            <x v="1881"/>
          </reference>
          <reference field="88" count="1">
            <x v="741"/>
          </reference>
        </references>
      </pivotArea>
    </format>
    <format dxfId="430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0"/>
          </reference>
          <reference field="82" count="1" selected="0">
            <x v="956"/>
          </reference>
          <reference field="85" count="1" selected="0">
            <x v="4"/>
          </reference>
          <reference field="87" count="1" selected="0">
            <x v="1882"/>
          </reference>
          <reference field="88" count="1">
            <x v="742"/>
          </reference>
        </references>
      </pivotArea>
    </format>
    <format dxfId="430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8"/>
          </reference>
          <reference field="82" count="1" selected="0">
            <x v="1156"/>
          </reference>
          <reference field="85" count="1" selected="0">
            <x v="4"/>
          </reference>
          <reference field="87" count="1" selected="0">
            <x v="2080"/>
          </reference>
          <reference field="88" count="1">
            <x v="942"/>
          </reference>
        </references>
      </pivotArea>
    </format>
    <format dxfId="430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94"/>
          </reference>
          <reference field="82" count="1" selected="0">
            <x v="1152"/>
          </reference>
          <reference field="85" count="1" selected="0">
            <x v="4"/>
          </reference>
          <reference field="87" count="1" selected="0">
            <x v="2076"/>
          </reference>
          <reference field="88" count="1">
            <x v="938"/>
          </reference>
        </references>
      </pivotArea>
    </format>
    <format dxfId="430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95"/>
          </reference>
          <reference field="82" count="1" selected="0">
            <x v="1153"/>
          </reference>
          <reference field="85" count="1" selected="0">
            <x v="4"/>
          </reference>
          <reference field="87" count="1" selected="0">
            <x v="2077"/>
          </reference>
          <reference field="88" count="1">
            <x v="939"/>
          </reference>
        </references>
      </pivotArea>
    </format>
    <format dxfId="430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96"/>
          </reference>
          <reference field="82" count="1" selected="0">
            <x v="1154"/>
          </reference>
          <reference field="85" count="1" selected="0">
            <x v="4"/>
          </reference>
          <reference field="87" count="1" selected="0">
            <x v="2078"/>
          </reference>
          <reference field="88" count="1">
            <x v="940"/>
          </reference>
        </references>
      </pivotArea>
    </format>
    <format dxfId="430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97"/>
          </reference>
          <reference field="82" count="1" selected="0">
            <x v="1155"/>
          </reference>
          <reference field="85" count="1" selected="0">
            <x v="4"/>
          </reference>
          <reference field="87" count="1" selected="0">
            <x v="2079"/>
          </reference>
          <reference field="88" count="1">
            <x v="941"/>
          </reference>
        </references>
      </pivotArea>
    </format>
    <format dxfId="430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94"/>
          </reference>
          <reference field="82" count="1" selected="0">
            <x v="950"/>
          </reference>
          <reference field="85" count="1" selected="0">
            <x v="4"/>
          </reference>
          <reference field="87" count="1" selected="0">
            <x v="1876"/>
          </reference>
          <reference field="88" count="1">
            <x v="736"/>
          </reference>
        </references>
      </pivotArea>
    </format>
    <format dxfId="430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97"/>
          </reference>
          <reference field="82" count="1" selected="0">
            <x v="953"/>
          </reference>
          <reference field="85" count="1" selected="0">
            <x v="4"/>
          </reference>
          <reference field="87" count="1" selected="0">
            <x v="1879"/>
          </reference>
          <reference field="88" count="1">
            <x v="739"/>
          </reference>
        </references>
      </pivotArea>
    </format>
    <format dxfId="430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95"/>
          </reference>
          <reference field="82" count="1" selected="0">
            <x v="951"/>
          </reference>
          <reference field="85" count="1" selected="0">
            <x v="4"/>
          </reference>
          <reference field="87" count="1" selected="0">
            <x v="1877"/>
          </reference>
          <reference field="88" count="1">
            <x v="737"/>
          </reference>
        </references>
      </pivotArea>
    </format>
    <format dxfId="430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96"/>
          </reference>
          <reference field="82" count="1" selected="0">
            <x v="952"/>
          </reference>
          <reference field="85" count="1" selected="0">
            <x v="4"/>
          </reference>
          <reference field="87" count="1" selected="0">
            <x v="1878"/>
          </reference>
          <reference field="88" count="1">
            <x v="738"/>
          </reference>
        </references>
      </pivotArea>
    </format>
    <format dxfId="429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93"/>
          </reference>
          <reference field="82" count="1" selected="0">
            <x v="1151"/>
          </reference>
          <reference field="85" count="1" selected="0">
            <x v="4"/>
          </reference>
          <reference field="87" count="1" selected="0">
            <x v="2075"/>
          </reference>
          <reference field="88" count="1">
            <x v="937"/>
          </reference>
        </references>
      </pivotArea>
    </format>
    <format dxfId="429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89"/>
          </reference>
          <reference field="82" count="1" selected="0">
            <x v="1147"/>
          </reference>
          <reference field="85" count="1" selected="0">
            <x v="4"/>
          </reference>
          <reference field="87" count="1" selected="0">
            <x v="2071"/>
          </reference>
          <reference field="88" count="1">
            <x v="933"/>
          </reference>
        </references>
      </pivotArea>
    </format>
    <format dxfId="429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90"/>
          </reference>
          <reference field="82" count="1" selected="0">
            <x v="1148"/>
          </reference>
          <reference field="85" count="1" selected="0">
            <x v="4"/>
          </reference>
          <reference field="87" count="1" selected="0">
            <x v="2072"/>
          </reference>
          <reference field="88" count="1">
            <x v="934"/>
          </reference>
        </references>
      </pivotArea>
    </format>
    <format dxfId="429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91"/>
          </reference>
          <reference field="82" count="1" selected="0">
            <x v="1149"/>
          </reference>
          <reference field="85" count="1" selected="0">
            <x v="4"/>
          </reference>
          <reference field="87" count="1" selected="0">
            <x v="2073"/>
          </reference>
          <reference field="88" count="1">
            <x v="935"/>
          </reference>
        </references>
      </pivotArea>
    </format>
    <format dxfId="429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92"/>
          </reference>
          <reference field="82" count="1" selected="0">
            <x v="1150"/>
          </reference>
          <reference field="85" count="1" selected="0">
            <x v="4"/>
          </reference>
          <reference field="87" count="1" selected="0">
            <x v="2074"/>
          </reference>
          <reference field="88" count="1">
            <x v="936"/>
          </reference>
        </references>
      </pivotArea>
    </format>
    <format dxfId="429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39"/>
          </reference>
          <reference field="82" count="1" selected="0">
            <x v="996"/>
          </reference>
          <reference field="85" count="1" selected="0">
            <x v="4"/>
          </reference>
          <reference field="87" count="1" selected="0">
            <x v="1921"/>
          </reference>
          <reference field="88" count="1">
            <x v="782"/>
          </reference>
        </references>
      </pivotArea>
    </format>
    <format dxfId="429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34"/>
          </reference>
          <reference field="82" count="1" selected="0">
            <x v="999"/>
          </reference>
          <reference field="85" count="1" selected="0">
            <x v="4"/>
          </reference>
          <reference field="87" count="1" selected="0">
            <x v="1916"/>
          </reference>
          <reference field="88" count="1">
            <x v="785"/>
          </reference>
        </references>
      </pivotArea>
    </format>
    <format dxfId="429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40"/>
          </reference>
          <reference field="82" count="1" selected="0">
            <x v="997"/>
          </reference>
          <reference field="85" count="1" selected="0">
            <x v="4"/>
          </reference>
          <reference field="87" count="1" selected="0">
            <x v="1922"/>
          </reference>
          <reference field="88" count="1">
            <x v="783"/>
          </reference>
        </references>
      </pivotArea>
    </format>
    <format dxfId="429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41"/>
          </reference>
          <reference field="82" count="1" selected="0">
            <x v="998"/>
          </reference>
          <reference field="85" count="1" selected="0">
            <x v="4"/>
          </reference>
          <reference field="87" count="1" selected="0">
            <x v="1923"/>
          </reference>
          <reference field="88" count="1">
            <x v="784"/>
          </reference>
        </references>
      </pivotArea>
    </format>
    <format dxfId="429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88"/>
          </reference>
          <reference field="82" count="1" selected="0">
            <x v="1146"/>
          </reference>
          <reference field="85" count="1" selected="0">
            <x v="4"/>
          </reference>
          <reference field="87" count="1" selected="0">
            <x v="2070"/>
          </reference>
          <reference field="88" count="1">
            <x v="932"/>
          </reference>
        </references>
      </pivotArea>
    </format>
    <format dxfId="428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84"/>
          </reference>
          <reference field="82" count="1" selected="0">
            <x v="1142"/>
          </reference>
          <reference field="85" count="1" selected="0">
            <x v="4"/>
          </reference>
          <reference field="87" count="1" selected="0">
            <x v="2066"/>
          </reference>
          <reference field="88" count="1">
            <x v="928"/>
          </reference>
        </references>
      </pivotArea>
    </format>
    <format dxfId="428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85"/>
          </reference>
          <reference field="82" count="1" selected="0">
            <x v="1143"/>
          </reference>
          <reference field="85" count="1" selected="0">
            <x v="4"/>
          </reference>
          <reference field="87" count="1" selected="0">
            <x v="2067"/>
          </reference>
          <reference field="88" count="1">
            <x v="929"/>
          </reference>
        </references>
      </pivotArea>
    </format>
    <format dxfId="428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86"/>
          </reference>
          <reference field="82" count="1" selected="0">
            <x v="1144"/>
          </reference>
          <reference field="85" count="1" selected="0">
            <x v="4"/>
          </reference>
          <reference field="87" count="1" selected="0">
            <x v="2068"/>
          </reference>
          <reference field="88" count="1">
            <x v="930"/>
          </reference>
        </references>
      </pivotArea>
    </format>
    <format dxfId="428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87"/>
          </reference>
          <reference field="82" count="1" selected="0">
            <x v="1145"/>
          </reference>
          <reference field="85" count="1" selected="0">
            <x v="4"/>
          </reference>
          <reference field="87" count="1" selected="0">
            <x v="2069"/>
          </reference>
          <reference field="88" count="1">
            <x v="931"/>
          </reference>
        </references>
      </pivotArea>
    </format>
    <format dxfId="428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45"/>
          </reference>
          <reference field="82" count="1" selected="0">
            <x v="1203"/>
          </reference>
          <reference field="85" count="1" selected="0">
            <x v="4"/>
          </reference>
          <reference field="87" count="1" selected="0">
            <x v="2127"/>
          </reference>
          <reference field="88" count="1">
            <x v="989"/>
          </reference>
        </references>
      </pivotArea>
    </format>
    <format dxfId="428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48"/>
          </reference>
          <reference field="82" count="1" selected="0">
            <x v="1206"/>
          </reference>
          <reference field="85" count="1" selected="0">
            <x v="4"/>
          </reference>
          <reference field="87" count="1" selected="0">
            <x v="2130"/>
          </reference>
          <reference field="88" count="1">
            <x v="992"/>
          </reference>
        </references>
      </pivotArea>
    </format>
    <format dxfId="428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46"/>
          </reference>
          <reference field="82" count="1" selected="0">
            <x v="1204"/>
          </reference>
          <reference field="85" count="1" selected="0">
            <x v="4"/>
          </reference>
          <reference field="87" count="1" selected="0">
            <x v="2128"/>
          </reference>
          <reference field="88" count="1">
            <x v="990"/>
          </reference>
        </references>
      </pivotArea>
    </format>
    <format dxfId="428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47"/>
          </reference>
          <reference field="82" count="1" selected="0">
            <x v="1205"/>
          </reference>
          <reference field="85" count="1" selected="0">
            <x v="4"/>
          </reference>
          <reference field="87" count="1" selected="0">
            <x v="2129"/>
          </reference>
          <reference field="88" count="1">
            <x v="991"/>
          </reference>
        </references>
      </pivotArea>
    </format>
    <format dxfId="428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07"/>
          </reference>
          <reference field="82" count="1" selected="0">
            <x v="1165"/>
          </reference>
          <reference field="85" count="1" selected="0">
            <x v="4"/>
          </reference>
          <reference field="87" count="1" selected="0">
            <x v="2089"/>
          </reference>
          <reference field="88" count="1">
            <x v="951"/>
          </reference>
        </references>
      </pivotArea>
    </format>
    <format dxfId="428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08"/>
          </reference>
          <reference field="82" count="1" selected="0">
            <x v="1166"/>
          </reference>
          <reference field="85" count="1" selected="0">
            <x v="4"/>
          </reference>
          <reference field="87" count="1" selected="0">
            <x v="2090"/>
          </reference>
          <reference field="88" count="1">
            <x v="952"/>
          </reference>
        </references>
      </pivotArea>
    </format>
    <format dxfId="427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09"/>
          </reference>
          <reference field="82" count="1" selected="0">
            <x v="1167"/>
          </reference>
          <reference field="85" count="1" selected="0">
            <x v="4"/>
          </reference>
          <reference field="87" count="1" selected="0">
            <x v="2091"/>
          </reference>
          <reference field="88" count="1">
            <x v="953"/>
          </reference>
        </references>
      </pivotArea>
    </format>
    <format dxfId="427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10"/>
          </reference>
          <reference field="82" count="1" selected="0">
            <x v="1168"/>
          </reference>
          <reference field="85" count="1" selected="0">
            <x v="4"/>
          </reference>
          <reference field="87" count="1" selected="0">
            <x v="2092"/>
          </reference>
          <reference field="88" count="1">
            <x v="954"/>
          </reference>
        </references>
      </pivotArea>
    </format>
    <format dxfId="427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711"/>
          </reference>
          <reference field="82" count="1" selected="0">
            <x v="1169"/>
          </reference>
          <reference field="85" count="1" selected="0">
            <x v="4"/>
          </reference>
          <reference field="87" count="1" selected="0">
            <x v="2093"/>
          </reference>
          <reference field="88" count="1">
            <x v="955"/>
          </reference>
        </references>
      </pivotArea>
    </format>
    <format dxfId="427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712"/>
          </reference>
          <reference field="82" count="1" selected="0">
            <x v="1170"/>
          </reference>
          <reference field="85" count="1" selected="0">
            <x v="4"/>
          </reference>
          <reference field="87" count="1" selected="0">
            <x v="2094"/>
          </reference>
          <reference field="88" count="1">
            <x v="956"/>
          </reference>
        </references>
      </pivotArea>
    </format>
    <format dxfId="427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713"/>
          </reference>
          <reference field="82" count="1" selected="0">
            <x v="1171"/>
          </reference>
          <reference field="85" count="1" selected="0">
            <x v="4"/>
          </reference>
          <reference field="87" count="1" selected="0">
            <x v="2095"/>
          </reference>
          <reference field="88" count="1">
            <x v="957"/>
          </reference>
        </references>
      </pivotArea>
    </format>
    <format dxfId="427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714"/>
          </reference>
          <reference field="82" count="1" selected="0">
            <x v="1172"/>
          </reference>
          <reference field="85" count="1" selected="0">
            <x v="4"/>
          </reference>
          <reference field="87" count="1" selected="0">
            <x v="2096"/>
          </reference>
          <reference field="88" count="1">
            <x v="958"/>
          </reference>
        </references>
      </pivotArea>
    </format>
    <format dxfId="427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680"/>
          </reference>
          <reference field="82" count="1" selected="0">
            <x v="1138"/>
          </reference>
          <reference field="85" count="1" selected="0">
            <x v="4"/>
          </reference>
          <reference field="87" count="1" selected="0">
            <x v="2062"/>
          </reference>
          <reference field="88" count="1">
            <x v="924"/>
          </reference>
        </references>
      </pivotArea>
    </format>
    <format dxfId="427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682"/>
          </reference>
          <reference field="82" count="1" selected="0">
            <x v="1140"/>
          </reference>
          <reference field="85" count="1" selected="0">
            <x v="4"/>
          </reference>
          <reference field="87" count="1" selected="0">
            <x v="2064"/>
          </reference>
          <reference field="88" count="1">
            <x v="926"/>
          </reference>
        </references>
      </pivotArea>
    </format>
    <format dxfId="427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683"/>
          </reference>
          <reference field="82" count="1" selected="0">
            <x v="1141"/>
          </reference>
          <reference field="85" count="1" selected="0">
            <x v="4"/>
          </reference>
          <reference field="87" count="1" selected="0">
            <x v="2065"/>
          </reference>
          <reference field="88" count="1">
            <x v="927"/>
          </reference>
        </references>
      </pivotArea>
    </format>
    <format dxfId="427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681"/>
          </reference>
          <reference field="82" count="1" selected="0">
            <x v="1139"/>
          </reference>
          <reference field="85" count="1" selected="0">
            <x v="4"/>
          </reference>
          <reference field="87" count="1" selected="0">
            <x v="2063"/>
          </reference>
          <reference field="88" count="1">
            <x v="925"/>
          </reference>
        </references>
      </pivotArea>
    </format>
    <format dxfId="4269">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630"/>
          </reference>
          <reference field="82" count="1" selected="0">
            <x v="1088"/>
          </reference>
          <reference field="85" count="1" selected="0">
            <x v="2"/>
          </reference>
          <reference field="87" count="1" selected="0">
            <x v="2012"/>
          </reference>
          <reference field="88" count="1">
            <x v="874"/>
          </reference>
        </references>
      </pivotArea>
    </format>
    <format dxfId="426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631"/>
          </reference>
          <reference field="82" count="1" selected="0">
            <x v="1089"/>
          </reference>
          <reference field="85" count="1" selected="0">
            <x v="2"/>
          </reference>
          <reference field="87" count="1" selected="0">
            <x v="2013"/>
          </reference>
          <reference field="88" count="1">
            <x v="875"/>
          </reference>
        </references>
      </pivotArea>
    </format>
    <format dxfId="426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629"/>
          </reference>
          <reference field="82" count="1" selected="0">
            <x v="1087"/>
          </reference>
          <reference field="85" count="1" selected="0">
            <x v="2"/>
          </reference>
          <reference field="87" count="1" selected="0">
            <x v="2011"/>
          </reference>
          <reference field="88" count="1">
            <x v="873"/>
          </reference>
        </references>
      </pivotArea>
    </format>
    <format dxfId="426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02"/>
          </reference>
          <reference field="82" count="1" selected="0">
            <x v="958"/>
          </reference>
          <reference field="85" count="1" selected="0">
            <x v="4"/>
          </reference>
          <reference field="87" count="1" selected="0">
            <x v="1884"/>
          </reference>
          <reference field="88" count="1">
            <x v="744"/>
          </reference>
        </references>
      </pivotArea>
    </format>
    <format dxfId="426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505"/>
          </reference>
          <reference field="82" count="1" selected="0">
            <x v="961"/>
          </reference>
          <reference field="85" count="1" selected="0">
            <x v="4"/>
          </reference>
          <reference field="87" count="1" selected="0">
            <x v="1887"/>
          </reference>
          <reference field="88" count="1">
            <x v="747"/>
          </reference>
        </references>
      </pivotArea>
    </format>
    <format dxfId="426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03"/>
          </reference>
          <reference field="82" count="1" selected="0">
            <x v="959"/>
          </reference>
          <reference field="85" count="1" selected="0">
            <x v="4"/>
          </reference>
          <reference field="87" count="1" selected="0">
            <x v="1885"/>
          </reference>
          <reference field="88" count="1">
            <x v="745"/>
          </reference>
        </references>
      </pivotArea>
    </format>
    <format dxfId="426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4"/>
          </reference>
          <reference field="82" count="1" selected="0">
            <x v="960"/>
          </reference>
          <reference field="85" count="1" selected="0">
            <x v="4"/>
          </reference>
          <reference field="87" count="1" selected="0">
            <x v="1886"/>
          </reference>
          <reference field="88" count="1">
            <x v="746"/>
          </reference>
        </references>
      </pivotArea>
    </format>
    <format dxfId="426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99"/>
          </reference>
          <reference field="82" count="1" selected="0">
            <x v="1157"/>
          </reference>
          <reference field="85" count="1" selected="0">
            <x v="4"/>
          </reference>
          <reference field="87" count="1" selected="0">
            <x v="2081"/>
          </reference>
          <reference field="88" count="1">
            <x v="943"/>
          </reference>
        </references>
      </pivotArea>
    </format>
    <format dxfId="426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00"/>
          </reference>
          <reference field="82" count="1" selected="0">
            <x v="1158"/>
          </reference>
          <reference field="85" count="1" selected="0">
            <x v="4"/>
          </reference>
          <reference field="87" count="1" selected="0">
            <x v="2082"/>
          </reference>
          <reference field="88" count="1">
            <x v="944"/>
          </reference>
        </references>
      </pivotArea>
    </format>
    <format dxfId="426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01"/>
          </reference>
          <reference field="82" count="1" selected="0">
            <x v="1159"/>
          </reference>
          <reference field="85" count="1" selected="0">
            <x v="4"/>
          </reference>
          <reference field="87" count="1" selected="0">
            <x v="2083"/>
          </reference>
          <reference field="88" count="1">
            <x v="945"/>
          </reference>
        </references>
      </pivotArea>
    </format>
    <format dxfId="425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02"/>
          </reference>
          <reference field="82" count="1" selected="0">
            <x v="1160"/>
          </reference>
          <reference field="85" count="1" selected="0">
            <x v="4"/>
          </reference>
          <reference field="87" count="1" selected="0">
            <x v="2084"/>
          </reference>
          <reference field="88" count="1">
            <x v="946"/>
          </reference>
        </references>
      </pivotArea>
    </format>
    <format dxfId="425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703"/>
          </reference>
          <reference field="82" count="1" selected="0">
            <x v="1161"/>
          </reference>
          <reference field="85" count="1" selected="0">
            <x v="4"/>
          </reference>
          <reference field="87" count="1" selected="0">
            <x v="2085"/>
          </reference>
          <reference field="88" count="1">
            <x v="947"/>
          </reference>
        </references>
      </pivotArea>
    </format>
    <format dxfId="425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704"/>
          </reference>
          <reference field="82" count="1" selected="0">
            <x v="1162"/>
          </reference>
          <reference field="85" count="1" selected="0">
            <x v="4"/>
          </reference>
          <reference field="87" count="1" selected="0">
            <x v="2086"/>
          </reference>
          <reference field="88" count="1">
            <x v="948"/>
          </reference>
        </references>
      </pivotArea>
    </format>
    <format dxfId="425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705"/>
          </reference>
          <reference field="82" count="1" selected="0">
            <x v="1163"/>
          </reference>
          <reference field="85" count="1" selected="0">
            <x v="4"/>
          </reference>
          <reference field="87" count="1" selected="0">
            <x v="2087"/>
          </reference>
          <reference field="88" count="1">
            <x v="949"/>
          </reference>
        </references>
      </pivotArea>
    </format>
    <format dxfId="425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706"/>
          </reference>
          <reference field="82" count="1" selected="0">
            <x v="1164"/>
          </reference>
          <reference field="85" count="1" selected="0">
            <x v="4"/>
          </reference>
          <reference field="87" count="1" selected="0">
            <x v="2088"/>
          </reference>
          <reference field="88" count="1">
            <x v="950"/>
          </reference>
        </references>
      </pivotArea>
    </format>
    <format dxfId="4254">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55"/>
          </reference>
          <reference field="82" count="1" selected="0">
            <x v="910"/>
          </reference>
          <reference field="85" count="1" selected="0">
            <x v="3"/>
          </reference>
          <reference field="87" count="1" selected="0">
            <x v="1837"/>
          </reference>
          <reference field="88" count="1">
            <x v="696"/>
          </reference>
        </references>
      </pivotArea>
    </format>
    <format dxfId="4253">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57"/>
          </reference>
          <reference field="82" count="1" selected="0">
            <x v="1215"/>
          </reference>
          <reference field="85" count="1" selected="0">
            <x v="4"/>
          </reference>
          <reference field="87" count="1" selected="0">
            <x v="2139"/>
          </reference>
          <reference field="88" count="1">
            <x v="1001"/>
          </reference>
        </references>
      </pivotArea>
    </format>
    <format dxfId="4252">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2"/>
          </reference>
          <reference field="82" count="1" selected="0">
            <x v="948"/>
          </reference>
          <reference field="85" count="1" selected="0">
            <x v="7"/>
          </reference>
          <reference field="87" count="1" selected="0">
            <x v="1874"/>
          </reference>
          <reference field="88" count="1">
            <x v="734"/>
          </reference>
        </references>
      </pivotArea>
    </format>
    <format dxfId="4251">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56"/>
          </reference>
          <reference field="82" count="1" selected="0">
            <x v="911"/>
          </reference>
          <reference field="85" count="1" selected="0">
            <x v="3"/>
          </reference>
          <reference field="87" count="1" selected="0">
            <x v="1838"/>
          </reference>
          <reference field="88" count="1">
            <x v="697"/>
          </reference>
        </references>
      </pivotArea>
    </format>
    <format dxfId="4250">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93"/>
          </reference>
          <reference field="82" count="1" selected="0">
            <x v="949"/>
          </reference>
          <reference field="85" count="1" selected="0">
            <x v="7"/>
          </reference>
          <reference field="87" count="1" selected="0">
            <x v="1875"/>
          </reference>
          <reference field="88" count="1">
            <x v="735"/>
          </reference>
        </references>
      </pivotArea>
    </format>
    <format dxfId="4249">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4248">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59"/>
          </reference>
          <reference field="82" count="1" selected="0">
            <x v="1217"/>
          </reference>
          <reference field="85" count="1" selected="0">
            <x v="7"/>
          </reference>
          <reference field="87" count="1" selected="0">
            <x v="2141"/>
          </reference>
          <reference field="88" count="1">
            <x v="1003"/>
          </reference>
        </references>
      </pivotArea>
    </format>
    <format dxfId="4247">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61"/>
          </reference>
          <reference field="82" count="1" selected="0">
            <x v="1219"/>
          </reference>
          <reference field="85" count="1" selected="0">
            <x v="7"/>
          </reference>
          <reference field="87" count="1" selected="0">
            <x v="2143"/>
          </reference>
          <reference field="88" count="1">
            <x v="1005"/>
          </reference>
        </references>
      </pivotArea>
    </format>
    <format dxfId="4246">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4245">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244">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60"/>
          </reference>
          <reference field="82" count="1" selected="0">
            <x v="1218"/>
          </reference>
          <reference field="85" count="1" selected="0">
            <x v="7"/>
          </reference>
          <reference field="87" count="1" selected="0">
            <x v="2142"/>
          </reference>
          <reference field="88" count="1">
            <x v="1004"/>
          </reference>
        </references>
      </pivotArea>
    </format>
    <format dxfId="4243">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85"/>
          </reference>
          <reference field="82" count="1" selected="0">
            <x v="941"/>
          </reference>
          <reference field="85" count="1" selected="0">
            <x v="2"/>
          </reference>
          <reference field="87" count="1" selected="0">
            <x v="1867"/>
          </reference>
          <reference field="88" count="1">
            <x v="727"/>
          </reference>
        </references>
      </pivotArea>
    </format>
    <format dxfId="4242">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62"/>
          </reference>
          <reference field="82" count="1" selected="0">
            <x v="1220"/>
          </reference>
          <reference field="85" count="1" selected="0">
            <x v="7"/>
          </reference>
          <reference field="87" count="1" selected="0">
            <x v="2144"/>
          </reference>
          <reference field="88" count="1">
            <x v="1006"/>
          </reference>
        </references>
      </pivotArea>
    </format>
    <format dxfId="4241">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240">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4239">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4238">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54"/>
          </reference>
          <reference field="82" count="1" selected="0">
            <x v="909"/>
          </reference>
          <reference field="85" count="1" selected="0">
            <x v="3"/>
          </reference>
          <reference field="87" count="1" selected="0">
            <x v="1836"/>
          </reference>
          <reference field="88" count="1">
            <x v="695"/>
          </reference>
        </references>
      </pivotArea>
    </format>
    <format dxfId="4237">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51"/>
          </reference>
          <reference field="82" count="1" selected="0">
            <x v="1209"/>
          </reference>
          <reference field="85" count="1" selected="0">
            <x v="4"/>
          </reference>
          <reference field="87" count="1" selected="0">
            <x v="2133"/>
          </reference>
          <reference field="88" count="1">
            <x v="995"/>
          </reference>
        </references>
      </pivotArea>
    </format>
    <format dxfId="423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15"/>
          </reference>
          <reference field="82" count="1" selected="0">
            <x v="1073"/>
          </reference>
          <reference field="85" count="1" selected="0">
            <x v="2"/>
          </reference>
          <reference field="87" count="1" selected="0">
            <x v="1997"/>
          </reference>
          <reference field="88" count="1">
            <x v="859"/>
          </reference>
        </references>
      </pivotArea>
    </format>
    <format dxfId="423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18"/>
          </reference>
          <reference field="82" count="1" selected="0">
            <x v="1076"/>
          </reference>
          <reference field="85" count="1" selected="0">
            <x v="2"/>
          </reference>
          <reference field="87" count="1" selected="0">
            <x v="2000"/>
          </reference>
          <reference field="88" count="1">
            <x v="862"/>
          </reference>
        </references>
      </pivotArea>
    </format>
    <format dxfId="423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16"/>
          </reference>
          <reference field="82" count="1" selected="0">
            <x v="1074"/>
          </reference>
          <reference field="85" count="1" selected="0">
            <x v="2"/>
          </reference>
          <reference field="87" count="1" selected="0">
            <x v="1998"/>
          </reference>
          <reference field="88" count="1">
            <x v="860"/>
          </reference>
        </references>
      </pivotArea>
    </format>
    <format dxfId="42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619"/>
          </reference>
          <reference field="82" count="1" selected="0">
            <x v="1077"/>
          </reference>
          <reference field="85" count="1" selected="0">
            <x v="2"/>
          </reference>
          <reference field="87" count="1" selected="0">
            <x v="2001"/>
          </reference>
          <reference field="88" count="1">
            <x v="863"/>
          </reference>
        </references>
      </pivotArea>
    </format>
    <format dxfId="42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624"/>
          </reference>
          <reference field="82" count="1" selected="0">
            <x v="1082"/>
          </reference>
          <reference field="85" count="1" selected="0">
            <x v="2"/>
          </reference>
          <reference field="87" count="1" selected="0">
            <x v="2006"/>
          </reference>
          <reference field="88" count="1">
            <x v="868"/>
          </reference>
        </references>
      </pivotArea>
    </format>
    <format dxfId="42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622"/>
          </reference>
          <reference field="82" count="1" selected="0">
            <x v="1080"/>
          </reference>
          <reference field="85" count="1" selected="0">
            <x v="2"/>
          </reference>
          <reference field="87" count="1" selected="0">
            <x v="2004"/>
          </reference>
          <reference field="88" count="1">
            <x v="866"/>
          </reference>
        </references>
      </pivotArea>
    </format>
    <format dxfId="423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621"/>
          </reference>
          <reference field="82" count="1" selected="0">
            <x v="1079"/>
          </reference>
          <reference field="85" count="1" selected="0">
            <x v="2"/>
          </reference>
          <reference field="87" count="1" selected="0">
            <x v="2003"/>
          </reference>
          <reference field="88" count="1">
            <x v="865"/>
          </reference>
        </references>
      </pivotArea>
    </format>
    <format dxfId="422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620"/>
          </reference>
          <reference field="82" count="1" selected="0">
            <x v="1078"/>
          </reference>
          <reference field="85" count="1" selected="0">
            <x v="2"/>
          </reference>
          <reference field="87" count="1" selected="0">
            <x v="2002"/>
          </reference>
          <reference field="88" count="1">
            <x v="864"/>
          </reference>
        </references>
      </pivotArea>
    </format>
    <format dxfId="422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14"/>
          </reference>
          <reference field="82" count="1" selected="0">
            <x v="1072"/>
          </reference>
          <reference field="85" count="1" selected="0">
            <x v="2"/>
          </reference>
          <reference field="87" count="1" selected="0">
            <x v="1996"/>
          </reference>
          <reference field="88" count="1">
            <x v="858"/>
          </reference>
        </references>
      </pivotArea>
    </format>
    <format dxfId="422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17"/>
          </reference>
          <reference field="82" count="1" selected="0">
            <x v="1075"/>
          </reference>
          <reference field="85" count="1" selected="0">
            <x v="2"/>
          </reference>
          <reference field="87" count="1" selected="0">
            <x v="1999"/>
          </reference>
          <reference field="88" count="1">
            <x v="861"/>
          </reference>
        </references>
      </pivotArea>
    </format>
    <format dxfId="42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623"/>
          </reference>
          <reference field="82" count="1" selected="0">
            <x v="1081"/>
          </reference>
          <reference field="85" count="1" selected="0">
            <x v="2"/>
          </reference>
          <reference field="87" count="1" selected="0">
            <x v="2005"/>
          </reference>
          <reference field="88" count="1">
            <x v="867"/>
          </reference>
        </references>
      </pivotArea>
    </format>
    <format dxfId="4225">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58"/>
          </reference>
          <reference field="82" count="1" selected="0">
            <x v="1216"/>
          </reference>
          <reference field="85" count="1" selected="0">
            <x v="4"/>
          </reference>
          <reference field="87" count="1" selected="0">
            <x v="2140"/>
          </reference>
          <reference field="88" count="1">
            <x v="1002"/>
          </reference>
        </references>
      </pivotArea>
    </format>
    <format dxfId="4224">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91"/>
          </reference>
          <reference field="82" count="1" selected="0">
            <x v="947"/>
          </reference>
          <reference field="85" count="1" selected="0">
            <x v="2"/>
          </reference>
          <reference field="87" count="1" selected="0">
            <x v="1873"/>
          </reference>
          <reference field="88" count="1">
            <x v="733"/>
          </reference>
        </references>
      </pivotArea>
    </format>
    <format dxfId="4223">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89"/>
          </reference>
          <reference field="82" count="1" selected="0">
            <x v="945"/>
          </reference>
          <reference field="85" count="1" selected="0">
            <x v="7"/>
          </reference>
          <reference field="87" count="1" selected="0">
            <x v="1871"/>
          </reference>
          <reference field="88" count="1">
            <x v="731"/>
          </reference>
        </references>
      </pivotArea>
    </format>
    <format dxfId="422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26"/>
          </reference>
          <reference field="82" count="1" selected="0">
            <x v="1084"/>
          </reference>
          <reference field="85" count="1" selected="0">
            <x v="2"/>
          </reference>
          <reference field="87" count="1" selected="0">
            <x v="2008"/>
          </reference>
          <reference field="88" count="1">
            <x v="870"/>
          </reference>
        </references>
      </pivotArea>
    </format>
    <format dxfId="422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628"/>
          </reference>
          <reference field="82" count="1" selected="0">
            <x v="1086"/>
          </reference>
          <reference field="85" count="1" selected="0">
            <x v="2"/>
          </reference>
          <reference field="87" count="1" selected="0">
            <x v="2010"/>
          </reference>
          <reference field="88" count="1">
            <x v="872"/>
          </reference>
        </references>
      </pivotArea>
    </format>
    <format dxfId="4220">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25"/>
          </reference>
          <reference field="82" count="1" selected="0">
            <x v="1083"/>
          </reference>
          <reference field="85" count="1" selected="0">
            <x v="2"/>
          </reference>
          <reference field="87" count="1" selected="0">
            <x v="2007"/>
          </reference>
          <reference field="88" count="1">
            <x v="869"/>
          </reference>
        </references>
      </pivotArea>
    </format>
    <format dxfId="421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627"/>
          </reference>
          <reference field="82" count="1" selected="0">
            <x v="1085"/>
          </reference>
          <reference field="85" count="1" selected="0">
            <x v="2"/>
          </reference>
          <reference field="87" count="1" selected="0">
            <x v="2009"/>
          </reference>
          <reference field="88" count="1">
            <x v="871"/>
          </reference>
        </references>
      </pivotArea>
    </format>
    <format dxfId="4218">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90"/>
          </reference>
          <reference field="82" count="1" selected="0">
            <x v="946"/>
          </reference>
          <reference field="85" count="1" selected="0">
            <x v="7"/>
          </reference>
          <reference field="87" count="1" selected="0">
            <x v="1872"/>
          </reference>
          <reference field="88" count="1">
            <x v="732"/>
          </reference>
        </references>
      </pivotArea>
    </format>
    <format dxfId="4217">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43"/>
          </reference>
          <reference field="82" count="1" selected="0">
            <x v="1201"/>
          </reference>
          <reference field="85" count="1" selected="0">
            <x v="4"/>
          </reference>
          <reference field="87" count="1" selected="0">
            <x v="2125"/>
          </reference>
          <reference field="88" count="1">
            <x v="987"/>
          </reference>
        </references>
      </pivotArea>
    </format>
    <format dxfId="4216">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44"/>
          </reference>
          <reference field="82" count="1" selected="0">
            <x v="1202"/>
          </reference>
          <reference field="85" count="1" selected="0">
            <x v="4"/>
          </reference>
          <reference field="87" count="1" selected="0">
            <x v="2126"/>
          </reference>
          <reference field="88" count="1">
            <x v="988"/>
          </reference>
        </references>
      </pivotArea>
    </format>
    <format dxfId="4215">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51"/>
          </reference>
          <reference field="82" count="1" selected="0">
            <x v="1109"/>
          </reference>
          <reference field="85" count="1" selected="0">
            <x v="7"/>
          </reference>
          <reference field="87" count="1" selected="0">
            <x v="2033"/>
          </reference>
          <reference field="88" count="1">
            <x v="895"/>
          </reference>
        </references>
      </pivotArea>
    </format>
    <format dxfId="4214">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657"/>
          </reference>
          <reference field="82" count="1" selected="0">
            <x v="1115"/>
          </reference>
          <reference field="85" count="1" selected="0">
            <x v="7"/>
          </reference>
          <reference field="87" count="1" selected="0">
            <x v="2039"/>
          </reference>
          <reference field="88" count="1">
            <x v="901"/>
          </reference>
        </references>
      </pivotArea>
    </format>
    <format dxfId="421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82"/>
          </reference>
          <reference field="82" count="1" selected="0">
            <x v="938"/>
          </reference>
          <reference field="85" count="1" selected="0">
            <x v="7"/>
          </reference>
          <reference field="87" count="1" selected="0">
            <x v="1864"/>
          </reference>
          <reference field="88" count="1">
            <x v="724"/>
          </reference>
        </references>
      </pivotArea>
    </format>
    <format dxfId="421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81"/>
          </reference>
          <reference field="82" count="1" selected="0">
            <x v="937"/>
          </reference>
          <reference field="85" count="1" selected="0">
            <x v="7"/>
          </reference>
          <reference field="87" count="1" selected="0">
            <x v="1863"/>
          </reference>
          <reference field="88" count="1">
            <x v="723"/>
          </reference>
        </references>
      </pivotArea>
    </format>
    <format dxfId="421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2512"/>
          </reference>
          <reference field="82" count="1" selected="0">
            <x v="968"/>
          </reference>
          <reference field="85" count="1" selected="0">
            <x v="4"/>
          </reference>
          <reference field="87" count="1" selected="0">
            <x v="1894"/>
          </reference>
          <reference field="88" count="1">
            <x v="754"/>
          </reference>
        </references>
      </pivotArea>
    </format>
    <format dxfId="421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2513"/>
          </reference>
          <reference field="82" count="1" selected="0">
            <x v="969"/>
          </reference>
          <reference field="85" count="1" selected="0">
            <x v="4"/>
          </reference>
          <reference field="87" count="1" selected="0">
            <x v="1895"/>
          </reference>
          <reference field="88" count="1">
            <x v="755"/>
          </reference>
        </references>
      </pivotArea>
    </format>
    <format dxfId="4209">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2510"/>
          </reference>
          <reference field="82" count="1" selected="0">
            <x v="966"/>
          </reference>
          <reference field="85" count="1" selected="0">
            <x v="4"/>
          </reference>
          <reference field="87" count="1" selected="0">
            <x v="1892"/>
          </reference>
          <reference field="88" count="1">
            <x v="752"/>
          </reference>
        </references>
      </pivotArea>
    </format>
    <format dxfId="420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2511"/>
          </reference>
          <reference field="82" count="1" selected="0">
            <x v="967"/>
          </reference>
          <reference field="85" count="1" selected="0">
            <x v="4"/>
          </reference>
          <reference field="87" count="1" selected="0">
            <x v="1893"/>
          </reference>
          <reference field="88" count="1">
            <x v="753"/>
          </reference>
        </references>
      </pivotArea>
    </format>
    <format dxfId="420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2506"/>
          </reference>
          <reference field="82" count="1" selected="0">
            <x v="962"/>
          </reference>
          <reference field="85" count="1" selected="0">
            <x v="4"/>
          </reference>
          <reference field="87" count="1" selected="0">
            <x v="1888"/>
          </reference>
          <reference field="88" count="1">
            <x v="748"/>
          </reference>
        </references>
      </pivotArea>
    </format>
    <format dxfId="420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2507"/>
          </reference>
          <reference field="82" count="1" selected="0">
            <x v="963"/>
          </reference>
          <reference field="85" count="1" selected="0">
            <x v="4"/>
          </reference>
          <reference field="87" count="1" selected="0">
            <x v="1889"/>
          </reference>
          <reference field="88" count="1">
            <x v="749"/>
          </reference>
        </references>
      </pivotArea>
    </format>
    <format dxfId="4205">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2508"/>
          </reference>
          <reference field="82" count="1" selected="0">
            <x v="964"/>
          </reference>
          <reference field="85" count="1" selected="0">
            <x v="4"/>
          </reference>
          <reference field="87" count="1" selected="0">
            <x v="1890"/>
          </reference>
          <reference field="88" count="1">
            <x v="750"/>
          </reference>
        </references>
      </pivotArea>
    </format>
    <format dxfId="4204">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2509"/>
          </reference>
          <reference field="82" count="1" selected="0">
            <x v="965"/>
          </reference>
          <reference field="85" count="1" selected="0">
            <x v="4"/>
          </reference>
          <reference field="87" count="1" selected="0">
            <x v="1891"/>
          </reference>
          <reference field="88" count="1">
            <x v="751"/>
          </reference>
        </references>
      </pivotArea>
    </format>
    <format dxfId="420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727"/>
          </reference>
          <reference field="82" count="1" selected="0">
            <x v="1185"/>
          </reference>
          <reference field="85" count="1" selected="0">
            <x v="4"/>
          </reference>
          <reference field="87" count="1" selected="0">
            <x v="2109"/>
          </reference>
          <reference field="88" count="1">
            <x v="971"/>
          </reference>
        </references>
      </pivotArea>
    </format>
    <format dxfId="420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728"/>
          </reference>
          <reference field="82" count="1" selected="0">
            <x v="1186"/>
          </reference>
          <reference field="85" count="1" selected="0">
            <x v="4"/>
          </reference>
          <reference field="87" count="1" selected="0">
            <x v="2110"/>
          </reference>
          <reference field="88" count="1">
            <x v="972"/>
          </reference>
        </references>
      </pivotArea>
    </format>
    <format dxfId="420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729"/>
          </reference>
          <reference field="82" count="1" selected="0">
            <x v="1187"/>
          </reference>
          <reference field="85" count="1" selected="0">
            <x v="4"/>
          </reference>
          <reference field="87" count="1" selected="0">
            <x v="2111"/>
          </reference>
          <reference field="88" count="1">
            <x v="973"/>
          </reference>
        </references>
      </pivotArea>
    </format>
    <format dxfId="420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730"/>
          </reference>
          <reference field="82" count="1" selected="0">
            <x v="1188"/>
          </reference>
          <reference field="85" count="1" selected="0">
            <x v="4"/>
          </reference>
          <reference field="87" count="1" selected="0">
            <x v="2112"/>
          </reference>
          <reference field="88" count="1">
            <x v="974"/>
          </reference>
        </references>
      </pivotArea>
    </format>
    <format dxfId="4199">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52"/>
          </reference>
          <reference field="82" count="1" selected="0">
            <x v="1110"/>
          </reference>
          <reference field="85" count="1" selected="0">
            <x v="7"/>
          </reference>
          <reference field="87" count="1" selected="0">
            <x v="2034"/>
          </reference>
          <reference field="88" count="1">
            <x v="896"/>
          </reference>
        </references>
      </pivotArea>
    </format>
    <format dxfId="4198">
      <pivotArea dataOnly="0" labelOnly="1" outline="0" fieldPosition="0">
        <references count="14">
          <reference field="1" count="1" selected="0">
            <x v="52"/>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67"/>
          </reference>
          <reference field="82" count="1" selected="0">
            <x v="1125"/>
          </reference>
          <reference field="85" count="1" selected="0">
            <x v="7"/>
          </reference>
          <reference field="87" count="1" selected="0">
            <x v="2049"/>
          </reference>
          <reference field="88" count="1">
            <x v="911"/>
          </reference>
        </references>
      </pivotArea>
    </format>
    <format dxfId="4197">
      <pivotArea field="13" type="button" dataOnly="0" labelOnly="1" outline="0" axis="axisRow" fieldPosition="6"/>
    </format>
    <format dxfId="4196">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19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4194">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4193">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192">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4191">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4190">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4189">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418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4187">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4186">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4185">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418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4183">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418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81">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4180">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4179">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417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4177">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176">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175">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4174">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4173">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172">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4171">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417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4169">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4168">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416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16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4165">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4164">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16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4162">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4161">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4160">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415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4158">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415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415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4155">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4154">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4153">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4152">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4151">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4150">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49">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4148">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4147">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4146">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4145">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4144">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414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4142">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4141">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4140">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4139">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4138">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4137">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36">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4135">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4134">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4133">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4132">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131">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4130">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4129">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4128">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4127">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4126">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4125">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4124">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4123">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12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121">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4120">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4119">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11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4117">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116">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411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411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11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112">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4111">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4110">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109">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108">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410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4106">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4105">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4104">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4103">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4102">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4101">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4100">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4099">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4098">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4097">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4096">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4095">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4094">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4093">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4092">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4091">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4090">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4089">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4088">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4087">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4086">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4085">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4084">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4083">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4082">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4081">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4080">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079">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4078">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4077">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4076">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4075">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4074">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4073">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4072">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4071">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4070">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069">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4068">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4067">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4066">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4065">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4064">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4063">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4062">
      <pivotArea field="1" type="button" dataOnly="0" labelOnly="1" outline="0" axis="axisRow" fieldPosition="0"/>
    </format>
    <format dxfId="4061">
      <pivotArea field="5" type="button" dataOnly="0" labelOnly="1" outline="0" axis="axisRow" fieldPosition="3"/>
    </format>
    <format dxfId="4060">
      <pivotArea field="72" type="button" dataOnly="0" labelOnly="1" outline="0" axis="axisRow" fieldPosition="5"/>
    </format>
    <format dxfId="4059">
      <pivotArea field="81" type="button" dataOnly="0" labelOnly="1" outline="0" axis="axisRow" fieldPosition="8"/>
    </format>
    <format dxfId="4058">
      <pivotArea field="82" type="button" dataOnly="0" labelOnly="1" outline="0" axis="axisRow" fieldPosition="9"/>
    </format>
    <format dxfId="4057">
      <pivotArea field="87" type="button" dataOnly="0" labelOnly="1" outline="0" axis="axisRow" fieldPosition="12"/>
    </format>
    <format dxfId="4056">
      <pivotArea field="88" type="button" dataOnly="0" labelOnly="1" outline="0" axis="axisRow" fieldPosition="13"/>
    </format>
    <format dxfId="4055">
      <pivotArea field="73" type="button" dataOnly="0" labelOnly="1" outline="0" axis="axisRow" fieldPosition="14"/>
    </format>
    <format dxfId="4054">
      <pivotArea field="1" type="button" dataOnly="0" labelOnly="1" outline="0" axis="axisRow" fieldPosition="0"/>
    </format>
    <format dxfId="4053">
      <pivotArea field="3" type="button" dataOnly="0" labelOnly="1" outline="0" axis="axisRow" fieldPosition="1"/>
    </format>
    <format dxfId="4052">
      <pivotArea field="2" type="button" dataOnly="0" labelOnly="1" outline="0" axis="axisRow" fieldPosition="2"/>
    </format>
    <format dxfId="4051">
      <pivotArea field="5" type="button" dataOnly="0" labelOnly="1" outline="0" axis="axisRow" fieldPosition="3"/>
    </format>
    <format dxfId="4050">
      <pivotArea field="23" type="button" dataOnly="0" labelOnly="1" outline="0" axis="axisRow" fieldPosition="4"/>
    </format>
    <format dxfId="4049">
      <pivotArea field="72" type="button" dataOnly="0" labelOnly="1" outline="0" axis="axisRow" fieldPosition="5"/>
    </format>
    <format dxfId="4048">
      <pivotArea field="13" type="button" dataOnly="0" labelOnly="1" outline="0" axis="axisRow" fieldPosition="6"/>
    </format>
    <format dxfId="4047">
      <pivotArea field="22" type="button" dataOnly="0" labelOnly="1" outline="0" axis="axisRow" fieldPosition="7"/>
    </format>
    <format dxfId="4046">
      <pivotArea field="81" type="button" dataOnly="0" labelOnly="1" outline="0" axis="axisRow" fieldPosition="8"/>
    </format>
    <format dxfId="4045">
      <pivotArea field="82" type="button" dataOnly="0" labelOnly="1" outline="0" axis="axisRow" fieldPosition="9"/>
    </format>
    <format dxfId="4044">
      <pivotArea field="12" type="button" dataOnly="0" labelOnly="1" outline="0" axis="axisRow" fieldPosition="10"/>
    </format>
    <format dxfId="4043">
      <pivotArea field="85" type="button" dataOnly="0" labelOnly="1" outline="0" axis="axisRow" fieldPosition="11"/>
    </format>
    <format dxfId="4042">
      <pivotArea field="87" type="button" dataOnly="0" labelOnly="1" outline="0" axis="axisRow" fieldPosition="12"/>
    </format>
    <format dxfId="4041">
      <pivotArea field="88" type="button" dataOnly="0" labelOnly="1" outline="0" axis="axisRow" fieldPosition="13"/>
    </format>
    <format dxfId="4040">
      <pivotArea field="73" type="button" dataOnly="0" labelOnly="1" outline="0" axis="axisRow" fieldPosition="14"/>
    </format>
    <format dxfId="4039">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4038">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44"/>
          </reference>
        </references>
      </pivotArea>
    </format>
    <format dxfId="4037">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4"/>
          </reference>
        </references>
      </pivotArea>
    </format>
    <format dxfId="403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s>
      </pivotArea>
    </format>
    <format dxfId="4035">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s>
      </pivotArea>
    </format>
    <format dxfId="4034">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s>
      </pivotArea>
    </format>
    <format dxfId="4033">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s>
      </pivotArea>
    </format>
    <format dxfId="4032">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s>
      </pivotArea>
    </format>
    <format dxfId="403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s>
      </pivotArea>
    </format>
    <format dxfId="4030">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s>
      </pivotArea>
    </format>
    <format dxfId="4029">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281"/>
          </reference>
          <reference field="82" count="1" selected="0">
            <x v="2796"/>
          </reference>
        </references>
      </pivotArea>
    </format>
    <format dxfId="4028">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s>
      </pivotArea>
    </format>
    <format dxfId="4027">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s>
      </pivotArea>
    </format>
    <format dxfId="4026">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6"/>
          </reference>
        </references>
      </pivotArea>
    </format>
    <format dxfId="4025">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80"/>
          </reference>
        </references>
      </pivotArea>
    </format>
    <format dxfId="4024">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s>
      </pivotArea>
    </format>
    <format dxfId="4023">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5"/>
          </reference>
        </references>
      </pivotArea>
    </format>
    <format dxfId="402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s>
      </pivotArea>
    </format>
    <format dxfId="402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s>
      </pivotArea>
    </format>
    <format dxfId="402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s>
      </pivotArea>
    </format>
    <format dxfId="4019">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s>
      </pivotArea>
    </format>
    <format dxfId="4018">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s>
      </pivotArea>
    </format>
    <format dxfId="401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s>
      </pivotArea>
    </format>
    <format dxfId="401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230"/>
          </reference>
          <reference field="82" count="1" selected="0">
            <x v="2722"/>
          </reference>
        </references>
      </pivotArea>
    </format>
    <format dxfId="401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s>
      </pivotArea>
    </format>
    <format dxfId="4014">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s>
      </pivotArea>
    </format>
    <format dxfId="4013">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s>
      </pivotArea>
    </format>
    <format dxfId="401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s>
      </pivotArea>
    </format>
    <format dxfId="4011">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298"/>
          </reference>
          <reference field="82" count="1" selected="0">
            <x v="2816"/>
          </reference>
        </references>
      </pivotArea>
    </format>
    <format dxfId="401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226"/>
          </reference>
          <reference field="82" count="1" selected="0">
            <x v="2717"/>
          </reference>
        </references>
      </pivotArea>
    </format>
    <format dxfId="4009">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244"/>
          </reference>
          <reference field="82" count="1" selected="0">
            <x v="2772"/>
          </reference>
        </references>
      </pivotArea>
    </format>
    <format dxfId="4008">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295"/>
          </reference>
          <reference field="82" count="1" selected="0">
            <x v="2813"/>
          </reference>
        </references>
      </pivotArea>
    </format>
    <format dxfId="400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340"/>
          </reference>
          <reference field="82" count="1" selected="0">
            <x v="2869"/>
          </reference>
        </references>
      </pivotArea>
    </format>
    <format dxfId="4006">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277"/>
          </reference>
          <reference field="82" count="1" selected="0">
            <x v="2791"/>
          </reference>
        </references>
      </pivotArea>
    </format>
    <format dxfId="400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238"/>
          </reference>
          <reference field="82" count="1" selected="0">
            <x v="2733"/>
          </reference>
        </references>
      </pivotArea>
    </format>
    <format dxfId="4004">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271"/>
          </reference>
          <reference field="82" count="1" selected="0">
            <x v="2776"/>
          </reference>
        </references>
      </pivotArea>
    </format>
    <format dxfId="4003">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s>
      </pivotArea>
    </format>
    <format dxfId="400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s>
      </pivotArea>
    </format>
    <format dxfId="4001">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s>
      </pivotArea>
    </format>
    <format dxfId="400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232"/>
          </reference>
          <reference field="82" count="1" selected="0">
            <x v="2724"/>
          </reference>
        </references>
      </pivotArea>
    </format>
    <format dxfId="3999">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s>
      </pivotArea>
    </format>
    <format dxfId="3998">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305"/>
          </reference>
          <reference field="82" count="1" selected="0">
            <x v="2838"/>
          </reference>
        </references>
      </pivotArea>
    </format>
    <format dxfId="399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s>
      </pivotArea>
    </format>
    <format dxfId="3996">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0"/>
          </reference>
        </references>
      </pivotArea>
    </format>
    <format dxfId="399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349"/>
          </reference>
          <reference field="82" count="1" selected="0">
            <x v="2891"/>
          </reference>
        </references>
      </pivotArea>
    </format>
    <format dxfId="3994">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s>
      </pivotArea>
    </format>
    <format dxfId="3993">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211"/>
          </reference>
          <reference field="82" count="1" selected="0">
            <x v="2701"/>
          </reference>
        </references>
      </pivotArea>
    </format>
    <format dxfId="399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s>
      </pivotArea>
    </format>
    <format dxfId="3991">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s>
      </pivotArea>
    </format>
    <format dxfId="399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224"/>
          </reference>
          <reference field="82" count="1" selected="0">
            <x v="2795"/>
          </reference>
        </references>
      </pivotArea>
    </format>
    <format dxfId="3989">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s>
      </pivotArea>
    </format>
    <format dxfId="3988">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265"/>
          </reference>
          <reference field="82" count="1" selected="0">
            <x v="2766"/>
          </reference>
        </references>
      </pivotArea>
    </format>
    <format dxfId="3987">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290"/>
          </reference>
          <reference field="82" count="1" selected="0">
            <x v="2826"/>
          </reference>
        </references>
      </pivotArea>
    </format>
    <format dxfId="3986">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s>
      </pivotArea>
    </format>
    <format dxfId="398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s>
      </pivotArea>
    </format>
    <format dxfId="3984">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263"/>
          </reference>
          <reference field="82" count="1" selected="0">
            <x v="2762"/>
          </reference>
        </references>
      </pivotArea>
    </format>
    <format dxfId="3983">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222"/>
          </reference>
          <reference field="82" count="1" selected="0">
            <x v="2827"/>
          </reference>
        </references>
      </pivotArea>
    </format>
    <format dxfId="3982">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s>
      </pivotArea>
    </format>
    <format dxfId="3981">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s>
      </pivotArea>
    </format>
    <format dxfId="398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303"/>
          </reference>
          <reference field="82" count="1" selected="0">
            <x v="2821"/>
          </reference>
        </references>
      </pivotArea>
    </format>
    <format dxfId="3979">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s>
      </pivotArea>
    </format>
    <format dxfId="397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s>
      </pivotArea>
    </format>
    <format dxfId="397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306"/>
          </reference>
          <reference field="82" count="1" selected="0">
            <x v="2824"/>
          </reference>
        </references>
      </pivotArea>
    </format>
    <format dxfId="3976">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s>
      </pivotArea>
    </format>
    <format dxfId="397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337"/>
          </reference>
          <reference field="82" count="1" selected="0">
            <x v="2865"/>
          </reference>
        </references>
      </pivotArea>
    </format>
    <format dxfId="3974">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352"/>
          </reference>
          <reference field="82" count="1" selected="0">
            <x v="2894"/>
          </reference>
        </references>
      </pivotArea>
    </format>
    <format dxfId="3973">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228"/>
          </reference>
          <reference field="82" count="1" selected="0">
            <x v="2729"/>
          </reference>
        </references>
      </pivotArea>
    </format>
    <format dxfId="397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325"/>
          </reference>
          <reference field="82" count="1" selected="0">
            <x v="2851"/>
          </reference>
        </references>
      </pivotArea>
    </format>
    <format dxfId="3971">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295"/>
          </reference>
          <reference field="82" count="1" selected="0">
            <x v="2909"/>
          </reference>
        </references>
      </pivotArea>
    </format>
    <format dxfId="397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359"/>
          </reference>
          <reference field="82" count="1" selected="0">
            <x v="2912"/>
          </reference>
        </references>
      </pivotArea>
    </format>
    <format dxfId="396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s>
      </pivotArea>
    </format>
    <format dxfId="3968">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s>
      </pivotArea>
    </format>
    <format dxfId="3967">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s>
      </pivotArea>
    </format>
    <format dxfId="3966">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358"/>
          </reference>
          <reference field="82" count="1" selected="0">
            <x v="2905"/>
          </reference>
        </references>
      </pivotArea>
    </format>
    <format dxfId="396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323"/>
          </reference>
          <reference field="82" count="1" selected="0">
            <x v="2849"/>
          </reference>
        </references>
      </pivotArea>
    </format>
    <format dxfId="3964">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s>
      </pivotArea>
    </format>
    <format dxfId="3963">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216"/>
          </reference>
          <reference field="82" count="1" selected="0">
            <x v="2707"/>
          </reference>
        </references>
      </pivotArea>
    </format>
    <format dxfId="3962">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360"/>
          </reference>
          <reference field="82" count="1" selected="0">
            <x v="2914"/>
          </reference>
        </references>
      </pivotArea>
    </format>
    <format dxfId="3961">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1"/>
          </reference>
        </references>
      </pivotArea>
    </format>
    <format dxfId="3960">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362"/>
          </reference>
          <reference field="82" count="1" selected="0">
            <x v="2916"/>
          </reference>
        </references>
      </pivotArea>
    </format>
    <format dxfId="3959">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363"/>
          </reference>
          <reference field="82" count="1" selected="0">
            <x v="2917"/>
          </reference>
        </references>
      </pivotArea>
    </format>
    <format dxfId="3958">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239"/>
          </reference>
          <reference field="82" count="1" selected="0">
            <x v="2734"/>
          </reference>
        </references>
      </pivotArea>
    </format>
    <format dxfId="3957">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s>
      </pivotArea>
    </format>
    <format dxfId="3956">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215"/>
          </reference>
          <reference field="82" count="1" selected="0">
            <x v="2706"/>
          </reference>
        </references>
      </pivotArea>
    </format>
    <format dxfId="395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292"/>
          </reference>
          <reference field="82" count="1" selected="0">
            <x v="2911"/>
          </reference>
        </references>
      </pivotArea>
    </format>
    <format dxfId="3954">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s>
      </pivotArea>
    </format>
    <format dxfId="3953">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361"/>
          </reference>
          <reference field="82" count="1" selected="0">
            <x v="2915"/>
          </reference>
        </references>
      </pivotArea>
    </format>
    <format dxfId="395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242"/>
          </reference>
          <reference field="82" count="1" selected="0">
            <x v="2740"/>
          </reference>
        </references>
      </pivotArea>
    </format>
    <format dxfId="3951">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8"/>
          </reference>
        </references>
      </pivotArea>
    </format>
    <format dxfId="395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s>
      </pivotArea>
    </format>
    <format dxfId="3949">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9"/>
          </reference>
        </references>
      </pivotArea>
    </format>
    <format dxfId="3948">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276"/>
          </reference>
          <reference field="82" count="1" selected="0">
            <x v="2904"/>
          </reference>
        </references>
      </pivotArea>
    </format>
    <format dxfId="3947">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334"/>
          </reference>
          <reference field="82" count="1" selected="0">
            <x v="2862"/>
          </reference>
        </references>
      </pivotArea>
    </format>
    <format dxfId="3946">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261"/>
          </reference>
          <reference field="82" count="1" selected="0">
            <x v="2760"/>
          </reference>
        </references>
      </pivotArea>
    </format>
    <format dxfId="3945">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349"/>
          </reference>
          <reference field="82" count="1" selected="0">
            <x v="2891"/>
          </reference>
        </references>
      </pivotArea>
    </format>
    <format dxfId="3944">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44"/>
          </reference>
          <reference field="85" count="1">
            <x v="4"/>
          </reference>
        </references>
      </pivotArea>
    </format>
    <format dxfId="3943">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4"/>
          </reference>
          <reference field="85" count="1">
            <x v="0"/>
          </reference>
        </references>
      </pivotArea>
    </format>
    <format dxfId="3942">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x v="7"/>
          </reference>
        </references>
      </pivotArea>
    </format>
    <format dxfId="3941">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x v="4"/>
          </reference>
        </references>
      </pivotArea>
    </format>
    <format dxfId="3940">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x v="7"/>
          </reference>
        </references>
      </pivotArea>
    </format>
    <format dxfId="393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x v="0"/>
          </reference>
        </references>
      </pivotArea>
    </format>
    <format dxfId="3938">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x v="7"/>
          </reference>
        </references>
      </pivotArea>
    </format>
    <format dxfId="3937">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x v="0"/>
          </reference>
        </references>
      </pivotArea>
    </format>
    <format dxfId="3936">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x v="7"/>
          </reference>
        </references>
      </pivotArea>
    </format>
    <format dxfId="3935">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81"/>
          </reference>
          <reference field="82" count="1" selected="0">
            <x v="2796"/>
          </reference>
          <reference field="85" count="1">
            <x v="0"/>
          </reference>
        </references>
      </pivotArea>
    </format>
    <format dxfId="3934">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x v="7"/>
          </reference>
        </references>
      </pivotArea>
    </format>
    <format dxfId="3933">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x v="4"/>
          </reference>
        </references>
      </pivotArea>
    </format>
    <format dxfId="3932">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6"/>
          </reference>
          <reference field="85" count="1">
            <x v="7"/>
          </reference>
        </references>
      </pivotArea>
    </format>
    <format dxfId="3931">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80"/>
          </reference>
          <reference field="85" count="1">
            <x v="4"/>
          </reference>
        </references>
      </pivotArea>
    </format>
    <format dxfId="3930">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x v="0"/>
          </reference>
        </references>
      </pivotArea>
    </format>
    <format dxfId="3929">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5"/>
          </reference>
          <reference field="85" count="1">
            <x v="7"/>
          </reference>
        </references>
      </pivotArea>
    </format>
    <format dxfId="3928">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x v="7"/>
          </reference>
        </references>
      </pivotArea>
    </format>
    <format dxfId="3927">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 field="85" count="1">
            <x v="0"/>
          </reference>
        </references>
      </pivotArea>
    </format>
    <format dxfId="3926">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x v="7"/>
          </reference>
        </references>
      </pivotArea>
    </format>
    <format dxfId="3925">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x v="4"/>
          </reference>
        </references>
      </pivotArea>
    </format>
    <format dxfId="3924">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x v="7"/>
          </reference>
        </references>
      </pivotArea>
    </format>
    <format dxfId="3923">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x v="0"/>
          </reference>
        </references>
      </pivotArea>
    </format>
    <format dxfId="3922">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230"/>
          </reference>
          <reference field="82" count="1" selected="0">
            <x v="2722"/>
          </reference>
          <reference field="85" count="1">
            <x v="7"/>
          </reference>
        </references>
      </pivotArea>
    </format>
    <format dxfId="3921">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x v="0"/>
          </reference>
        </references>
      </pivotArea>
    </format>
    <format dxfId="3920">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x v="7"/>
          </reference>
        </references>
      </pivotArea>
    </format>
    <format dxfId="3919">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x v="0"/>
          </reference>
        </references>
      </pivotArea>
    </format>
    <format dxfId="3918">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x v="7"/>
          </reference>
        </references>
      </pivotArea>
    </format>
    <format dxfId="3917">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98"/>
          </reference>
          <reference field="82" count="1" selected="0">
            <x v="2816"/>
          </reference>
          <reference field="85" count="1">
            <x v="0"/>
          </reference>
        </references>
      </pivotArea>
    </format>
    <format dxfId="3916">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226"/>
          </reference>
          <reference field="82" count="1" selected="0">
            <x v="2717"/>
          </reference>
          <reference field="85" count="1">
            <x v="7"/>
          </reference>
        </references>
      </pivotArea>
    </format>
    <format dxfId="3915">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44"/>
          </reference>
          <reference field="82" count="1" selected="0">
            <x v="2772"/>
          </reference>
          <reference field="85" count="1">
            <x v="4"/>
          </reference>
        </references>
      </pivotArea>
    </format>
    <format dxfId="391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95"/>
          </reference>
          <reference field="82" count="1" selected="0">
            <x v="2813"/>
          </reference>
          <reference field="85" count="1">
            <x v="0"/>
          </reference>
        </references>
      </pivotArea>
    </format>
    <format dxfId="3913">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40"/>
          </reference>
          <reference field="82" count="1" selected="0">
            <x v="2869"/>
          </reference>
          <reference field="85" count="1">
            <x v="7"/>
          </reference>
        </references>
      </pivotArea>
    </format>
    <format dxfId="3912">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77"/>
          </reference>
          <reference field="82" count="1" selected="0">
            <x v="2791"/>
          </reference>
          <reference field="85" count="1">
            <x v="0"/>
          </reference>
        </references>
      </pivotArea>
    </format>
    <format dxfId="3911">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38"/>
          </reference>
          <reference field="82" count="1" selected="0">
            <x v="2733"/>
          </reference>
          <reference field="85" count="1">
            <x v="7"/>
          </reference>
        </references>
      </pivotArea>
    </format>
    <format dxfId="3910">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71"/>
          </reference>
          <reference field="82" count="1" selected="0">
            <x v="2776"/>
          </reference>
          <reference field="85" count="1">
            <x v="4"/>
          </reference>
        </references>
      </pivotArea>
    </format>
    <format dxfId="3909">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x v="0"/>
          </reference>
        </references>
      </pivotArea>
    </format>
    <format dxfId="3908">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x v="7"/>
          </reference>
        </references>
      </pivotArea>
    </format>
    <format dxfId="3907">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x v="0"/>
          </reference>
        </references>
      </pivotArea>
    </format>
    <format dxfId="3906">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232"/>
          </reference>
          <reference field="82" count="1" selected="0">
            <x v="2724"/>
          </reference>
          <reference field="85" count="1">
            <x v="7"/>
          </reference>
        </references>
      </pivotArea>
    </format>
    <format dxfId="3905">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x v="0"/>
          </reference>
        </references>
      </pivotArea>
    </format>
    <format dxfId="3904">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305"/>
          </reference>
          <reference field="82" count="1" selected="0">
            <x v="2838"/>
          </reference>
          <reference field="85" count="1">
            <x v="2"/>
          </reference>
        </references>
      </pivotArea>
    </format>
    <format dxfId="3903">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x v="0"/>
          </reference>
        </references>
      </pivotArea>
    </format>
    <format dxfId="3902">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0"/>
          </reference>
          <reference field="85" count="1">
            <x v="7"/>
          </reference>
        </references>
      </pivotArea>
    </format>
    <format dxfId="3901">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49"/>
          </reference>
          <reference field="82" count="1" selected="0">
            <x v="2891"/>
          </reference>
          <reference field="85" count="1">
            <x v="4"/>
          </reference>
        </references>
      </pivotArea>
    </format>
    <format dxfId="3900">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x v="4"/>
          </reference>
        </references>
      </pivotArea>
    </format>
    <format dxfId="3899">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211"/>
          </reference>
          <reference field="82" count="1" selected="0">
            <x v="2701"/>
          </reference>
          <reference field="85" count="1">
            <x v="3"/>
          </reference>
        </references>
      </pivotArea>
    </format>
    <format dxfId="3898">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x v="4"/>
          </reference>
        </references>
      </pivotArea>
    </format>
    <format dxfId="3897">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x v="4"/>
          </reference>
        </references>
      </pivotArea>
    </format>
    <format dxfId="3896">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224"/>
          </reference>
          <reference field="82" count="1" selected="0">
            <x v="2795"/>
          </reference>
          <reference field="85" count="1">
            <x v="0"/>
          </reference>
        </references>
      </pivotArea>
    </format>
    <format dxfId="3895">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x v="7"/>
          </reference>
        </references>
      </pivotArea>
    </format>
    <format dxfId="389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65"/>
          </reference>
          <reference field="82" count="1" selected="0">
            <x v="2766"/>
          </reference>
          <reference field="85" count="1">
            <x v="4"/>
          </reference>
        </references>
      </pivotArea>
    </format>
    <format dxfId="389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90"/>
          </reference>
          <reference field="82" count="1" selected="0">
            <x v="2826"/>
          </reference>
          <reference field="85" count="1">
            <x v="0"/>
          </reference>
        </references>
      </pivotArea>
    </format>
    <format dxfId="3892">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x v="7"/>
          </reference>
        </references>
      </pivotArea>
    </format>
    <format dxfId="3891">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220"/>
          </reference>
          <reference field="82" count="1" selected="0">
            <x v="2711"/>
          </reference>
          <reference field="85" count="1">
            <x v="3"/>
          </reference>
        </references>
      </pivotArea>
    </format>
    <format dxfId="3890">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x v="7"/>
          </reference>
        </references>
      </pivotArea>
    </format>
    <format dxfId="3889">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63"/>
          </reference>
          <reference field="82" count="1" selected="0">
            <x v="2762"/>
          </reference>
          <reference field="85" count="1">
            <x v="4"/>
          </reference>
        </references>
      </pivotArea>
    </format>
    <format dxfId="3888">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222"/>
          </reference>
          <reference field="82" count="1" selected="0">
            <x v="2827"/>
          </reference>
          <reference field="85" count="1">
            <x v="0"/>
          </reference>
        </references>
      </pivotArea>
    </format>
    <format dxfId="3887">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x v="7"/>
          </reference>
        </references>
      </pivotArea>
    </format>
    <format dxfId="3886">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225"/>
          </reference>
          <reference field="82" count="1" selected="0">
            <x v="2716"/>
          </reference>
          <reference field="85" count="1">
            <x v="3"/>
          </reference>
        </references>
      </pivotArea>
    </format>
    <format dxfId="3885">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x v="7"/>
          </reference>
        </references>
      </pivotArea>
    </format>
    <format dxfId="3884">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210"/>
          </reference>
          <reference field="82" count="1" selected="0">
            <x v="2705"/>
          </reference>
          <reference field="85" count="1">
            <x v="3"/>
          </reference>
        </references>
      </pivotArea>
    </format>
    <format dxfId="3883">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x v="4"/>
          </reference>
        </references>
      </pivotArea>
    </format>
    <format dxfId="3882">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303"/>
          </reference>
          <reference field="82" count="1" selected="0">
            <x v="2821"/>
          </reference>
          <reference field="85" count="1">
            <x v="0"/>
          </reference>
        </references>
      </pivotArea>
    </format>
    <format dxfId="3881">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x v="2"/>
          </reference>
        </references>
      </pivotArea>
    </format>
    <format dxfId="3880">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x v="4"/>
          </reference>
        </references>
      </pivotArea>
    </format>
    <format dxfId="3879">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306"/>
          </reference>
          <reference field="82" count="1" selected="0">
            <x v="2824"/>
          </reference>
          <reference field="85" count="1">
            <x v="0"/>
          </reference>
        </references>
      </pivotArea>
    </format>
    <format dxfId="3878">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x v="2"/>
          </reference>
        </references>
      </pivotArea>
    </format>
    <format dxfId="3877">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37"/>
          </reference>
          <reference field="82" count="1" selected="0">
            <x v="2865"/>
          </reference>
          <reference field="85" count="1">
            <x v="7"/>
          </reference>
        </references>
      </pivotArea>
    </format>
    <format dxfId="3876">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52"/>
          </reference>
          <reference field="82" count="1" selected="0">
            <x v="2894"/>
          </reference>
          <reference field="85" count="1">
            <x v="4"/>
          </reference>
        </references>
      </pivotArea>
    </format>
    <format dxfId="3875">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228"/>
          </reference>
          <reference field="82" count="1" selected="0">
            <x v="2729"/>
          </reference>
          <reference field="85" count="1">
            <x v="7"/>
          </reference>
        </references>
      </pivotArea>
    </format>
    <format dxfId="3874">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325"/>
          </reference>
          <reference field="82" count="1" selected="0">
            <x v="2851"/>
          </reference>
          <reference field="85" count="1">
            <x v="2"/>
          </reference>
        </references>
      </pivotArea>
    </format>
    <format dxfId="3873">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95"/>
          </reference>
          <reference field="82" count="1" selected="0">
            <x v="2909"/>
          </reference>
          <reference field="85" count="1">
            <x v="4"/>
          </reference>
        </references>
      </pivotArea>
    </format>
    <format dxfId="3872">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59"/>
          </reference>
          <reference field="82" count="1" selected="0">
            <x v="2912"/>
          </reference>
          <reference field="85" count="1">
            <x v="4"/>
          </reference>
        </references>
      </pivotArea>
    </format>
    <format dxfId="3871">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x v="4"/>
          </reference>
        </references>
      </pivotArea>
    </format>
    <format dxfId="3870">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x v="4"/>
          </reference>
        </references>
      </pivotArea>
    </format>
    <format dxfId="3869">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x v="4"/>
          </reference>
        </references>
      </pivotArea>
    </format>
    <format dxfId="3868">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58"/>
          </reference>
          <reference field="82" count="1" selected="0">
            <x v="2905"/>
          </reference>
          <reference field="85" count="1">
            <x v="4"/>
          </reference>
        </references>
      </pivotArea>
    </format>
    <format dxfId="3867">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x v="4"/>
          </reference>
        </references>
      </pivotArea>
    </format>
    <format dxfId="3866">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216"/>
          </reference>
          <reference field="82" count="1" selected="0">
            <x v="2707"/>
          </reference>
          <reference field="85" count="1">
            <x v="3"/>
          </reference>
        </references>
      </pivotArea>
    </format>
    <format dxfId="3865">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60"/>
          </reference>
          <reference field="82" count="1" selected="0">
            <x v="2914"/>
          </reference>
          <reference field="85" count="1">
            <x v="4"/>
          </reference>
        </references>
      </pivotArea>
    </format>
    <format dxfId="3864">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1"/>
          </reference>
          <reference field="85" count="1">
            <x v="7"/>
          </reference>
        </references>
      </pivotArea>
    </format>
    <format dxfId="3863">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217"/>
          </reference>
          <reference field="82" count="1" selected="0">
            <x v="2708"/>
          </reference>
          <reference field="85" count="1">
            <x v="3"/>
          </reference>
        </references>
      </pivotArea>
    </format>
    <format dxfId="3862">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2"/>
          </reference>
          <reference field="85" count="1">
            <x v="7"/>
          </reference>
        </references>
      </pivotArea>
    </format>
    <format dxfId="3861">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62"/>
          </reference>
          <reference field="82" count="1" selected="0">
            <x v="2916"/>
          </reference>
          <reference field="85" count="1">
            <x v="7"/>
          </reference>
        </references>
      </pivotArea>
    </format>
    <format dxfId="3860">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63"/>
          </reference>
          <reference field="82" count="1" selected="0">
            <x v="2917"/>
          </reference>
          <reference field="85" count="1">
            <x v="7"/>
          </reference>
        </references>
      </pivotArea>
    </format>
    <format dxfId="3859">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39"/>
          </reference>
          <reference field="82" count="1" selected="0">
            <x v="2734"/>
          </reference>
          <reference field="85" count="1">
            <x v="2"/>
          </reference>
        </references>
      </pivotArea>
    </format>
    <format dxfId="3858">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 field="85" count="1">
            <x v="7"/>
          </reference>
        </references>
      </pivotArea>
    </format>
    <format dxfId="3857">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92"/>
          </reference>
          <reference field="82" count="1" selected="0">
            <x v="2911"/>
          </reference>
          <reference field="85" count="1">
            <x v="4"/>
          </reference>
        </references>
      </pivotArea>
    </format>
    <format dxfId="3856">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x v="2"/>
          </reference>
        </references>
      </pivotArea>
    </format>
    <format dxfId="3855">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61"/>
          </reference>
          <reference field="82" count="1" selected="0">
            <x v="2915"/>
          </reference>
          <reference field="85" count="1">
            <x v="4"/>
          </reference>
        </references>
      </pivotArea>
    </format>
    <format dxfId="3854">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42"/>
          </reference>
          <reference field="82" count="1" selected="0">
            <x v="2740"/>
          </reference>
          <reference field="85" count="1">
            <x v="2"/>
          </reference>
        </references>
      </pivotArea>
    </format>
    <format dxfId="3853">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8"/>
          </reference>
          <reference field="85" count="1">
            <x v="7"/>
          </reference>
        </references>
      </pivotArea>
    </format>
    <format dxfId="3852">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x v="2"/>
          </reference>
        </references>
      </pivotArea>
    </format>
    <format dxfId="3851">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9"/>
          </reference>
          <reference field="85" count="1">
            <x v="7"/>
          </reference>
        </references>
      </pivotArea>
    </format>
    <format dxfId="3850">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76"/>
          </reference>
          <reference field="82" count="1" selected="0">
            <x v="2904"/>
          </reference>
          <reference field="85" count="1">
            <x v="4"/>
          </reference>
        </references>
      </pivotArea>
    </format>
    <format dxfId="3849">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334"/>
          </reference>
          <reference field="82" count="1" selected="0">
            <x v="2862"/>
          </reference>
          <reference field="85" count="1">
            <x v="7"/>
          </reference>
        </references>
      </pivotArea>
    </format>
    <format dxfId="3848">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261"/>
          </reference>
          <reference field="82" count="1" selected="0">
            <x v="2760"/>
          </reference>
          <reference field="85" count="1">
            <x v="4"/>
          </reference>
        </references>
      </pivotArea>
    </format>
    <format dxfId="3847">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49"/>
          </reference>
          <reference field="82" count="1" selected="0">
            <x v="2891"/>
          </reference>
          <reference field="85" count="1">
            <x v="4"/>
          </reference>
        </references>
      </pivotArea>
    </format>
    <format dxfId="384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245"/>
          </reference>
        </references>
      </pivotArea>
    </format>
    <format dxfId="384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247"/>
          </reference>
        </references>
      </pivotArea>
    </format>
    <format dxfId="384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248"/>
          </reference>
        </references>
      </pivotArea>
    </format>
    <format dxfId="384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244"/>
          </reference>
        </references>
      </pivotArea>
    </format>
    <format dxfId="384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249"/>
          </reference>
        </references>
      </pivotArea>
    </format>
    <format dxfId="384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250"/>
          </reference>
        </references>
      </pivotArea>
    </format>
    <format dxfId="384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251"/>
          </reference>
        </references>
      </pivotArea>
    </format>
    <format dxfId="383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246"/>
          </reference>
        </references>
      </pivotArea>
    </format>
    <format dxfId="3838">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86"/>
          </reference>
        </references>
      </pivotArea>
    </format>
    <format dxfId="3837">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87"/>
          </reference>
        </references>
      </pivotArea>
    </format>
    <format dxfId="3836">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88"/>
          </reference>
        </references>
      </pivotArea>
    </format>
    <format dxfId="383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83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327"/>
          </reference>
        </references>
      </pivotArea>
    </format>
    <format dxfId="383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79"/>
          </reference>
        </references>
      </pivotArea>
    </format>
    <format dxfId="383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52"/>
          </reference>
        </references>
      </pivotArea>
    </format>
    <format dxfId="383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301"/>
          </reference>
        </references>
      </pivotArea>
    </format>
    <format dxfId="383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51"/>
          </reference>
        </references>
      </pivotArea>
    </format>
    <format dxfId="382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82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328"/>
          </reference>
        </references>
      </pivotArea>
    </format>
    <format dxfId="382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86"/>
          </reference>
        </references>
      </pivotArea>
    </format>
    <format dxfId="382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87"/>
          </reference>
        </references>
      </pivotArea>
    </format>
    <format dxfId="382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88"/>
          </reference>
        </references>
      </pivotArea>
    </format>
    <format dxfId="382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85"/>
          </reference>
        </references>
      </pivotArea>
    </format>
    <format dxfId="382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82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328"/>
          </reference>
        </references>
      </pivotArea>
    </format>
    <format dxfId="382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86"/>
          </reference>
        </references>
      </pivotArea>
    </format>
    <format dxfId="382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87"/>
          </reference>
        </references>
      </pivotArea>
    </format>
    <format dxfId="381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88"/>
          </reference>
        </references>
      </pivotArea>
    </format>
    <format dxfId="381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85"/>
          </reference>
        </references>
      </pivotArea>
    </format>
    <format dxfId="381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81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328"/>
          </reference>
        </references>
      </pivotArea>
    </format>
    <format dxfId="381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234"/>
          </reference>
        </references>
      </pivotArea>
    </format>
    <format dxfId="381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81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281"/>
          </reference>
        </references>
      </pivotArea>
    </format>
    <format dxfId="381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284"/>
          </reference>
        </references>
      </pivotArea>
    </format>
    <format dxfId="381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282"/>
          </reference>
        </references>
      </pivotArea>
    </format>
    <format dxfId="381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283"/>
          </reference>
        </references>
      </pivotArea>
    </format>
    <format dxfId="380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80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327"/>
          </reference>
        </references>
      </pivotArea>
    </format>
    <format dxfId="380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79"/>
          </reference>
        </references>
      </pivotArea>
    </format>
    <format dxfId="380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52"/>
          </reference>
        </references>
      </pivotArea>
    </format>
    <format dxfId="380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301"/>
          </reference>
        </references>
      </pivotArea>
    </format>
    <format dxfId="380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51"/>
          </reference>
        </references>
      </pivotArea>
    </format>
    <format dxfId="3803">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228"/>
          </reference>
        </references>
      </pivotArea>
    </format>
    <format dxfId="3802">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234"/>
          </reference>
        </references>
      </pivotArea>
    </format>
    <format dxfId="380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245"/>
          </reference>
        </references>
      </pivotArea>
    </format>
    <format dxfId="380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247"/>
          </reference>
        </references>
      </pivotArea>
    </format>
    <format dxfId="379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248"/>
          </reference>
        </references>
      </pivotArea>
    </format>
    <format dxfId="379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244"/>
          </reference>
        </references>
      </pivotArea>
    </format>
    <format dxfId="379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249"/>
          </reference>
        </references>
      </pivotArea>
    </format>
    <format dxfId="379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250"/>
          </reference>
        </references>
      </pivotArea>
    </format>
    <format dxfId="379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251"/>
          </reference>
        </references>
      </pivotArea>
    </format>
    <format dxfId="379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246"/>
          </reference>
        </references>
      </pivotArea>
    </format>
    <format dxfId="379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86"/>
          </reference>
        </references>
      </pivotArea>
    </format>
    <format dxfId="379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87"/>
          </reference>
        </references>
      </pivotArea>
    </format>
    <format dxfId="379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88"/>
          </reference>
        </references>
      </pivotArea>
    </format>
    <format dxfId="379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85"/>
          </reference>
        </references>
      </pivotArea>
    </format>
    <format dxfId="3789">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228"/>
          </reference>
        </references>
      </pivotArea>
    </format>
    <format dxfId="378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78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327"/>
          </reference>
        </references>
      </pivotArea>
    </format>
    <format dxfId="378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284"/>
          </reference>
        </references>
      </pivotArea>
    </format>
    <format dxfId="378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282"/>
          </reference>
        </references>
      </pivotArea>
    </format>
    <format dxfId="378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283"/>
          </reference>
        </references>
      </pivotArea>
    </format>
    <format dxfId="378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78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327"/>
          </reference>
        </references>
      </pivotArea>
    </format>
    <format dxfId="378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79"/>
          </reference>
        </references>
      </pivotArea>
    </format>
    <format dxfId="378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52"/>
          </reference>
        </references>
      </pivotArea>
    </format>
    <format dxfId="377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301"/>
          </reference>
        </references>
      </pivotArea>
    </format>
    <format dxfId="377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51"/>
          </reference>
        </references>
      </pivotArea>
    </format>
    <format dxfId="377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326"/>
          </reference>
        </references>
      </pivotArea>
    </format>
    <format dxfId="377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328"/>
          </reference>
        </references>
      </pivotArea>
    </format>
    <format dxfId="377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86"/>
          </reference>
        </references>
      </pivotArea>
    </format>
    <format dxfId="377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292"/>
          </reference>
        </references>
      </pivotArea>
    </format>
    <format dxfId="377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293"/>
          </reference>
        </references>
      </pivotArea>
    </format>
    <format dxfId="377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294"/>
          </reference>
        </references>
      </pivotArea>
    </format>
    <format dxfId="377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230"/>
          </reference>
        </references>
      </pivotArea>
    </format>
    <format dxfId="377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231"/>
          </reference>
        </references>
      </pivotArea>
    </format>
    <format dxfId="376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289"/>
          </reference>
        </references>
      </pivotArea>
    </format>
    <format dxfId="376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290"/>
          </reference>
        </references>
      </pivotArea>
    </format>
    <format dxfId="376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291"/>
          </reference>
        </references>
      </pivotArea>
    </format>
    <format dxfId="376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329"/>
          </reference>
        </references>
      </pivotArea>
    </format>
    <format dxfId="376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330"/>
          </reference>
        </references>
      </pivotArea>
    </format>
    <format dxfId="376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240"/>
          </reference>
        </references>
      </pivotArea>
    </format>
    <format dxfId="376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289"/>
          </reference>
        </references>
      </pivotArea>
    </format>
    <format dxfId="376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290"/>
          </reference>
        </references>
      </pivotArea>
    </format>
    <format dxfId="376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291"/>
          </reference>
        </references>
      </pivotArea>
    </format>
    <format dxfId="376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329"/>
          </reference>
        </references>
      </pivotArea>
    </format>
    <format dxfId="375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298"/>
          </reference>
        </references>
      </pivotArea>
    </format>
    <format dxfId="375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299"/>
          </reference>
        </references>
      </pivotArea>
    </format>
    <format dxfId="375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300"/>
          </reference>
        </references>
      </pivotArea>
    </format>
    <format dxfId="375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226"/>
          </reference>
        </references>
      </pivotArea>
    </format>
    <format dxfId="375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75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244"/>
          </reference>
        </references>
      </pivotArea>
    </format>
    <format dxfId="375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250"/>
          </reference>
        </references>
      </pivotArea>
    </format>
    <format dxfId="375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246"/>
          </reference>
        </references>
      </pivotArea>
    </format>
    <format dxfId="375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268"/>
          </reference>
        </references>
      </pivotArea>
    </format>
    <format dxfId="375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295"/>
          </reference>
        </references>
      </pivotArea>
    </format>
    <format dxfId="374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296"/>
          </reference>
        </references>
      </pivotArea>
    </format>
    <format dxfId="374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297"/>
          </reference>
        </references>
      </pivotArea>
    </format>
    <format dxfId="374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340"/>
          </reference>
        </references>
      </pivotArea>
    </format>
    <format dxfId="374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233"/>
          </reference>
        </references>
      </pivotArea>
    </format>
    <format dxfId="374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277"/>
          </reference>
        </references>
      </pivotArea>
    </format>
    <format dxfId="374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276"/>
          </reference>
        </references>
      </pivotArea>
    </format>
    <format dxfId="374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278"/>
          </reference>
        </references>
      </pivotArea>
    </format>
    <format dxfId="374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238"/>
          </reference>
        </references>
      </pivotArea>
    </format>
    <format dxfId="374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233"/>
          </reference>
        </references>
      </pivotArea>
    </format>
    <format dxfId="374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271"/>
          </reference>
        </references>
      </pivotArea>
    </format>
    <format dxfId="373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272"/>
          </reference>
        </references>
      </pivotArea>
    </format>
    <format dxfId="373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269"/>
          </reference>
        </references>
      </pivotArea>
    </format>
    <format dxfId="373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270"/>
          </reference>
        </references>
      </pivotArea>
    </format>
    <format dxfId="373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274"/>
          </reference>
        </references>
      </pivotArea>
    </format>
    <format dxfId="373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275"/>
          </reference>
        </references>
      </pivotArea>
    </format>
    <format dxfId="373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214"/>
          </reference>
        </references>
      </pivotArea>
    </format>
    <format dxfId="373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73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274"/>
          </reference>
        </references>
      </pivotArea>
    </format>
    <format dxfId="373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275"/>
          </reference>
        </references>
      </pivotArea>
    </format>
    <format dxfId="373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214"/>
          </reference>
        </references>
      </pivotArea>
    </format>
    <format dxfId="372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232"/>
          </reference>
        </references>
      </pivotArea>
    </format>
    <format dxfId="372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72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279"/>
          </reference>
        </references>
      </pivotArea>
    </format>
    <format dxfId="372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280"/>
          </reference>
        </references>
      </pivotArea>
    </format>
    <format dxfId="372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224"/>
          </reference>
        </references>
      </pivotArea>
    </format>
    <format dxfId="372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305"/>
          </reference>
        </references>
      </pivotArea>
    </format>
    <format dxfId="372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310"/>
          </reference>
        </references>
      </pivotArea>
    </format>
    <format dxfId="372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314"/>
          </reference>
        </references>
      </pivotArea>
    </format>
    <format dxfId="372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279"/>
          </reference>
        </references>
      </pivotArea>
    </format>
    <format dxfId="372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280"/>
          </reference>
        </references>
      </pivotArea>
    </format>
    <format dxfId="371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224"/>
          </reference>
        </references>
      </pivotArea>
    </format>
    <format dxfId="371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231"/>
          </reference>
        </references>
      </pivotArea>
    </format>
    <format dxfId="371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349"/>
          </reference>
        </references>
      </pivotArea>
    </format>
    <format dxfId="371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211"/>
          </reference>
        </references>
      </pivotArea>
    </format>
    <format dxfId="371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210"/>
          </reference>
        </references>
      </pivotArea>
    </format>
    <format dxfId="371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348"/>
          </reference>
        </references>
      </pivotArea>
    </format>
    <format dxfId="371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41"/>
          </reference>
        </references>
      </pivotArea>
    </format>
    <format dxfId="371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42"/>
          </reference>
        </references>
      </pivotArea>
    </format>
    <format dxfId="371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43"/>
          </reference>
        </references>
      </pivotArea>
    </format>
    <format dxfId="371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44"/>
          </reference>
        </references>
      </pivotArea>
    </format>
    <format dxfId="370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211"/>
          </reference>
        </references>
      </pivotArea>
    </format>
    <format dxfId="370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210"/>
          </reference>
        </references>
      </pivotArea>
    </format>
    <format dxfId="370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41"/>
          </reference>
        </references>
      </pivotArea>
    </format>
    <format dxfId="370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42"/>
          </reference>
        </references>
      </pivotArea>
    </format>
    <format dxfId="370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43"/>
          </reference>
        </references>
      </pivotArea>
    </format>
    <format dxfId="370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44"/>
          </reference>
        </references>
      </pivotArea>
    </format>
    <format dxfId="370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41"/>
          </reference>
        </references>
      </pivotArea>
    </format>
    <format dxfId="370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42"/>
          </reference>
        </references>
      </pivotArea>
    </format>
    <format dxfId="370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43"/>
          </reference>
        </references>
      </pivotArea>
    </format>
    <format dxfId="370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44"/>
          </reference>
        </references>
      </pivotArea>
    </format>
    <format dxfId="369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224"/>
          </reference>
        </references>
      </pivotArea>
    </format>
    <format dxfId="369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302"/>
          </reference>
        </references>
      </pivotArea>
    </format>
    <format dxfId="369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301"/>
          </reference>
        </references>
      </pivotArea>
    </format>
    <format dxfId="369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228"/>
          </reference>
        </references>
      </pivotArea>
    </format>
    <format dxfId="369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229"/>
          </reference>
        </references>
      </pivotArea>
    </format>
    <format dxfId="369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69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265"/>
          </reference>
        </references>
      </pivotArea>
    </format>
    <format dxfId="369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255"/>
          </reference>
        </references>
      </pivotArea>
    </format>
    <format dxfId="369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266"/>
          </reference>
        </references>
      </pivotArea>
    </format>
    <format dxfId="369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267"/>
          </reference>
        </references>
      </pivotArea>
    </format>
    <format dxfId="368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290"/>
          </reference>
        </references>
      </pivotArea>
    </format>
    <format dxfId="368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309"/>
          </reference>
        </references>
      </pivotArea>
    </format>
    <format dxfId="368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310"/>
          </reference>
        </references>
      </pivotArea>
    </format>
    <format dxfId="368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339"/>
          </reference>
        </references>
      </pivotArea>
    </format>
    <format dxfId="368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231"/>
          </reference>
        </references>
      </pivotArea>
    </format>
    <format dxfId="368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220"/>
          </reference>
        </references>
      </pivotArea>
    </format>
    <format dxfId="368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222"/>
          </reference>
        </references>
      </pivotArea>
    </format>
    <format dxfId="368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223"/>
          </reference>
        </references>
      </pivotArea>
    </format>
    <format dxfId="368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224"/>
          </reference>
        </references>
      </pivotArea>
    </format>
    <format dxfId="368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221"/>
          </reference>
        </references>
      </pivotArea>
    </format>
    <format dxfId="367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228"/>
          </reference>
        </references>
      </pivotArea>
    </format>
    <format dxfId="3678">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229"/>
          </reference>
        </references>
      </pivotArea>
    </format>
    <format dxfId="367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228"/>
          </reference>
        </references>
      </pivotArea>
    </format>
    <format dxfId="367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229"/>
          </reference>
        </references>
      </pivotArea>
    </format>
    <format dxfId="367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227"/>
          </reference>
        </references>
      </pivotArea>
    </format>
    <format dxfId="367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263"/>
          </reference>
        </references>
      </pivotArea>
    </format>
    <format dxfId="367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261"/>
          </reference>
        </references>
      </pivotArea>
    </format>
    <format dxfId="367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264"/>
          </reference>
        </references>
      </pivotArea>
    </format>
    <format dxfId="367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256"/>
          </reference>
        </references>
      </pivotArea>
    </format>
    <format dxfId="367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222"/>
          </reference>
        </references>
      </pivotArea>
    </format>
    <format dxfId="366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288"/>
          </reference>
        </references>
      </pivotArea>
    </format>
    <format dxfId="366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308"/>
          </reference>
        </references>
      </pivotArea>
    </format>
    <format dxfId="3667">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339"/>
          </reference>
        </references>
      </pivotArea>
    </format>
    <format dxfId="3666">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225"/>
          </reference>
        </references>
      </pivotArea>
    </format>
    <format dxfId="3665">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224"/>
          </reference>
        </references>
      </pivotArea>
    </format>
    <format dxfId="3664">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221"/>
          </reference>
        </references>
      </pivotArea>
    </format>
    <format dxfId="3663">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228"/>
          </reference>
        </references>
      </pivotArea>
    </format>
    <format dxfId="3662">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229"/>
          </reference>
        </references>
      </pivotArea>
    </format>
    <format dxfId="366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210"/>
          </reference>
        </references>
      </pivotArea>
    </format>
    <format dxfId="366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214"/>
          </reference>
        </references>
      </pivotArea>
    </format>
    <format dxfId="365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212"/>
          </reference>
        </references>
      </pivotArea>
    </format>
    <format dxfId="365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213"/>
          </reference>
        </references>
      </pivotArea>
    </format>
    <format dxfId="3657">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273"/>
          </reference>
        </references>
      </pivotArea>
    </format>
    <format dxfId="365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303"/>
          </reference>
        </references>
      </pivotArea>
    </format>
    <format dxfId="365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304"/>
          </reference>
        </references>
      </pivotArea>
    </format>
    <format dxfId="365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305"/>
          </reference>
        </references>
      </pivotArea>
    </format>
    <format dxfId="365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311"/>
          </reference>
        </references>
      </pivotArea>
    </format>
    <format dxfId="365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289"/>
          </reference>
        </references>
      </pivotArea>
    </format>
    <format dxfId="365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221"/>
          </reference>
        </references>
      </pivotArea>
    </format>
    <format dxfId="3650">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273"/>
          </reference>
        </references>
      </pivotArea>
    </format>
    <format dxfId="364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306"/>
          </reference>
        </references>
      </pivotArea>
    </format>
    <format dxfId="364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307"/>
          </reference>
        </references>
      </pivotArea>
    </format>
    <format dxfId="364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290"/>
          </reference>
        </references>
      </pivotArea>
    </format>
    <format dxfId="364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311"/>
          </reference>
        </references>
      </pivotArea>
    </format>
    <format dxfId="364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289"/>
          </reference>
        </references>
      </pivotArea>
    </format>
    <format dxfId="364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312"/>
          </reference>
        </references>
      </pivotArea>
    </format>
    <format dxfId="364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221"/>
          </reference>
        </references>
      </pivotArea>
    </format>
    <format dxfId="364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313"/>
          </reference>
        </references>
      </pivotArea>
    </format>
    <format dxfId="364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337"/>
          </reference>
        </references>
      </pivotArea>
    </format>
    <format dxfId="364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338"/>
          </reference>
        </references>
      </pivotArea>
    </format>
    <format dxfId="363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352"/>
          </reference>
        </references>
      </pivotArea>
    </format>
    <format dxfId="363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353"/>
          </reference>
        </references>
      </pivotArea>
    </format>
    <format dxfId="363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354"/>
          </reference>
        </references>
      </pivotArea>
    </format>
    <format dxfId="363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343"/>
          </reference>
        </references>
      </pivotArea>
    </format>
    <format dxfId="363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274"/>
          </reference>
        </references>
      </pivotArea>
    </format>
    <format dxfId="363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356"/>
          </reference>
        </references>
      </pivotArea>
    </format>
    <format dxfId="363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357"/>
          </reference>
        </references>
      </pivotArea>
    </format>
    <format dxfId="363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315"/>
          </reference>
        </references>
      </pivotArea>
    </format>
    <format dxfId="363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274"/>
          </reference>
        </references>
      </pivotArea>
    </format>
    <format dxfId="363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356"/>
          </reference>
        </references>
      </pivotArea>
    </format>
    <format dxfId="362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316"/>
          </reference>
        </references>
      </pivotArea>
    </format>
    <format dxfId="362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355"/>
          </reference>
        </references>
      </pivotArea>
    </format>
    <format dxfId="362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228"/>
          </reference>
        </references>
      </pivotArea>
    </format>
    <format dxfId="362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235"/>
          </reference>
        </references>
      </pivotArea>
    </format>
    <format dxfId="3625">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325"/>
          </reference>
        </references>
      </pivotArea>
    </format>
    <format dxfId="3624">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295"/>
          </reference>
        </references>
      </pivotArea>
    </format>
    <format dxfId="3623">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293"/>
          </reference>
        </references>
      </pivotArea>
    </format>
    <format dxfId="3622">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359"/>
          </reference>
        </references>
      </pivotArea>
    </format>
    <format dxfId="362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52"/>
          </reference>
        </references>
      </pivotArea>
    </format>
    <format dxfId="362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47"/>
          </reference>
        </references>
      </pivotArea>
    </format>
    <format dxfId="361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53"/>
          </reference>
        </references>
      </pivotArea>
    </format>
    <format dxfId="361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54"/>
          </reference>
        </references>
      </pivotArea>
    </format>
    <format dxfId="361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220"/>
          </reference>
        </references>
      </pivotArea>
    </format>
    <format dxfId="361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314"/>
          </reference>
        </references>
      </pivotArea>
    </format>
    <format dxfId="361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79"/>
          </reference>
        </references>
      </pivotArea>
    </format>
    <format dxfId="361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312"/>
          </reference>
        </references>
      </pivotArea>
    </format>
    <format dxfId="361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301"/>
          </reference>
        </references>
      </pivotArea>
    </format>
    <format dxfId="361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52"/>
          </reference>
        </references>
      </pivotArea>
    </format>
    <format dxfId="361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47"/>
          </reference>
        </references>
      </pivotArea>
    </format>
    <format dxfId="361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53"/>
          </reference>
        </references>
      </pivotArea>
    </format>
    <format dxfId="360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54"/>
          </reference>
        </references>
      </pivotArea>
    </format>
    <format dxfId="360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220"/>
          </reference>
        </references>
      </pivotArea>
    </format>
    <format dxfId="360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314"/>
          </reference>
        </references>
      </pivotArea>
    </format>
    <format dxfId="360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79"/>
          </reference>
        </references>
      </pivotArea>
    </format>
    <format dxfId="360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312"/>
          </reference>
        </references>
      </pivotArea>
    </format>
    <format dxfId="360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301"/>
          </reference>
        </references>
      </pivotArea>
    </format>
    <format dxfId="360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52"/>
          </reference>
        </references>
      </pivotArea>
    </format>
    <format dxfId="360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47"/>
          </reference>
        </references>
      </pivotArea>
    </format>
    <format dxfId="360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53"/>
          </reference>
        </references>
      </pivotArea>
    </format>
    <format dxfId="360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54"/>
          </reference>
        </references>
      </pivotArea>
    </format>
    <format dxfId="359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220"/>
          </reference>
        </references>
      </pivotArea>
    </format>
    <format dxfId="359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314"/>
          </reference>
        </references>
      </pivotArea>
    </format>
    <format dxfId="359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79"/>
          </reference>
        </references>
      </pivotArea>
    </format>
    <format dxfId="359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312"/>
          </reference>
        </references>
      </pivotArea>
    </format>
    <format dxfId="359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301"/>
          </reference>
        </references>
      </pivotArea>
    </format>
    <format dxfId="359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358"/>
          </reference>
        </references>
      </pivotArea>
    </format>
    <format dxfId="359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52"/>
          </reference>
        </references>
      </pivotArea>
    </format>
    <format dxfId="359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301"/>
          </reference>
        </references>
      </pivotArea>
    </format>
    <format dxfId="359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51"/>
          </reference>
        </references>
      </pivotArea>
    </format>
    <format dxfId="359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224"/>
          </reference>
        </references>
      </pivotArea>
    </format>
    <format dxfId="358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211"/>
          </reference>
        </references>
      </pivotArea>
    </format>
    <format dxfId="358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50"/>
          </reference>
        </references>
      </pivotArea>
    </format>
    <format dxfId="358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75"/>
          </reference>
        </references>
      </pivotArea>
    </format>
    <format dxfId="358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224"/>
          </reference>
        </references>
      </pivotArea>
    </format>
    <format dxfId="358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211"/>
          </reference>
        </references>
      </pivotArea>
    </format>
    <format dxfId="358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50"/>
          </reference>
        </references>
      </pivotArea>
    </format>
    <format dxfId="358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75"/>
          </reference>
        </references>
      </pivotArea>
    </format>
    <format dxfId="358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219"/>
          </reference>
        </references>
      </pivotArea>
    </format>
    <format dxfId="358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346"/>
          </reference>
        </references>
      </pivotArea>
    </format>
    <format dxfId="358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345"/>
          </reference>
        </references>
      </pivotArea>
    </format>
    <format dxfId="357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347"/>
          </reference>
        </references>
      </pivotArea>
    </format>
    <format dxfId="357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323"/>
          </reference>
        </references>
      </pivotArea>
    </format>
    <format dxfId="357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324"/>
          </reference>
        </references>
      </pivotArea>
    </format>
    <format dxfId="357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322"/>
          </reference>
        </references>
      </pivotArea>
    </format>
    <format dxfId="357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52"/>
          </reference>
        </references>
      </pivotArea>
    </format>
    <format dxfId="357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47"/>
          </reference>
        </references>
      </pivotArea>
    </format>
    <format dxfId="357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53"/>
          </reference>
        </references>
      </pivotArea>
    </format>
    <format dxfId="357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54"/>
          </reference>
        </references>
      </pivotArea>
    </format>
    <format dxfId="357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298"/>
          </reference>
        </references>
      </pivotArea>
    </format>
    <format dxfId="357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349"/>
          </reference>
        </references>
      </pivotArea>
    </format>
    <format dxfId="356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302"/>
          </reference>
        </references>
      </pivotArea>
    </format>
    <format dxfId="356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348"/>
          </reference>
        </references>
      </pivotArea>
    </format>
    <format dxfId="356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298"/>
          </reference>
        </references>
      </pivotArea>
    </format>
    <format dxfId="356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349"/>
          </reference>
        </references>
      </pivotArea>
    </format>
    <format dxfId="356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302"/>
          </reference>
        </references>
      </pivotArea>
    </format>
    <format dxfId="356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348"/>
          </reference>
        </references>
      </pivotArea>
    </format>
    <format dxfId="3563">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216"/>
          </reference>
        </references>
      </pivotArea>
    </format>
    <format dxfId="3562">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360"/>
          </reference>
        </references>
      </pivotArea>
    </format>
    <format dxfId="356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243"/>
          </reference>
        </references>
      </pivotArea>
    </format>
    <format dxfId="3560">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217"/>
          </reference>
        </references>
      </pivotArea>
    </format>
    <format dxfId="3559">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243"/>
          </reference>
        </references>
      </pivotArea>
    </format>
    <format dxfId="355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362"/>
          </reference>
        </references>
      </pivotArea>
    </format>
    <format dxfId="355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364"/>
          </reference>
        </references>
      </pivotArea>
    </format>
    <format dxfId="3556">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363"/>
          </reference>
        </references>
      </pivotArea>
    </format>
    <format dxfId="3555">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239"/>
          </reference>
        </references>
      </pivotArea>
    </format>
    <format dxfId="3554">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364"/>
          </reference>
        </references>
      </pivotArea>
    </format>
    <format dxfId="355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215"/>
          </reference>
        </references>
      </pivotArea>
    </format>
    <format dxfId="355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292"/>
          </reference>
        </references>
      </pivotArea>
    </format>
    <format dxfId="355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316"/>
          </reference>
        </references>
      </pivotArea>
    </format>
    <format dxfId="355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317"/>
          </reference>
        </references>
      </pivotArea>
    </format>
    <format dxfId="354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322"/>
          </reference>
        </references>
      </pivotArea>
    </format>
    <format dxfId="354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320"/>
          </reference>
        </references>
      </pivotArea>
    </format>
    <format dxfId="354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319"/>
          </reference>
        </references>
      </pivotArea>
    </format>
    <format dxfId="354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318"/>
          </reference>
        </references>
      </pivotArea>
    </format>
    <format dxfId="354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315"/>
          </reference>
        </references>
      </pivotArea>
    </format>
    <format dxfId="35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321"/>
          </reference>
        </references>
      </pivotArea>
    </format>
    <format dxfId="354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361"/>
          </reference>
        </references>
      </pivotArea>
    </format>
    <format dxfId="354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242"/>
          </reference>
        </references>
      </pivotArea>
    </format>
    <format dxfId="354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41"/>
          </reference>
        </references>
      </pivotArea>
    </format>
    <format dxfId="354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316"/>
          </reference>
        </references>
      </pivotArea>
    </format>
    <format dxfId="353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315"/>
          </reference>
        </references>
      </pivotArea>
    </format>
    <format dxfId="353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41"/>
          </reference>
        </references>
      </pivotArea>
    </format>
    <format dxfId="353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276"/>
          </reference>
        </references>
      </pivotArea>
    </format>
    <format dxfId="353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334"/>
          </reference>
        </references>
      </pivotArea>
    </format>
    <format dxfId="353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336"/>
          </reference>
        </references>
      </pivotArea>
    </format>
    <format dxfId="353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237"/>
          </reference>
        </references>
      </pivotArea>
    </format>
    <format dxfId="353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236"/>
          </reference>
        </references>
      </pivotArea>
    </format>
    <format dxfId="3532">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261"/>
          </reference>
        </references>
      </pivotArea>
    </format>
    <format dxfId="3531">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262"/>
          </reference>
        </references>
      </pivotArea>
    </format>
    <format dxfId="353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259"/>
          </reference>
        </references>
      </pivotArea>
    </format>
    <format dxfId="352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260"/>
          </reference>
        </references>
      </pivotArea>
    </format>
    <format dxfId="3528">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255"/>
          </reference>
        </references>
      </pivotArea>
    </format>
    <format dxfId="3527">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256"/>
          </reference>
        </references>
      </pivotArea>
    </format>
    <format dxfId="352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257"/>
          </reference>
        </references>
      </pivotArea>
    </format>
    <format dxfId="352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258"/>
          </reference>
        </references>
      </pivotArea>
    </format>
    <format dxfId="3524">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349"/>
          </reference>
        </references>
      </pivotArea>
    </format>
    <format dxfId="3523">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211"/>
          </reference>
        </references>
      </pivotArea>
    </format>
    <format dxfId="3522">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50"/>
          </reference>
        </references>
      </pivotArea>
    </format>
    <format dxfId="3521">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75"/>
          </reference>
        </references>
      </pivotArea>
    </format>
    <format dxfId="3520">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329"/>
          </reference>
        </references>
      </pivotArea>
    </format>
    <format dxfId="351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x v="2744"/>
          </reference>
        </references>
      </pivotArea>
    </format>
    <format dxfId="351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x v="2746"/>
          </reference>
        </references>
      </pivotArea>
    </format>
    <format dxfId="351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x v="2747"/>
          </reference>
        </references>
      </pivotArea>
    </format>
    <format dxfId="351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x v="2743"/>
          </reference>
        </references>
      </pivotArea>
    </format>
    <format dxfId="351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x v="2748"/>
          </reference>
        </references>
      </pivotArea>
    </format>
    <format dxfId="351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x v="2749"/>
          </reference>
        </references>
      </pivotArea>
    </format>
    <format dxfId="351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x v="2750"/>
          </reference>
        </references>
      </pivotArea>
    </format>
    <format dxfId="351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x v="2745"/>
          </reference>
        </references>
      </pivotArea>
    </format>
    <format dxfId="3511">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x v="2804"/>
          </reference>
        </references>
      </pivotArea>
    </format>
    <format dxfId="3510">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x v="2805"/>
          </reference>
        </references>
      </pivotArea>
    </format>
    <format dxfId="3509">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x v="2806"/>
          </reference>
        </references>
      </pivotArea>
    </format>
    <format dxfId="350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2"/>
          </reference>
        </references>
      </pivotArea>
    </format>
    <format dxfId="350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x v="2853"/>
          </reference>
        </references>
      </pivotArea>
    </format>
    <format dxfId="350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x v="2879"/>
          </reference>
        </references>
      </pivotArea>
    </format>
    <format dxfId="350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x v="2890"/>
          </reference>
        </references>
      </pivotArea>
    </format>
    <format dxfId="350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x v="2880"/>
          </reference>
        </references>
      </pivotArea>
    </format>
    <format dxfId="350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x v="2889"/>
          </reference>
        </references>
      </pivotArea>
    </format>
    <format dxfId="350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4"/>
          </reference>
        </references>
      </pivotArea>
    </format>
    <format dxfId="350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x v="2855"/>
          </reference>
        </references>
      </pivotArea>
    </format>
    <format dxfId="350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x v="2801"/>
          </reference>
        </references>
      </pivotArea>
    </format>
    <format dxfId="349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x v="2802"/>
          </reference>
        </references>
      </pivotArea>
    </format>
    <format dxfId="349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x v="2803"/>
          </reference>
        </references>
      </pivotArea>
    </format>
    <format dxfId="349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x v="2800"/>
          </reference>
        </references>
      </pivotArea>
    </format>
    <format dxfId="349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4"/>
          </reference>
        </references>
      </pivotArea>
    </format>
    <format dxfId="349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x v="2855"/>
          </reference>
        </references>
      </pivotArea>
    </format>
    <format dxfId="349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x v="2801"/>
          </reference>
        </references>
      </pivotArea>
    </format>
    <format dxfId="349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x v="2802"/>
          </reference>
        </references>
      </pivotArea>
    </format>
    <format dxfId="349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x v="2803"/>
          </reference>
        </references>
      </pivotArea>
    </format>
    <format dxfId="349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x v="2800"/>
          </reference>
        </references>
      </pivotArea>
    </format>
    <format dxfId="349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4"/>
          </reference>
        </references>
      </pivotArea>
    </format>
    <format dxfId="348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x v="2855"/>
          </reference>
        </references>
      </pivotArea>
    </format>
    <format dxfId="348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x v="2726"/>
          </reference>
        </references>
      </pivotArea>
    </format>
    <format dxfId="348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28"/>
          </reference>
        </references>
      </pivotArea>
    </format>
    <format dxfId="348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281"/>
          </reference>
          <reference field="82" count="1">
            <x v="2796"/>
          </reference>
        </references>
      </pivotArea>
    </format>
    <format dxfId="348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x v="2799"/>
          </reference>
        </references>
      </pivotArea>
    </format>
    <format dxfId="348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x v="2797"/>
          </reference>
        </references>
      </pivotArea>
    </format>
    <format dxfId="348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x v="2798"/>
          </reference>
        </references>
      </pivotArea>
    </format>
    <format dxfId="348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2"/>
          </reference>
        </references>
      </pivotArea>
    </format>
    <format dxfId="348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x v="2853"/>
          </reference>
        </references>
      </pivotArea>
    </format>
    <format dxfId="348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x v="2879"/>
          </reference>
        </references>
      </pivotArea>
    </format>
    <format dxfId="347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x v="2890"/>
          </reference>
        </references>
      </pivotArea>
    </format>
    <format dxfId="347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x v="2880"/>
          </reference>
        </references>
      </pivotArea>
    </format>
    <format dxfId="347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x v="2889"/>
          </reference>
        </references>
      </pivotArea>
    </format>
    <format dxfId="3476">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x v="2736"/>
          </reference>
        </references>
      </pivotArea>
    </format>
    <format dxfId="3475">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x v="2727"/>
          </reference>
        </references>
      </pivotArea>
    </format>
    <format dxfId="347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x v="2780"/>
          </reference>
        </references>
      </pivotArea>
    </format>
    <format dxfId="347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x v="2782"/>
          </reference>
        </references>
      </pivotArea>
    </format>
    <format dxfId="347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x v="2783"/>
          </reference>
        </references>
      </pivotArea>
    </format>
    <format dxfId="347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x v="2779"/>
          </reference>
        </references>
      </pivotArea>
    </format>
    <format dxfId="347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x v="2784"/>
          </reference>
        </references>
      </pivotArea>
    </format>
    <format dxfId="346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x v="2785"/>
          </reference>
        </references>
      </pivotArea>
    </format>
    <format dxfId="346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x v="2786"/>
          </reference>
        </references>
      </pivotArea>
    </format>
    <format dxfId="346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x v="2781"/>
          </reference>
        </references>
      </pivotArea>
    </format>
    <format dxfId="346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x v="2801"/>
          </reference>
        </references>
      </pivotArea>
    </format>
    <format dxfId="346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x v="2802"/>
          </reference>
        </references>
      </pivotArea>
    </format>
    <format dxfId="346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x v="2803"/>
          </reference>
        </references>
      </pivotArea>
    </format>
    <format dxfId="346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x v="2800"/>
          </reference>
        </references>
      </pivotArea>
    </format>
    <format dxfId="3462">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x v="2735"/>
          </reference>
        </references>
      </pivotArea>
    </format>
    <format dxfId="346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2"/>
          </reference>
        </references>
      </pivotArea>
    </format>
    <format dxfId="346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x v="2853"/>
          </reference>
        </references>
      </pivotArea>
    </format>
    <format dxfId="345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x v="2799"/>
          </reference>
        </references>
      </pivotArea>
    </format>
    <format dxfId="345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x v="2797"/>
          </reference>
        </references>
      </pivotArea>
    </format>
    <format dxfId="345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x v="2798"/>
          </reference>
        </references>
      </pivotArea>
    </format>
    <format dxfId="345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2"/>
          </reference>
        </references>
      </pivotArea>
    </format>
    <format dxfId="345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x v="2853"/>
          </reference>
        </references>
      </pivotArea>
    </format>
    <format dxfId="345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x v="2879"/>
          </reference>
        </references>
      </pivotArea>
    </format>
    <format dxfId="345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x v="2890"/>
          </reference>
        </references>
      </pivotArea>
    </format>
    <format dxfId="345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x v="2880"/>
          </reference>
        </references>
      </pivotArea>
    </format>
    <format dxfId="345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x v="2889"/>
          </reference>
        </references>
      </pivotArea>
    </format>
    <format dxfId="345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x v="2854"/>
          </reference>
        </references>
      </pivotArea>
    </format>
    <format dxfId="3449">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x v="2855"/>
          </reference>
        </references>
      </pivotArea>
    </format>
    <format dxfId="3448">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x v="2801"/>
          </reference>
        </references>
      </pivotArea>
    </format>
    <format dxfId="344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292"/>
          </reference>
          <reference field="82" count="1">
            <x v="2810"/>
          </reference>
        </references>
      </pivotArea>
    </format>
    <format dxfId="344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293"/>
          </reference>
          <reference field="82" count="1">
            <x v="2811"/>
          </reference>
        </references>
      </pivotArea>
    </format>
    <format dxfId="344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294"/>
          </reference>
          <reference field="82" count="1">
            <x v="2812"/>
          </reference>
        </references>
      </pivotArea>
    </format>
    <format dxfId="3444">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230"/>
          </reference>
          <reference field="82" count="1">
            <x v="2722"/>
          </reference>
        </references>
      </pivotArea>
    </format>
    <format dxfId="3443">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x v="2723"/>
          </reference>
        </references>
      </pivotArea>
    </format>
    <format dxfId="344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x v="2807"/>
          </reference>
        </references>
      </pivotArea>
    </format>
    <format dxfId="344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x v="2808"/>
          </reference>
        </references>
      </pivotArea>
    </format>
    <format dxfId="344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x v="2809"/>
          </reference>
        </references>
      </pivotArea>
    </format>
    <format dxfId="343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x v="2856"/>
          </reference>
        </references>
      </pivotArea>
    </format>
    <format dxfId="3438">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330"/>
          </reference>
          <reference field="82" count="1">
            <x v="2857"/>
          </reference>
        </references>
      </pivotArea>
    </format>
    <format dxfId="343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240"/>
          </reference>
          <reference field="82" count="1">
            <x v="2737"/>
          </reference>
        </references>
      </pivotArea>
    </format>
    <format dxfId="343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x v="2807"/>
          </reference>
        </references>
      </pivotArea>
    </format>
    <format dxfId="343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x v="2808"/>
          </reference>
        </references>
      </pivotArea>
    </format>
    <format dxfId="343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x v="2809"/>
          </reference>
        </references>
      </pivotArea>
    </format>
    <format dxfId="3433">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x v="2856"/>
          </reference>
        </references>
      </pivotArea>
    </format>
    <format dxfId="343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298"/>
          </reference>
          <reference field="82" count="1">
            <x v="2816"/>
          </reference>
        </references>
      </pivotArea>
    </format>
    <format dxfId="343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299"/>
          </reference>
          <reference field="82" count="1">
            <x v="2817"/>
          </reference>
        </references>
      </pivotArea>
    </format>
    <format dxfId="343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300"/>
          </reference>
          <reference field="82" count="1">
            <x v="2818"/>
          </reference>
        </references>
      </pivotArea>
    </format>
    <format dxfId="342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226"/>
          </reference>
          <reference field="82" count="1">
            <x v="2717"/>
          </reference>
        </references>
      </pivotArea>
    </format>
    <format dxfId="3428">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18"/>
          </reference>
        </references>
      </pivotArea>
    </format>
    <format dxfId="342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244"/>
          </reference>
          <reference field="82" count="1">
            <x v="2772"/>
          </reference>
        </references>
      </pivotArea>
    </format>
    <format dxfId="342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250"/>
          </reference>
          <reference field="82" count="1">
            <x v="2773"/>
          </reference>
        </references>
      </pivotArea>
    </format>
    <format dxfId="342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246"/>
          </reference>
          <reference field="82" count="1">
            <x v="2770"/>
          </reference>
        </references>
      </pivotArea>
    </format>
    <format dxfId="342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268"/>
          </reference>
          <reference field="82" count="1">
            <x v="2771"/>
          </reference>
        </references>
      </pivotArea>
    </format>
    <format dxfId="342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295"/>
          </reference>
          <reference field="82" count="1">
            <x v="2813"/>
          </reference>
        </references>
      </pivotArea>
    </format>
    <format dxfId="342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296"/>
          </reference>
          <reference field="82" count="1">
            <x v="2814"/>
          </reference>
        </references>
      </pivotArea>
    </format>
    <format dxfId="342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297"/>
          </reference>
          <reference field="82" count="1">
            <x v="2815"/>
          </reference>
        </references>
      </pivotArea>
    </format>
    <format dxfId="3420">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340"/>
          </reference>
          <reference field="82" count="1">
            <x v="2869"/>
          </reference>
        </references>
      </pivotArea>
    </format>
    <format dxfId="3419">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x v="2725"/>
          </reference>
        </references>
      </pivotArea>
    </format>
    <format dxfId="341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277"/>
          </reference>
          <reference field="82" count="1">
            <x v="2791"/>
          </reference>
        </references>
      </pivotArea>
    </format>
    <format dxfId="341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276"/>
          </reference>
          <reference field="82" count="1">
            <x v="2790"/>
          </reference>
        </references>
      </pivotArea>
    </format>
    <format dxfId="341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278"/>
          </reference>
          <reference field="82" count="1">
            <x v="2792"/>
          </reference>
        </references>
      </pivotArea>
    </format>
    <format dxfId="341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238"/>
          </reference>
          <reference field="82" count="1">
            <x v="2733"/>
          </reference>
        </references>
      </pivotArea>
    </format>
    <format dxfId="3414">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x v="2725"/>
          </reference>
        </references>
      </pivotArea>
    </format>
    <format dxfId="341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271"/>
          </reference>
          <reference field="82" count="1">
            <x v="2776"/>
          </reference>
        </references>
      </pivotArea>
    </format>
    <format dxfId="341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272"/>
          </reference>
          <reference field="82" count="1">
            <x v="2777"/>
          </reference>
        </references>
      </pivotArea>
    </format>
    <format dxfId="341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269"/>
          </reference>
          <reference field="82" count="1">
            <x v="2774"/>
          </reference>
        </references>
      </pivotArea>
    </format>
    <format dxfId="341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270"/>
          </reference>
          <reference field="82" count="1">
            <x v="2775"/>
          </reference>
        </references>
      </pivotArea>
    </format>
    <format dxfId="340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x v="2787"/>
          </reference>
        </references>
      </pivotArea>
    </format>
    <format dxfId="340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x v="2788"/>
          </reference>
        </references>
      </pivotArea>
    </format>
    <format dxfId="340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x v="2789"/>
          </reference>
        </references>
      </pivotArea>
    </format>
    <format dxfId="3406">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18"/>
          </reference>
        </references>
      </pivotArea>
    </format>
    <format dxfId="340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x v="2787"/>
          </reference>
        </references>
      </pivotArea>
    </format>
    <format dxfId="340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x v="2788"/>
          </reference>
        </references>
      </pivotArea>
    </format>
    <format dxfId="340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x v="2789"/>
          </reference>
        </references>
      </pivotArea>
    </format>
    <format dxfId="340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232"/>
          </reference>
          <reference field="82" count="1">
            <x v="2724"/>
          </reference>
        </references>
      </pivotArea>
    </format>
    <format dxfId="340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18"/>
          </reference>
        </references>
      </pivotArea>
    </format>
    <format dxfId="340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x v="2793"/>
          </reference>
        </references>
      </pivotArea>
    </format>
    <format dxfId="339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x v="2794"/>
          </reference>
        </references>
      </pivotArea>
    </format>
    <format dxfId="339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x v="2795"/>
          </reference>
        </references>
      </pivotArea>
    </format>
    <format dxfId="339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305"/>
          </reference>
          <reference field="82" count="1">
            <x v="2838"/>
          </reference>
        </references>
      </pivotArea>
    </format>
    <format dxfId="339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310"/>
          </reference>
          <reference field="82" count="1">
            <x v="2837"/>
          </reference>
        </references>
      </pivotArea>
    </format>
    <format dxfId="339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314"/>
          </reference>
          <reference field="82" count="1">
            <x v="2839"/>
          </reference>
        </references>
      </pivotArea>
    </format>
    <format dxfId="339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x v="2793"/>
          </reference>
        </references>
      </pivotArea>
    </format>
    <format dxfId="339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x v="2794"/>
          </reference>
        </references>
      </pivotArea>
    </format>
    <format dxfId="339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x v="2795"/>
          </reference>
        </references>
      </pivotArea>
    </format>
    <format dxfId="3391">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x v="2860"/>
          </reference>
        </references>
      </pivotArea>
    </format>
    <format dxfId="339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349"/>
          </reference>
          <reference field="82" count="1">
            <x v="2891"/>
          </reference>
        </references>
      </pivotArea>
    </format>
    <format dxfId="338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211"/>
          </reference>
          <reference field="82" count="1">
            <x v="2701"/>
          </reference>
        </references>
      </pivotArea>
    </format>
    <format dxfId="338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210"/>
          </reference>
          <reference field="82" count="1">
            <x v="2700"/>
          </reference>
        </references>
      </pivotArea>
    </format>
    <format dxfId="338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348"/>
          </reference>
          <reference field="82" count="1">
            <x v="2913"/>
          </reference>
        </references>
      </pivotArea>
    </format>
    <format dxfId="338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x v="2870"/>
          </reference>
        </references>
      </pivotArea>
    </format>
    <format dxfId="338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x v="2871"/>
          </reference>
        </references>
      </pivotArea>
    </format>
    <format dxfId="338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x v="2872"/>
          </reference>
        </references>
      </pivotArea>
    </format>
    <format dxfId="338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x v="2873"/>
          </reference>
        </references>
      </pivotArea>
    </format>
    <format dxfId="338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211"/>
          </reference>
          <reference field="82" count="1">
            <x v="2701"/>
          </reference>
        </references>
      </pivotArea>
    </format>
    <format dxfId="338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210"/>
          </reference>
          <reference field="82" count="1">
            <x v="2700"/>
          </reference>
        </references>
      </pivotArea>
    </format>
    <format dxfId="338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x v="2870"/>
          </reference>
        </references>
      </pivotArea>
    </format>
    <format dxfId="337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x v="2871"/>
          </reference>
        </references>
      </pivotArea>
    </format>
    <format dxfId="337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x v="2872"/>
          </reference>
        </references>
      </pivotArea>
    </format>
    <format dxfId="337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x v="2873"/>
          </reference>
        </references>
      </pivotArea>
    </format>
    <format dxfId="337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x v="2870"/>
          </reference>
        </references>
      </pivotArea>
    </format>
    <format dxfId="337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x v="2871"/>
          </reference>
        </references>
      </pivotArea>
    </format>
    <format dxfId="337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x v="2872"/>
          </reference>
        </references>
      </pivotArea>
    </format>
    <format dxfId="337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x v="2873"/>
          </reference>
        </references>
      </pivotArea>
    </format>
    <format dxfId="337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224"/>
          </reference>
          <reference field="82" count="1">
            <x v="2795"/>
          </reference>
        </references>
      </pivotArea>
    </format>
    <format dxfId="337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302"/>
          </reference>
          <reference field="82" count="1">
            <x v="2820"/>
          </reference>
        </references>
      </pivotArea>
    </format>
    <format dxfId="337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301"/>
          </reference>
          <reference field="82" count="1">
            <x v="2819"/>
          </reference>
        </references>
      </pivotArea>
    </format>
    <format dxfId="336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x v="2719"/>
          </reference>
        </references>
      </pivotArea>
    </format>
    <format dxfId="336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x v="2720"/>
          </reference>
        </references>
      </pivotArea>
    </format>
    <format dxfId="336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21"/>
          </reference>
        </references>
      </pivotArea>
    </format>
    <format dxfId="336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265"/>
          </reference>
          <reference field="82" count="1">
            <x v="2766"/>
          </reference>
        </references>
      </pivotArea>
    </format>
    <format dxfId="336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255"/>
          </reference>
          <reference field="82" count="1">
            <x v="2767"/>
          </reference>
        </references>
      </pivotArea>
    </format>
    <format dxfId="336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266"/>
          </reference>
          <reference field="82" count="1">
            <x v="2768"/>
          </reference>
        </references>
      </pivotArea>
    </format>
    <format dxfId="336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267"/>
          </reference>
          <reference field="82" count="1">
            <x v="2769"/>
          </reference>
        </references>
      </pivotArea>
    </format>
    <format dxfId="336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290"/>
          </reference>
          <reference field="82" count="1">
            <x v="2826"/>
          </reference>
        </references>
      </pivotArea>
    </format>
    <format dxfId="336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309"/>
          </reference>
          <reference field="82" count="1">
            <x v="2830"/>
          </reference>
        </references>
      </pivotArea>
    </format>
    <format dxfId="336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310"/>
          </reference>
          <reference field="82" count="1">
            <x v="2831"/>
          </reference>
        </references>
      </pivotArea>
    </format>
    <format dxfId="335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x v="2867"/>
          </reference>
        </references>
      </pivotArea>
    </format>
    <format dxfId="335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x v="2868"/>
          </reference>
        </references>
      </pivotArea>
    </format>
    <format dxfId="335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220"/>
          </reference>
          <reference field="82" count="1">
            <x v="2711"/>
          </reference>
        </references>
      </pivotArea>
    </format>
    <format dxfId="335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222"/>
          </reference>
          <reference field="82" count="1">
            <x v="2713"/>
          </reference>
        </references>
      </pivotArea>
    </format>
    <format dxfId="335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223"/>
          </reference>
          <reference field="82" count="1">
            <x v="2714"/>
          </reference>
        </references>
      </pivotArea>
    </format>
    <format dxfId="335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x v="2715"/>
          </reference>
        </references>
      </pivotArea>
    </format>
    <format dxfId="335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221"/>
          </reference>
          <reference field="82" count="1">
            <x v="2712"/>
          </reference>
        </references>
      </pivotArea>
    </format>
    <format dxfId="335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x v="2719"/>
          </reference>
        </references>
      </pivotArea>
    </format>
    <format dxfId="3351">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x v="2720"/>
          </reference>
        </references>
      </pivotArea>
    </format>
    <format dxfId="335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x v="2719"/>
          </reference>
        </references>
      </pivotArea>
    </format>
    <format dxfId="334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x v="2720"/>
          </reference>
        </references>
      </pivotArea>
    </format>
    <format dxfId="334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x v="2721"/>
          </reference>
        </references>
      </pivotArea>
    </format>
    <format dxfId="334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263"/>
          </reference>
          <reference field="82" count="1">
            <x v="2762"/>
          </reference>
        </references>
      </pivotArea>
    </format>
    <format dxfId="334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261"/>
          </reference>
          <reference field="82" count="1">
            <x v="2763"/>
          </reference>
        </references>
      </pivotArea>
    </format>
    <format dxfId="334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264"/>
          </reference>
          <reference field="82" count="1">
            <x v="2764"/>
          </reference>
        </references>
      </pivotArea>
    </format>
    <format dxfId="334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256"/>
          </reference>
          <reference field="82" count="1">
            <x v="2765"/>
          </reference>
        </references>
      </pivotArea>
    </format>
    <format dxfId="334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222"/>
          </reference>
          <reference field="82" count="1">
            <x v="2827"/>
          </reference>
        </references>
      </pivotArea>
    </format>
    <format dxfId="334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288"/>
          </reference>
          <reference field="82" count="1">
            <x v="2828"/>
          </reference>
        </references>
      </pivotArea>
    </format>
    <format dxfId="334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308"/>
          </reference>
          <reference field="82" count="1">
            <x v="2829"/>
          </reference>
        </references>
      </pivotArea>
    </format>
    <format dxfId="3340">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x v="2867"/>
          </reference>
        </references>
      </pivotArea>
    </format>
    <format dxfId="333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225"/>
          </reference>
          <reference field="82" count="1">
            <x v="2716"/>
          </reference>
        </references>
      </pivotArea>
    </format>
    <format dxfId="333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x v="2715"/>
          </reference>
        </references>
      </pivotArea>
    </format>
    <format dxfId="3337">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x v="2712"/>
          </reference>
        </references>
      </pivotArea>
    </format>
    <format dxfId="333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x v="2719"/>
          </reference>
        </references>
      </pivotArea>
    </format>
    <format dxfId="333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x v="2720"/>
          </reference>
        </references>
      </pivotArea>
    </format>
    <format dxfId="333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210"/>
          </reference>
          <reference field="82" count="1">
            <x v="2705"/>
          </reference>
        </references>
      </pivotArea>
    </format>
    <format dxfId="333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214"/>
          </reference>
          <reference field="82" count="1">
            <x v="2704"/>
          </reference>
        </references>
      </pivotArea>
    </format>
    <format dxfId="333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212"/>
          </reference>
          <reference field="82" count="1">
            <x v="2702"/>
          </reference>
        </references>
      </pivotArea>
    </format>
    <format dxfId="333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213"/>
          </reference>
          <reference field="82" count="1">
            <x v="2703"/>
          </reference>
        </references>
      </pivotArea>
    </format>
    <format dxfId="333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x v="2778"/>
          </reference>
        </references>
      </pivotArea>
    </format>
    <format dxfId="332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303"/>
          </reference>
          <reference field="82" count="1">
            <x v="2821"/>
          </reference>
        </references>
      </pivotArea>
    </format>
    <format dxfId="332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304"/>
          </reference>
          <reference field="82" count="1">
            <x v="2822"/>
          </reference>
        </references>
      </pivotArea>
    </format>
    <format dxfId="332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305"/>
          </reference>
          <reference field="82" count="1">
            <x v="2823"/>
          </reference>
        </references>
      </pivotArea>
    </format>
    <format dxfId="332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x v="2833"/>
          </reference>
        </references>
      </pivotArea>
    </format>
    <format dxfId="332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x v="2834"/>
          </reference>
        </references>
      </pivotArea>
    </format>
    <format dxfId="332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x v="2832"/>
          </reference>
        </references>
      </pivotArea>
    </format>
    <format dxfId="3323">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x v="2778"/>
          </reference>
        </references>
      </pivotArea>
    </format>
    <format dxfId="332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306"/>
          </reference>
          <reference field="82" count="1">
            <x v="2824"/>
          </reference>
        </references>
      </pivotArea>
    </format>
    <format dxfId="332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307"/>
          </reference>
          <reference field="82" count="1">
            <x v="2825"/>
          </reference>
        </references>
      </pivotArea>
    </format>
    <format dxfId="332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290"/>
          </reference>
          <reference field="82" count="1">
            <x v="2826"/>
          </reference>
        </references>
      </pivotArea>
    </format>
    <format dxfId="331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x v="2833"/>
          </reference>
        </references>
      </pivotArea>
    </format>
    <format dxfId="331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x v="2834"/>
          </reference>
        </references>
      </pivotArea>
    </format>
    <format dxfId="331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312"/>
          </reference>
          <reference field="82" count="1">
            <x v="2835"/>
          </reference>
        </references>
      </pivotArea>
    </format>
    <format dxfId="331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x v="2832"/>
          </reference>
        </references>
      </pivotArea>
    </format>
    <format dxfId="331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313"/>
          </reference>
          <reference field="82" count="1">
            <x v="2836"/>
          </reference>
        </references>
      </pivotArea>
    </format>
    <format dxfId="331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337"/>
          </reference>
          <reference field="82" count="1">
            <x v="2865"/>
          </reference>
        </references>
      </pivotArea>
    </format>
    <format dxfId="3313">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338"/>
          </reference>
          <reference field="82" count="1">
            <x v="2866"/>
          </reference>
        </references>
      </pivotArea>
    </format>
    <format dxfId="331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352"/>
          </reference>
          <reference field="82" count="1">
            <x v="2894"/>
          </reference>
        </references>
      </pivotArea>
    </format>
    <format dxfId="331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353"/>
          </reference>
          <reference field="82" count="1">
            <x v="2895"/>
          </reference>
        </references>
      </pivotArea>
    </format>
    <format dxfId="331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354"/>
          </reference>
          <reference field="82" count="1">
            <x v="2896"/>
          </reference>
        </references>
      </pivotArea>
    </format>
    <format dxfId="330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343"/>
          </reference>
          <reference field="82" count="1">
            <x v="2872"/>
          </reference>
        </references>
      </pivotArea>
    </format>
    <format dxfId="330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274"/>
          </reference>
          <reference field="82" count="1">
            <x v="2787"/>
          </reference>
        </references>
      </pivotArea>
    </format>
    <format dxfId="330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356"/>
          </reference>
          <reference field="82" count="1">
            <x v="2901"/>
          </reference>
        </references>
      </pivotArea>
    </format>
    <format dxfId="330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357"/>
          </reference>
          <reference field="82" count="1">
            <x v="2902"/>
          </reference>
        </references>
      </pivotArea>
    </format>
    <format dxfId="330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315"/>
          </reference>
          <reference field="82" count="1">
            <x v="2903"/>
          </reference>
        </references>
      </pivotArea>
    </format>
    <format dxfId="330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274"/>
          </reference>
          <reference field="82" count="1">
            <x v="2898"/>
          </reference>
        </references>
      </pivotArea>
    </format>
    <format dxfId="330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356"/>
          </reference>
          <reference field="82" count="1">
            <x v="2899"/>
          </reference>
        </references>
      </pivotArea>
    </format>
    <format dxfId="330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316"/>
          </reference>
          <reference field="82" count="1">
            <x v="2900"/>
          </reference>
        </references>
      </pivotArea>
    </format>
    <format dxfId="330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355"/>
          </reference>
          <reference field="82" count="1">
            <x v="2897"/>
          </reference>
        </references>
      </pivotArea>
    </format>
    <format dxfId="330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228"/>
          </reference>
          <reference field="82" count="1">
            <x v="2729"/>
          </reference>
        </references>
      </pivotArea>
    </format>
    <format dxfId="329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235"/>
          </reference>
          <reference field="82" count="1">
            <x v="2730"/>
          </reference>
        </references>
      </pivotArea>
    </format>
    <format dxfId="3298">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325"/>
          </reference>
          <reference field="82" count="1">
            <x v="2851"/>
          </reference>
        </references>
      </pivotArea>
    </format>
    <format dxfId="3297">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295"/>
          </reference>
          <reference field="82" count="1">
            <x v="2909"/>
          </reference>
        </references>
      </pivotArea>
    </format>
    <format dxfId="3296">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293"/>
          </reference>
          <reference field="82" count="1">
            <x v="2910"/>
          </reference>
        </references>
      </pivotArea>
    </format>
    <format dxfId="3295">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359"/>
          </reference>
          <reference field="82" count="1">
            <x v="2912"/>
          </reference>
        </references>
      </pivotArea>
    </format>
    <format dxfId="329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x v="2751"/>
          </reference>
        </references>
      </pivotArea>
    </format>
    <format dxfId="329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x v="2746"/>
          </reference>
        </references>
      </pivotArea>
    </format>
    <format dxfId="329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x v="2752"/>
          </reference>
        </references>
      </pivotArea>
    </format>
    <format dxfId="329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x v="2753"/>
          </reference>
        </references>
      </pivotArea>
    </format>
    <format dxfId="329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x v="2711"/>
          </reference>
        </references>
      </pivotArea>
    </format>
    <format dxfId="328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x v="2878"/>
          </reference>
        </references>
      </pivotArea>
    </format>
    <format dxfId="328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x v="2879"/>
          </reference>
        </references>
      </pivotArea>
    </format>
    <format dxfId="328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x v="2881"/>
          </reference>
        </references>
      </pivotArea>
    </format>
    <format dxfId="328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x v="2880"/>
          </reference>
        </references>
      </pivotArea>
    </format>
    <format dxfId="328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x v="2751"/>
          </reference>
        </references>
      </pivotArea>
    </format>
    <format dxfId="328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x v="2746"/>
          </reference>
        </references>
      </pivotArea>
    </format>
    <format dxfId="328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x v="2752"/>
          </reference>
        </references>
      </pivotArea>
    </format>
    <format dxfId="328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x v="2753"/>
          </reference>
        </references>
      </pivotArea>
    </format>
    <format dxfId="328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x v="2711"/>
          </reference>
        </references>
      </pivotArea>
    </format>
    <format dxfId="328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x v="2878"/>
          </reference>
        </references>
      </pivotArea>
    </format>
    <format dxfId="327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x v="2879"/>
          </reference>
        </references>
      </pivotArea>
    </format>
    <format dxfId="327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x v="2881"/>
          </reference>
        </references>
      </pivotArea>
    </format>
    <format dxfId="327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x v="2880"/>
          </reference>
        </references>
      </pivotArea>
    </format>
    <format dxfId="327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x v="2751"/>
          </reference>
        </references>
      </pivotArea>
    </format>
    <format dxfId="327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x v="2746"/>
          </reference>
        </references>
      </pivotArea>
    </format>
    <format dxfId="327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x v="2752"/>
          </reference>
        </references>
      </pivotArea>
    </format>
    <format dxfId="327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x v="2753"/>
          </reference>
        </references>
      </pivotArea>
    </format>
    <format dxfId="327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x v="2711"/>
          </reference>
        </references>
      </pivotArea>
    </format>
    <format dxfId="327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x v="2878"/>
          </reference>
        </references>
      </pivotArea>
    </format>
    <format dxfId="327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x v="2879"/>
          </reference>
        </references>
      </pivotArea>
    </format>
    <format dxfId="326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x v="2881"/>
          </reference>
        </references>
      </pivotArea>
    </format>
    <format dxfId="326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x v="2880"/>
          </reference>
        </references>
      </pivotArea>
    </format>
    <format dxfId="326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358"/>
          </reference>
          <reference field="82" count="1">
            <x v="2905"/>
          </reference>
        </references>
      </pivotArea>
    </format>
    <format dxfId="326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x v="2908"/>
          </reference>
        </references>
      </pivotArea>
    </format>
    <format dxfId="326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x v="2906"/>
          </reference>
        </references>
      </pivotArea>
    </format>
    <format dxfId="326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x v="2907"/>
          </reference>
        </references>
      </pivotArea>
    </format>
    <format dxfId="326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x v="2715"/>
          </reference>
        </references>
      </pivotArea>
    </format>
    <format dxfId="326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x v="2886"/>
          </reference>
        </references>
      </pivotArea>
    </format>
    <format dxfId="326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x v="2887"/>
          </reference>
        </references>
      </pivotArea>
    </format>
    <format dxfId="326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x v="2888"/>
          </reference>
        </references>
      </pivotArea>
    </format>
    <format dxfId="325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x v="2715"/>
          </reference>
        </references>
      </pivotArea>
    </format>
    <format dxfId="325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x v="2886"/>
          </reference>
        </references>
      </pivotArea>
    </format>
    <format dxfId="325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x v="2887"/>
          </reference>
        </references>
      </pivotArea>
    </format>
    <format dxfId="325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x v="2888"/>
          </reference>
        </references>
      </pivotArea>
    </format>
    <format dxfId="325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219"/>
          </reference>
          <reference field="82" count="1">
            <x v="2875"/>
          </reference>
        </references>
      </pivotArea>
    </format>
    <format dxfId="325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346"/>
          </reference>
          <reference field="82" count="1">
            <x v="2876"/>
          </reference>
        </references>
      </pivotArea>
    </format>
    <format dxfId="325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345"/>
          </reference>
          <reference field="82" count="1">
            <x v="2874"/>
          </reference>
        </references>
      </pivotArea>
    </format>
    <format dxfId="325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347"/>
          </reference>
          <reference field="82" count="1">
            <x v="2877"/>
          </reference>
        </references>
      </pivotArea>
    </format>
    <format dxfId="325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323"/>
          </reference>
          <reference field="82" count="1">
            <x v="2849"/>
          </reference>
        </references>
      </pivotArea>
    </format>
    <format dxfId="325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324"/>
          </reference>
          <reference field="82" count="1">
            <x v="2850"/>
          </reference>
        </references>
      </pivotArea>
    </format>
    <format dxfId="324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322"/>
          </reference>
          <reference field="82" count="1">
            <x v="2848"/>
          </reference>
        </references>
      </pivotArea>
    </format>
    <format dxfId="324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x v="2751"/>
          </reference>
        </references>
      </pivotArea>
    </format>
    <format dxfId="324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x v="2746"/>
          </reference>
        </references>
      </pivotArea>
    </format>
    <format dxfId="324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x v="2752"/>
          </reference>
        </references>
      </pivotArea>
    </format>
    <format dxfId="324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x v="2753"/>
          </reference>
        </references>
      </pivotArea>
    </format>
    <format dxfId="324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x v="2882"/>
          </reference>
        </references>
      </pivotArea>
    </format>
    <format dxfId="324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x v="2884"/>
          </reference>
        </references>
      </pivotArea>
    </format>
    <format dxfId="324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x v="2885"/>
          </reference>
        </references>
      </pivotArea>
    </format>
    <format dxfId="324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x v="2883"/>
          </reference>
        </references>
      </pivotArea>
    </format>
    <format dxfId="324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x v="2882"/>
          </reference>
        </references>
      </pivotArea>
    </format>
    <format dxfId="323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x v="2884"/>
          </reference>
        </references>
      </pivotArea>
    </format>
    <format dxfId="323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x v="2885"/>
          </reference>
        </references>
      </pivotArea>
    </format>
    <format dxfId="323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x v="2883"/>
          </reference>
        </references>
      </pivotArea>
    </format>
    <format dxfId="3236">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216"/>
          </reference>
          <reference field="82" count="1">
            <x v="2707"/>
          </reference>
        </references>
      </pivotArea>
    </format>
    <format dxfId="3235">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360"/>
          </reference>
          <reference field="82" count="1">
            <x v="2914"/>
          </reference>
        </references>
      </pivotArea>
    </format>
    <format dxfId="323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x v="2741"/>
          </reference>
        </references>
      </pivotArea>
    </format>
    <format dxfId="3233">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217"/>
          </reference>
          <reference field="82" count="1">
            <x v="2708"/>
          </reference>
        </references>
      </pivotArea>
    </format>
    <format dxfId="3232">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x v="2742"/>
          </reference>
        </references>
      </pivotArea>
    </format>
    <format dxfId="323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362"/>
          </reference>
          <reference field="82" count="1">
            <x v="2916"/>
          </reference>
        </references>
      </pivotArea>
    </format>
    <format dxfId="323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x v="2918"/>
          </reference>
        </references>
      </pivotArea>
    </format>
    <format dxfId="322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363"/>
          </reference>
          <reference field="82" count="1">
            <x v="2917"/>
          </reference>
        </references>
      </pivotArea>
    </format>
    <format dxfId="3228">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239"/>
          </reference>
          <reference field="82" count="1">
            <x v="2734"/>
          </reference>
        </references>
      </pivotArea>
    </format>
    <format dxfId="322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x v="2918"/>
          </reference>
        </references>
      </pivotArea>
    </format>
    <format dxfId="322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215"/>
          </reference>
          <reference field="82" count="1">
            <x v="2706"/>
          </reference>
        </references>
      </pivotArea>
    </format>
    <format dxfId="322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292"/>
          </reference>
          <reference field="82" count="1">
            <x v="2911"/>
          </reference>
        </references>
      </pivotArea>
    </format>
    <format dxfId="322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x v="2841"/>
          </reference>
        </references>
      </pivotArea>
    </format>
    <format dxfId="322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317"/>
          </reference>
          <reference field="82" count="1">
            <x v="2842"/>
          </reference>
        </references>
      </pivotArea>
    </format>
    <format dxfId="322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322"/>
          </reference>
          <reference field="82" count="1">
            <x v="2847"/>
          </reference>
        </references>
      </pivotArea>
    </format>
    <format dxfId="322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320"/>
          </reference>
          <reference field="82" count="1">
            <x v="2845"/>
          </reference>
        </references>
      </pivotArea>
    </format>
    <format dxfId="322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319"/>
          </reference>
          <reference field="82" count="1">
            <x v="2844"/>
          </reference>
        </references>
      </pivotArea>
    </format>
    <format dxfId="321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318"/>
          </reference>
          <reference field="82" count="1">
            <x v="2843"/>
          </reference>
        </references>
      </pivotArea>
    </format>
    <format dxfId="321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x v="2840"/>
          </reference>
        </references>
      </pivotArea>
    </format>
    <format dxfId="321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321"/>
          </reference>
          <reference field="82" count="1">
            <x v="2846"/>
          </reference>
        </references>
      </pivotArea>
    </format>
    <format dxfId="321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361"/>
          </reference>
          <reference field="82" count="1">
            <x v="2915"/>
          </reference>
        </references>
      </pivotArea>
    </format>
    <format dxfId="321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242"/>
          </reference>
          <reference field="82" count="1">
            <x v="2740"/>
          </reference>
        </references>
      </pivotArea>
    </format>
    <format dxfId="321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x v="2738"/>
          </reference>
        </references>
      </pivotArea>
    </format>
    <format dxfId="321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x v="2841"/>
          </reference>
        </references>
      </pivotArea>
    </format>
    <format dxfId="321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x v="2840"/>
          </reference>
        </references>
      </pivotArea>
    </format>
    <format dxfId="321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x v="2739"/>
          </reference>
        </references>
      </pivotArea>
    </format>
    <format dxfId="321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276"/>
          </reference>
          <reference field="82" count="1">
            <x v="2904"/>
          </reference>
        </references>
      </pivotArea>
    </format>
    <format dxfId="3209">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334"/>
          </reference>
          <reference field="82" count="1">
            <x v="2862"/>
          </reference>
        </references>
      </pivotArea>
    </format>
    <format dxfId="3208">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336"/>
          </reference>
          <reference field="82" count="1">
            <x v="2864"/>
          </reference>
        </references>
      </pivotArea>
    </format>
    <format dxfId="320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237"/>
          </reference>
          <reference field="82" count="1">
            <x v="2732"/>
          </reference>
        </references>
      </pivotArea>
    </format>
    <format dxfId="320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236"/>
          </reference>
          <reference field="82" count="1">
            <x v="2731"/>
          </reference>
        </references>
      </pivotArea>
    </format>
    <format dxfId="3205">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261"/>
          </reference>
          <reference field="82" count="1">
            <x v="2760"/>
          </reference>
        </references>
      </pivotArea>
    </format>
    <format dxfId="320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262"/>
          </reference>
          <reference field="82" count="1">
            <x v="2761"/>
          </reference>
        </references>
      </pivotArea>
    </format>
    <format dxfId="320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259"/>
          </reference>
          <reference field="82" count="1">
            <x v="2758"/>
          </reference>
        </references>
      </pivotArea>
    </format>
    <format dxfId="320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260"/>
          </reference>
          <reference field="82" count="1">
            <x v="2759"/>
          </reference>
        </references>
      </pivotArea>
    </format>
    <format dxfId="3201">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255"/>
          </reference>
          <reference field="82" count="1">
            <x v="2754"/>
          </reference>
        </references>
      </pivotArea>
    </format>
    <format dxfId="320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256"/>
          </reference>
          <reference field="82" count="1">
            <x v="2755"/>
          </reference>
        </references>
      </pivotArea>
    </format>
    <format dxfId="319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257"/>
          </reference>
          <reference field="82" count="1">
            <x v="2756"/>
          </reference>
        </references>
      </pivotArea>
    </format>
    <format dxfId="319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258"/>
          </reference>
          <reference field="82" count="1">
            <x v="2757"/>
          </reference>
        </references>
      </pivotArea>
    </format>
    <format dxfId="3197">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349"/>
          </reference>
          <reference field="82" count="1">
            <x v="2891"/>
          </reference>
        </references>
      </pivotArea>
    </format>
    <format dxfId="3196">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x v="2701"/>
          </reference>
        </references>
      </pivotArea>
    </format>
    <format dxfId="3195">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x v="2892"/>
          </reference>
        </references>
      </pivotArea>
    </format>
    <format dxfId="319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x v="2893"/>
          </reference>
        </references>
      </pivotArea>
    </format>
    <format dxfId="3193">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x v="2856"/>
          </reference>
        </references>
      </pivotArea>
    </format>
    <format dxfId="319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44"/>
          </reference>
          <reference field="85" count="1" selected="0">
            <x v="4"/>
          </reference>
          <reference field="87" count="1">
            <x v="3631"/>
          </reference>
        </references>
      </pivotArea>
    </format>
    <format dxfId="319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x v="3633"/>
          </reference>
        </references>
      </pivotArea>
    </format>
    <format dxfId="319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selected="0">
            <x v="2747"/>
          </reference>
          <reference field="85" count="1" selected="0">
            <x v="4"/>
          </reference>
          <reference field="87" count="1">
            <x v="3634"/>
          </reference>
        </references>
      </pivotArea>
    </format>
    <format dxfId="318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selected="0">
            <x v="2743"/>
          </reference>
          <reference field="85" count="1" selected="0">
            <x v="4"/>
          </reference>
          <reference field="87" count="1">
            <x v="3630"/>
          </reference>
        </references>
      </pivotArea>
    </format>
    <format dxfId="318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selected="0">
            <x v="2748"/>
          </reference>
          <reference field="85" count="1" selected="0">
            <x v="4"/>
          </reference>
          <reference field="87" count="1">
            <x v="3635"/>
          </reference>
        </references>
      </pivotArea>
    </format>
    <format dxfId="318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selected="0">
            <x v="2749"/>
          </reference>
          <reference field="85" count="1" selected="0">
            <x v="4"/>
          </reference>
          <reference field="87" count="1">
            <x v="3636"/>
          </reference>
        </references>
      </pivotArea>
    </format>
    <format dxfId="318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selected="0">
            <x v="2750"/>
          </reference>
          <reference field="85" count="1" selected="0">
            <x v="4"/>
          </reference>
          <reference field="87" count="1">
            <x v="3637"/>
          </reference>
        </references>
      </pivotArea>
    </format>
    <format dxfId="318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selected="0">
            <x v="2745"/>
          </reference>
          <reference field="85" count="1" selected="0">
            <x v="4"/>
          </reference>
          <reference field="87" count="1">
            <x v="3632"/>
          </reference>
        </references>
      </pivotArea>
    </format>
    <format dxfId="318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4"/>
          </reference>
          <reference field="85" count="1" selected="0">
            <x v="0"/>
          </reference>
          <reference field="87" count="1">
            <x v="3674"/>
          </reference>
        </references>
      </pivotArea>
    </format>
    <format dxfId="3183">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5"/>
          </reference>
          <reference field="85" count="1" selected="0">
            <x v="0"/>
          </reference>
          <reference field="87" count="1">
            <x v="3675"/>
          </reference>
        </references>
      </pivotArea>
    </format>
    <format dxfId="318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6"/>
          </reference>
          <reference field="85" count="1" selected="0">
            <x v="0"/>
          </reference>
          <reference field="87" count="1">
            <x v="3676"/>
          </reference>
        </references>
      </pivotArea>
    </format>
    <format dxfId="3181">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x v="3719"/>
          </reference>
        </references>
      </pivotArea>
    </format>
    <format dxfId="318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x v="3720"/>
          </reference>
        </references>
      </pivotArea>
    </format>
    <format dxfId="317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317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x v="3756"/>
          </reference>
        </references>
      </pivotArea>
    </format>
    <format dxfId="317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317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x v="3755"/>
          </reference>
        </references>
      </pivotArea>
    </format>
    <format dxfId="3175">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x v="3719"/>
          </reference>
        </references>
      </pivotArea>
    </format>
    <format dxfId="317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x v="3721"/>
          </reference>
        </references>
      </pivotArea>
    </format>
    <format dxfId="317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x v="3674"/>
          </reference>
        </references>
      </pivotArea>
    </format>
    <format dxfId="317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x v="3675"/>
          </reference>
        </references>
      </pivotArea>
    </format>
    <format dxfId="317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x v="3676"/>
          </reference>
        </references>
      </pivotArea>
    </format>
    <format dxfId="317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x v="3673"/>
          </reference>
        </references>
      </pivotArea>
    </format>
    <format dxfId="3169">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x v="3719"/>
          </reference>
        </references>
      </pivotArea>
    </format>
    <format dxfId="3168">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x v="3721"/>
          </reference>
        </references>
      </pivotArea>
    </format>
    <format dxfId="316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x v="3674"/>
          </reference>
        </references>
      </pivotArea>
    </format>
    <format dxfId="316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x v="3675"/>
          </reference>
        </references>
      </pivotArea>
    </format>
    <format dxfId="316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x v="3676"/>
          </reference>
        </references>
      </pivotArea>
    </format>
    <format dxfId="316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x v="3673"/>
          </reference>
        </references>
      </pivotArea>
    </format>
    <format dxfId="316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x v="3719"/>
          </reference>
        </references>
      </pivotArea>
    </format>
    <format dxfId="3162">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x v="3721"/>
          </reference>
        </references>
      </pivotArea>
    </format>
    <format dxfId="316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selected="0">
            <x v="2726"/>
          </reference>
          <reference field="85" count="1" selected="0">
            <x v="7"/>
          </reference>
          <reference field="87" count="1">
            <x v="3620"/>
          </reference>
        </references>
      </pivotArea>
    </format>
    <format dxfId="3160">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8"/>
          </reference>
          <reference field="85" count="1" selected="0">
            <x v="7"/>
          </reference>
          <reference field="87" count="1">
            <x v="3613"/>
          </reference>
        </references>
      </pivotArea>
    </format>
    <format dxfId="315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81"/>
          </reference>
          <reference field="82" count="1" selected="0">
            <x v="2796"/>
          </reference>
          <reference field="85" count="1" selected="0">
            <x v="0"/>
          </reference>
          <reference field="87" count="1">
            <x v="3669"/>
          </reference>
        </references>
      </pivotArea>
    </format>
    <format dxfId="315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 field="85" count="1" selected="0">
            <x v="0"/>
          </reference>
          <reference field="87" count="1">
            <x v="3672"/>
          </reference>
        </references>
      </pivotArea>
    </format>
    <format dxfId="315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selected="0">
            <x v="2797"/>
          </reference>
          <reference field="85" count="1" selected="0">
            <x v="0"/>
          </reference>
          <reference field="87" count="1">
            <x v="3670"/>
          </reference>
        </references>
      </pivotArea>
    </format>
    <format dxfId="315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selected="0">
            <x v="2798"/>
          </reference>
          <reference field="85" count="1" selected="0">
            <x v="0"/>
          </reference>
          <reference field="87" count="1">
            <x v="3671"/>
          </reference>
        </references>
      </pivotArea>
    </format>
    <format dxfId="3155">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x v="3719"/>
          </reference>
        </references>
      </pivotArea>
    </format>
    <format dxfId="315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x v="3720"/>
          </reference>
        </references>
      </pivotArea>
    </format>
    <format dxfId="315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315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x v="3756"/>
          </reference>
        </references>
      </pivotArea>
    </format>
    <format dxfId="315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315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x v="3755"/>
          </reference>
        </references>
      </pivotArea>
    </format>
    <format dxfId="3149">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6"/>
          </reference>
          <reference field="85" count="1" selected="0">
            <x v="7"/>
          </reference>
          <reference field="87" count="1">
            <x v="3614"/>
          </reference>
        </references>
      </pivotArea>
    </format>
    <format dxfId="3148">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selected="0">
            <x v="2727"/>
          </reference>
          <reference field="85" count="1" selected="0">
            <x v="7"/>
          </reference>
          <reference field="87" count="1">
            <x v="3620"/>
          </reference>
        </references>
      </pivotArea>
    </format>
    <format dxfId="314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80"/>
          </reference>
          <reference field="85" count="1" selected="0">
            <x v="4"/>
          </reference>
          <reference field="87" count="1">
            <x v="3631"/>
          </reference>
        </references>
      </pivotArea>
    </format>
    <format dxfId="314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selected="0">
            <x v="2782"/>
          </reference>
          <reference field="85" count="1" selected="0">
            <x v="4"/>
          </reference>
          <reference field="87" count="1">
            <x v="3633"/>
          </reference>
        </references>
      </pivotArea>
    </format>
    <format dxfId="314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selected="0">
            <x v="2783"/>
          </reference>
          <reference field="85" count="1" selected="0">
            <x v="4"/>
          </reference>
          <reference field="87" count="1">
            <x v="3634"/>
          </reference>
        </references>
      </pivotArea>
    </format>
    <format dxfId="314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selected="0">
            <x v="2779"/>
          </reference>
          <reference field="85" count="1" selected="0">
            <x v="4"/>
          </reference>
          <reference field="87" count="1">
            <x v="3630"/>
          </reference>
        </references>
      </pivotArea>
    </format>
    <format dxfId="314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selected="0">
            <x v="2784"/>
          </reference>
          <reference field="85" count="1" selected="0">
            <x v="4"/>
          </reference>
          <reference field="87" count="1">
            <x v="3635"/>
          </reference>
        </references>
      </pivotArea>
    </format>
    <format dxfId="314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selected="0">
            <x v="2785"/>
          </reference>
          <reference field="85" count="1" selected="0">
            <x v="4"/>
          </reference>
          <reference field="87" count="1">
            <x v="3636"/>
          </reference>
        </references>
      </pivotArea>
    </format>
    <format dxfId="314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selected="0">
            <x v="2786"/>
          </reference>
          <reference field="85" count="1" selected="0">
            <x v="4"/>
          </reference>
          <reference field="87" count="1">
            <x v="3637"/>
          </reference>
        </references>
      </pivotArea>
    </format>
    <format dxfId="314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selected="0">
            <x v="2781"/>
          </reference>
          <reference field="85" count="1" selected="0">
            <x v="4"/>
          </reference>
          <reference field="87" count="1">
            <x v="3632"/>
          </reference>
        </references>
      </pivotArea>
    </format>
    <format dxfId="313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x v="3674"/>
          </reference>
        </references>
      </pivotArea>
    </format>
    <format dxfId="313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x v="3675"/>
          </reference>
        </references>
      </pivotArea>
    </format>
    <format dxfId="313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x v="3676"/>
          </reference>
        </references>
      </pivotArea>
    </format>
    <format dxfId="313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x v="3673"/>
          </reference>
        </references>
      </pivotArea>
    </format>
    <format dxfId="3135">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5"/>
          </reference>
          <reference field="85" count="1" selected="0">
            <x v="7"/>
          </reference>
          <reference field="87" count="1">
            <x v="3614"/>
          </reference>
        </references>
      </pivotArea>
    </format>
    <format dxfId="313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x v="3719"/>
          </reference>
        </references>
      </pivotArea>
    </format>
    <format dxfId="313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x v="3720"/>
          </reference>
        </references>
      </pivotArea>
    </format>
    <format dxfId="313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 field="85" count="1" selected="0">
            <x v="0"/>
          </reference>
          <reference field="87" count="1">
            <x v="3672"/>
          </reference>
        </references>
      </pivotArea>
    </format>
    <format dxfId="313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selected="0">
            <x v="2797"/>
          </reference>
          <reference field="85" count="1" selected="0">
            <x v="0"/>
          </reference>
          <reference field="87" count="1">
            <x v="3670"/>
          </reference>
        </references>
      </pivotArea>
    </format>
    <format dxfId="313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selected="0">
            <x v="2798"/>
          </reference>
          <reference field="85" count="1" selected="0">
            <x v="0"/>
          </reference>
          <reference field="87" count="1">
            <x v="3671"/>
          </reference>
        </references>
      </pivotArea>
    </format>
    <format dxfId="312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x v="3719"/>
          </reference>
        </references>
      </pivotArea>
    </format>
    <format dxfId="312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x v="3720"/>
          </reference>
        </references>
      </pivotArea>
    </format>
    <format dxfId="312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312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x v="3756"/>
          </reference>
        </references>
      </pivotArea>
    </format>
    <format dxfId="312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312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x v="3755"/>
          </reference>
        </references>
      </pivotArea>
    </format>
    <format dxfId="312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x v="3719"/>
          </reference>
        </references>
      </pivotArea>
    </format>
    <format dxfId="3122">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x v="3721"/>
          </reference>
        </references>
      </pivotArea>
    </format>
    <format dxfId="3121">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x v="3674"/>
          </reference>
        </references>
      </pivotArea>
    </format>
    <format dxfId="312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292"/>
          </reference>
          <reference field="82" count="1" selected="0">
            <x v="2810"/>
          </reference>
          <reference field="85" count="1" selected="0">
            <x v="0"/>
          </reference>
          <reference field="87" count="1">
            <x v="3680"/>
          </reference>
        </references>
      </pivotArea>
    </format>
    <format dxfId="311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293"/>
          </reference>
          <reference field="82" count="1" selected="0">
            <x v="2811"/>
          </reference>
          <reference field="85" count="1" selected="0">
            <x v="0"/>
          </reference>
          <reference field="87" count="1">
            <x v="3681"/>
          </reference>
        </references>
      </pivotArea>
    </format>
    <format dxfId="311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294"/>
          </reference>
          <reference field="82" count="1" selected="0">
            <x v="2812"/>
          </reference>
          <reference field="85" count="1" selected="0">
            <x v="0"/>
          </reference>
          <reference field="87" count="1">
            <x v="3682"/>
          </reference>
        </references>
      </pivotArea>
    </format>
    <format dxfId="3117">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230"/>
          </reference>
          <reference field="82" count="1" selected="0">
            <x v="2722"/>
          </reference>
          <reference field="85" count="1" selected="0">
            <x v="7"/>
          </reference>
          <reference field="87" count="1">
            <x v="3616"/>
          </reference>
        </references>
      </pivotArea>
    </format>
    <format dxfId="3116">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723"/>
          </reference>
          <reference field="85" count="1" selected="0">
            <x v="7"/>
          </reference>
          <reference field="87" count="1">
            <x v="3617"/>
          </reference>
        </references>
      </pivotArea>
    </format>
    <format dxfId="311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selected="0">
            <x v="0"/>
          </reference>
          <reference field="87" count="1">
            <x v="3677"/>
          </reference>
        </references>
      </pivotArea>
    </format>
    <format dxfId="311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selected="0">
            <x v="2808"/>
          </reference>
          <reference field="85" count="1" selected="0">
            <x v="0"/>
          </reference>
          <reference field="87" count="1">
            <x v="3678"/>
          </reference>
        </references>
      </pivotArea>
    </format>
    <format dxfId="311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selected="0">
            <x v="2809"/>
          </reference>
          <reference field="85" count="1" selected="0">
            <x v="0"/>
          </reference>
          <reference field="87" count="1">
            <x v="3679"/>
          </reference>
        </references>
      </pivotArea>
    </format>
    <format dxfId="311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x v="3722"/>
          </reference>
        </references>
      </pivotArea>
    </format>
    <format dxfId="311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330"/>
          </reference>
          <reference field="82" count="1" selected="0">
            <x v="2857"/>
          </reference>
          <reference field="85" count="1" selected="0">
            <x v="7"/>
          </reference>
          <reference field="87" count="1">
            <x v="3723"/>
          </reference>
        </references>
      </pivotArea>
    </format>
    <format dxfId="3110">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240"/>
          </reference>
          <reference field="82" count="1" selected="0">
            <x v="2737"/>
          </reference>
          <reference field="85" count="1" selected="0">
            <x v="7"/>
          </reference>
          <reference field="87" count="1">
            <x v="3626"/>
          </reference>
        </references>
      </pivotArea>
    </format>
    <format dxfId="310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selected="0">
            <x v="0"/>
          </reference>
          <reference field="87" count="1">
            <x v="3677"/>
          </reference>
        </references>
      </pivotArea>
    </format>
    <format dxfId="310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selected="0">
            <x v="2808"/>
          </reference>
          <reference field="85" count="1" selected="0">
            <x v="0"/>
          </reference>
          <reference field="87" count="1">
            <x v="3678"/>
          </reference>
        </references>
      </pivotArea>
    </format>
    <format dxfId="310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selected="0">
            <x v="2809"/>
          </reference>
          <reference field="85" count="1" selected="0">
            <x v="0"/>
          </reference>
          <reference field="87" count="1">
            <x v="3679"/>
          </reference>
        </references>
      </pivotArea>
    </format>
    <format dxfId="3106">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x v="3722"/>
          </reference>
        </references>
      </pivotArea>
    </format>
    <format dxfId="310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98"/>
          </reference>
          <reference field="82" count="1" selected="0">
            <x v="2816"/>
          </reference>
          <reference field="85" count="1" selected="0">
            <x v="0"/>
          </reference>
          <reference field="87" count="1">
            <x v="3686"/>
          </reference>
        </references>
      </pivotArea>
    </format>
    <format dxfId="310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299"/>
          </reference>
          <reference field="82" count="1" selected="0">
            <x v="2817"/>
          </reference>
          <reference field="85" count="1" selected="0">
            <x v="0"/>
          </reference>
          <reference field="87" count="1">
            <x v="3687"/>
          </reference>
        </references>
      </pivotArea>
    </format>
    <format dxfId="310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300"/>
          </reference>
          <reference field="82" count="1" selected="0">
            <x v="2818"/>
          </reference>
          <reference field="85" count="1" selected="0">
            <x v="0"/>
          </reference>
          <reference field="87" count="1">
            <x v="3688"/>
          </reference>
        </references>
      </pivotArea>
    </format>
    <format dxfId="310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226"/>
          </reference>
          <reference field="82" count="1" selected="0">
            <x v="2717"/>
          </reference>
          <reference field="85" count="1" selected="0">
            <x v="7"/>
          </reference>
          <reference field="87" count="1">
            <x v="3612"/>
          </reference>
        </references>
      </pivotArea>
    </format>
    <format dxfId="310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x v="3613"/>
          </reference>
        </references>
      </pivotArea>
    </format>
    <format dxfId="310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44"/>
          </reference>
          <reference field="82" count="1" selected="0">
            <x v="2772"/>
          </reference>
          <reference field="85" count="1" selected="0">
            <x v="4"/>
          </reference>
          <reference field="87" count="1">
            <x v="3630"/>
          </reference>
        </references>
      </pivotArea>
    </format>
    <format dxfId="309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250"/>
          </reference>
          <reference field="82" count="1" selected="0">
            <x v="2773"/>
          </reference>
          <reference field="85" count="1" selected="0">
            <x v="4"/>
          </reference>
          <reference field="87" count="1">
            <x v="3636"/>
          </reference>
        </references>
      </pivotArea>
    </format>
    <format dxfId="309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246"/>
          </reference>
          <reference field="82" count="1" selected="0">
            <x v="2770"/>
          </reference>
          <reference field="85" count="1" selected="0">
            <x v="4"/>
          </reference>
          <reference field="87" count="1">
            <x v="3632"/>
          </reference>
        </references>
      </pivotArea>
    </format>
    <format dxfId="309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268"/>
          </reference>
          <reference field="82" count="1" selected="0">
            <x v="2771"/>
          </reference>
          <reference field="85" count="1" selected="0">
            <x v="4"/>
          </reference>
          <reference field="87" count="1">
            <x v="3654"/>
          </reference>
        </references>
      </pivotArea>
    </format>
    <format dxfId="309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95"/>
          </reference>
          <reference field="82" count="1" selected="0">
            <x v="2813"/>
          </reference>
          <reference field="85" count="1" selected="0">
            <x v="0"/>
          </reference>
          <reference field="87" count="1">
            <x v="3683"/>
          </reference>
        </references>
      </pivotArea>
    </format>
    <format dxfId="309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296"/>
          </reference>
          <reference field="82" count="1" selected="0">
            <x v="2814"/>
          </reference>
          <reference field="85" count="1" selected="0">
            <x v="0"/>
          </reference>
          <reference field="87" count="1">
            <x v="3684"/>
          </reference>
        </references>
      </pivotArea>
    </format>
    <format dxfId="309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297"/>
          </reference>
          <reference field="82" count="1" selected="0">
            <x v="2815"/>
          </reference>
          <reference field="85" count="1" selected="0">
            <x v="0"/>
          </reference>
          <reference field="87" count="1">
            <x v="3685"/>
          </reference>
        </references>
      </pivotArea>
    </format>
    <format dxfId="3093">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40"/>
          </reference>
          <reference field="82" count="1" selected="0">
            <x v="2869"/>
          </reference>
          <reference field="85" count="1" selected="0">
            <x v="7"/>
          </reference>
          <reference field="87" count="1">
            <x v="3733"/>
          </reference>
        </references>
      </pivotArea>
    </format>
    <format dxfId="3092">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selected="0">
            <x v="2725"/>
          </reference>
          <reference field="85" count="1" selected="0">
            <x v="7"/>
          </reference>
          <reference field="87" count="1">
            <x v="3619"/>
          </reference>
        </references>
      </pivotArea>
    </format>
    <format dxfId="309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77"/>
          </reference>
          <reference field="82" count="1" selected="0">
            <x v="2791"/>
          </reference>
          <reference field="85" count="1" selected="0">
            <x v="0"/>
          </reference>
          <reference field="87" count="1">
            <x v="3664"/>
          </reference>
        </references>
      </pivotArea>
    </format>
    <format dxfId="309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276"/>
          </reference>
          <reference field="82" count="1" selected="0">
            <x v="2790"/>
          </reference>
          <reference field="85" count="1" selected="0">
            <x v="0"/>
          </reference>
          <reference field="87" count="1">
            <x v="3663"/>
          </reference>
        </references>
      </pivotArea>
    </format>
    <format dxfId="308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278"/>
          </reference>
          <reference field="82" count="1" selected="0">
            <x v="2792"/>
          </reference>
          <reference field="85" count="1" selected="0">
            <x v="0"/>
          </reference>
          <reference field="87" count="1">
            <x v="3665"/>
          </reference>
        </references>
      </pivotArea>
    </format>
    <format dxfId="308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38"/>
          </reference>
          <reference field="82" count="1" selected="0">
            <x v="2733"/>
          </reference>
          <reference field="85" count="1" selected="0">
            <x v="7"/>
          </reference>
          <reference field="87" count="1">
            <x v="3624"/>
          </reference>
        </references>
      </pivotArea>
    </format>
    <format dxfId="308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selected="0">
            <x v="2725"/>
          </reference>
          <reference field="85" count="1" selected="0">
            <x v="7"/>
          </reference>
          <reference field="87" count="1">
            <x v="3619"/>
          </reference>
        </references>
      </pivotArea>
    </format>
    <format dxfId="308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71"/>
          </reference>
          <reference field="82" count="1" selected="0">
            <x v="2776"/>
          </reference>
          <reference field="85" count="1" selected="0">
            <x v="4"/>
          </reference>
          <reference field="87" count="1">
            <x v="3657"/>
          </reference>
        </references>
      </pivotArea>
    </format>
    <format dxfId="308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272"/>
          </reference>
          <reference field="82" count="1" selected="0">
            <x v="2777"/>
          </reference>
          <reference field="85" count="1" selected="0">
            <x v="4"/>
          </reference>
          <reference field="87" count="1">
            <x v="3658"/>
          </reference>
        </references>
      </pivotArea>
    </format>
    <format dxfId="308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269"/>
          </reference>
          <reference field="82" count="1" selected="0">
            <x v="2774"/>
          </reference>
          <reference field="85" count="1" selected="0">
            <x v="4"/>
          </reference>
          <reference field="87" count="1">
            <x v="3655"/>
          </reference>
        </references>
      </pivotArea>
    </format>
    <format dxfId="308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270"/>
          </reference>
          <reference field="82" count="1" selected="0">
            <x v="2775"/>
          </reference>
          <reference field="85" count="1" selected="0">
            <x v="4"/>
          </reference>
          <reference field="87" count="1">
            <x v="3656"/>
          </reference>
        </references>
      </pivotArea>
    </format>
    <format dxfId="308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selected="0">
            <x v="0"/>
          </reference>
          <reference field="87" count="1">
            <x v="3660"/>
          </reference>
        </references>
      </pivotArea>
    </format>
    <format dxfId="308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selected="0">
            <x v="2788"/>
          </reference>
          <reference field="85" count="1" selected="0">
            <x v="0"/>
          </reference>
          <reference field="87" count="1">
            <x v="3661"/>
          </reference>
        </references>
      </pivotArea>
    </format>
    <format dxfId="308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selected="0">
            <x v="2789"/>
          </reference>
          <reference field="85" count="1" selected="0">
            <x v="0"/>
          </reference>
          <reference field="87" count="1">
            <x v="3662"/>
          </reference>
        </references>
      </pivotArea>
    </format>
    <format dxfId="3079">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x v="3613"/>
          </reference>
        </references>
      </pivotArea>
    </format>
    <format dxfId="307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selected="0">
            <x v="0"/>
          </reference>
          <reference field="87" count="1">
            <x v="3660"/>
          </reference>
        </references>
      </pivotArea>
    </format>
    <format dxfId="307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selected="0">
            <x v="2788"/>
          </reference>
          <reference field="85" count="1" selected="0">
            <x v="0"/>
          </reference>
          <reference field="87" count="1">
            <x v="3661"/>
          </reference>
        </references>
      </pivotArea>
    </format>
    <format dxfId="307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selected="0">
            <x v="2789"/>
          </reference>
          <reference field="85" count="1" selected="0">
            <x v="0"/>
          </reference>
          <reference field="87" count="1">
            <x v="3662"/>
          </reference>
        </references>
      </pivotArea>
    </format>
    <format dxfId="307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232"/>
          </reference>
          <reference field="82" count="1" selected="0">
            <x v="2724"/>
          </reference>
          <reference field="85" count="1" selected="0">
            <x v="7"/>
          </reference>
          <reference field="87" count="1">
            <x v="3618"/>
          </reference>
        </references>
      </pivotArea>
    </format>
    <format dxfId="307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x v="3613"/>
          </reference>
        </references>
      </pivotArea>
    </format>
    <format dxfId="307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selected="0">
            <x v="0"/>
          </reference>
          <reference field="87" count="1">
            <x v="3666"/>
          </reference>
        </references>
      </pivotArea>
    </format>
    <format dxfId="307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selected="0">
            <x v="2794"/>
          </reference>
          <reference field="85" count="1" selected="0">
            <x v="0"/>
          </reference>
          <reference field="87" count="1">
            <x v="3667"/>
          </reference>
        </references>
      </pivotArea>
    </format>
    <format dxfId="307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x v="3668"/>
          </reference>
        </references>
      </pivotArea>
    </format>
    <format dxfId="307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305"/>
          </reference>
          <reference field="82" count="1" selected="0">
            <x v="2838"/>
          </reference>
          <reference field="85" count="1" selected="0">
            <x v="2"/>
          </reference>
          <reference field="87" count="1">
            <x v="3706"/>
          </reference>
        </references>
      </pivotArea>
    </format>
    <format dxfId="306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310"/>
          </reference>
          <reference field="82" count="1" selected="0">
            <x v="2837"/>
          </reference>
          <reference field="85" count="1" selected="0">
            <x v="2"/>
          </reference>
          <reference field="87" count="1">
            <x v="3705"/>
          </reference>
        </references>
      </pivotArea>
    </format>
    <format dxfId="306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314"/>
          </reference>
          <reference field="82" count="1" selected="0">
            <x v="2839"/>
          </reference>
          <reference field="85" count="1" selected="0">
            <x v="2"/>
          </reference>
          <reference field="87" count="1">
            <x v="3707"/>
          </reference>
        </references>
      </pivotArea>
    </format>
    <format dxfId="306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selected="0">
            <x v="0"/>
          </reference>
          <reference field="87" count="1">
            <x v="3666"/>
          </reference>
        </references>
      </pivotArea>
    </format>
    <format dxfId="306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selected="0">
            <x v="2794"/>
          </reference>
          <reference field="85" count="1" selected="0">
            <x v="0"/>
          </reference>
          <reference field="87" count="1">
            <x v="3667"/>
          </reference>
        </references>
      </pivotArea>
    </format>
    <format dxfId="306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x v="3668"/>
          </reference>
        </references>
      </pivotArea>
    </format>
    <format dxfId="3064">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0"/>
          </reference>
          <reference field="85" count="1" selected="0">
            <x v="7"/>
          </reference>
          <reference field="87" count="1">
            <x v="3617"/>
          </reference>
        </references>
      </pivotArea>
    </format>
    <format dxfId="306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49"/>
          </reference>
          <reference field="82" count="1" selected="0">
            <x v="2891"/>
          </reference>
          <reference field="85" count="1" selected="0">
            <x v="4"/>
          </reference>
          <reference field="87" count="1">
            <x v="3749"/>
          </reference>
        </references>
      </pivotArea>
    </format>
    <format dxfId="306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211"/>
          </reference>
          <reference field="82" count="1" selected="0">
            <x v="2701"/>
          </reference>
          <reference field="85" count="1" selected="0">
            <x v="4"/>
          </reference>
          <reference field="87" count="1">
            <x v="3752"/>
          </reference>
        </references>
      </pivotArea>
    </format>
    <format dxfId="306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210"/>
          </reference>
          <reference field="82" count="1" selected="0">
            <x v="2700"/>
          </reference>
          <reference field="85" count="1" selected="0">
            <x v="4"/>
          </reference>
          <reference field="87" count="1">
            <x v="3771"/>
          </reference>
        </references>
      </pivotArea>
    </format>
    <format dxfId="306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348"/>
          </reference>
          <reference field="82" count="1" selected="0">
            <x v="2913"/>
          </reference>
          <reference field="85" count="1" selected="0">
            <x v="4"/>
          </reference>
          <reference field="87" count="1">
            <x v="3748"/>
          </reference>
        </references>
      </pivotArea>
    </format>
    <format dxfId="305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x v="3734"/>
          </reference>
        </references>
      </pivotArea>
    </format>
    <format dxfId="305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x v="3735"/>
          </reference>
        </references>
      </pivotArea>
    </format>
    <format dxfId="305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x v="3736"/>
          </reference>
        </references>
      </pivotArea>
    </format>
    <format dxfId="305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x v="3737"/>
          </reference>
        </references>
      </pivotArea>
    </format>
    <format dxfId="3055">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211"/>
          </reference>
          <reference field="82" count="1" selected="0">
            <x v="2701"/>
          </reference>
          <reference field="85" count="1" selected="0">
            <x v="3"/>
          </reference>
          <reference field="87" count="1">
            <x v="3597"/>
          </reference>
        </references>
      </pivotArea>
    </format>
    <format dxfId="3054">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210"/>
          </reference>
          <reference field="82" count="1" selected="0">
            <x v="2700"/>
          </reference>
          <reference field="85" count="1" selected="0">
            <x v="3"/>
          </reference>
          <reference field="87" count="1">
            <x v="3596"/>
          </reference>
        </references>
      </pivotArea>
    </format>
    <format dxfId="305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x v="3734"/>
          </reference>
        </references>
      </pivotArea>
    </format>
    <format dxfId="305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x v="3735"/>
          </reference>
        </references>
      </pivotArea>
    </format>
    <format dxfId="305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x v="3736"/>
          </reference>
        </references>
      </pivotArea>
    </format>
    <format dxfId="305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x v="3737"/>
          </reference>
        </references>
      </pivotArea>
    </format>
    <format dxfId="304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x v="3734"/>
          </reference>
        </references>
      </pivotArea>
    </format>
    <format dxfId="304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x v="3735"/>
          </reference>
        </references>
      </pivotArea>
    </format>
    <format dxfId="304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x v="3736"/>
          </reference>
        </references>
      </pivotArea>
    </format>
    <format dxfId="304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x v="3737"/>
          </reference>
        </references>
      </pivotArea>
    </format>
    <format dxfId="304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x v="3668"/>
          </reference>
        </references>
      </pivotArea>
    </format>
    <format dxfId="304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302"/>
          </reference>
          <reference field="82" count="1" selected="0">
            <x v="2820"/>
          </reference>
          <reference field="85" count="1" selected="0">
            <x v="0"/>
          </reference>
          <reference field="87" count="1">
            <x v="3690"/>
          </reference>
        </references>
      </pivotArea>
    </format>
    <format dxfId="304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301"/>
          </reference>
          <reference field="82" count="1" selected="0">
            <x v="2819"/>
          </reference>
          <reference field="85" count="1" selected="0">
            <x v="0"/>
          </reference>
          <reference field="87" count="1">
            <x v="3689"/>
          </reference>
        </references>
      </pivotArea>
    </format>
    <format dxfId="304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x v="3614"/>
          </reference>
        </references>
      </pivotArea>
    </format>
    <format dxfId="304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x v="3615"/>
          </reference>
        </references>
      </pivotArea>
    </format>
    <format dxfId="304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1"/>
          </reference>
          <reference field="85" count="1" selected="0">
            <x v="7"/>
          </reference>
          <reference field="87" count="1">
            <x v="3613"/>
          </reference>
        </references>
      </pivotArea>
    </format>
    <format dxfId="303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65"/>
          </reference>
          <reference field="82" count="1" selected="0">
            <x v="2766"/>
          </reference>
          <reference field="85" count="1" selected="0">
            <x v="4"/>
          </reference>
          <reference field="87" count="1">
            <x v="3651"/>
          </reference>
        </references>
      </pivotArea>
    </format>
    <format dxfId="303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255"/>
          </reference>
          <reference field="82" count="1" selected="0">
            <x v="2767"/>
          </reference>
          <reference field="85" count="1" selected="0">
            <x v="4"/>
          </reference>
          <reference field="87" count="1">
            <x v="3641"/>
          </reference>
        </references>
      </pivotArea>
    </format>
    <format dxfId="303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266"/>
          </reference>
          <reference field="82" count="1" selected="0">
            <x v="2768"/>
          </reference>
          <reference field="85" count="1" selected="0">
            <x v="4"/>
          </reference>
          <reference field="87" count="1">
            <x v="3652"/>
          </reference>
        </references>
      </pivotArea>
    </format>
    <format dxfId="303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267"/>
          </reference>
          <reference field="82" count="1" selected="0">
            <x v="2769"/>
          </reference>
          <reference field="85" count="1" selected="0">
            <x v="4"/>
          </reference>
          <reference field="87" count="1">
            <x v="3653"/>
          </reference>
        </references>
      </pivotArea>
    </format>
    <format dxfId="303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90"/>
          </reference>
          <reference field="82" count="1" selected="0">
            <x v="2826"/>
          </reference>
          <reference field="85" count="1" selected="0">
            <x v="0"/>
          </reference>
          <reference field="87" count="1">
            <x v="3678"/>
          </reference>
        </references>
      </pivotArea>
    </format>
    <format dxfId="303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309"/>
          </reference>
          <reference field="82" count="1" selected="0">
            <x v="2830"/>
          </reference>
          <reference field="85" count="1" selected="0">
            <x v="0"/>
          </reference>
          <reference field="87" count="1">
            <x v="3698"/>
          </reference>
        </references>
      </pivotArea>
    </format>
    <format dxfId="303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310"/>
          </reference>
          <reference field="82" count="1" selected="0">
            <x v="2831"/>
          </reference>
          <reference field="85" count="1" selected="0">
            <x v="0"/>
          </reference>
          <reference field="87" count="1">
            <x v="3699"/>
          </reference>
        </references>
      </pivotArea>
    </format>
    <format dxfId="303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selected="0">
            <x v="7"/>
          </reference>
          <reference field="87" count="1">
            <x v="3732"/>
          </reference>
        </references>
      </pivotArea>
    </format>
    <format dxfId="303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8"/>
          </reference>
          <reference field="85" count="1" selected="0">
            <x v="7"/>
          </reference>
          <reference field="87" count="1">
            <x v="3617"/>
          </reference>
        </references>
      </pivotArea>
    </format>
    <format dxfId="303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220"/>
          </reference>
          <reference field="82" count="1" selected="0">
            <x v="2711"/>
          </reference>
          <reference field="85" count="1" selected="0">
            <x v="3"/>
          </reference>
          <reference field="87" count="1">
            <x v="3606"/>
          </reference>
        </references>
      </pivotArea>
    </format>
    <format dxfId="302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222"/>
          </reference>
          <reference field="82" count="1" selected="0">
            <x v="2713"/>
          </reference>
          <reference field="85" count="1" selected="0">
            <x v="3"/>
          </reference>
          <reference field="87" count="1">
            <x v="3608"/>
          </reference>
        </references>
      </pivotArea>
    </format>
    <format dxfId="302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223"/>
          </reference>
          <reference field="82" count="1" selected="0">
            <x v="2714"/>
          </reference>
          <reference field="85" count="1" selected="0">
            <x v="3"/>
          </reference>
          <reference field="87" count="1">
            <x v="3609"/>
          </reference>
        </references>
      </pivotArea>
    </format>
    <format dxfId="302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selected="0">
            <x v="2715"/>
          </reference>
          <reference field="85" count="1" selected="0">
            <x v="3"/>
          </reference>
          <reference field="87" count="1">
            <x v="3610"/>
          </reference>
        </references>
      </pivotArea>
    </format>
    <format dxfId="302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221"/>
          </reference>
          <reference field="82" count="1" selected="0">
            <x v="2712"/>
          </reference>
          <reference field="85" count="1" selected="0">
            <x v="3"/>
          </reference>
          <reference field="87" count="1">
            <x v="3607"/>
          </reference>
        </references>
      </pivotArea>
    </format>
    <format dxfId="302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x v="3614"/>
          </reference>
        </references>
      </pivotArea>
    </format>
    <format dxfId="302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x v="3615"/>
          </reference>
        </references>
      </pivotArea>
    </format>
    <format dxfId="302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x v="3614"/>
          </reference>
        </references>
      </pivotArea>
    </format>
    <format dxfId="302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x v="3615"/>
          </reference>
        </references>
      </pivotArea>
    </format>
    <format dxfId="302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1"/>
          </reference>
          <reference field="85" count="1" selected="0">
            <x v="7"/>
          </reference>
          <reference field="87" count="1">
            <x v="3613"/>
          </reference>
        </references>
      </pivotArea>
    </format>
    <format dxfId="302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63"/>
          </reference>
          <reference field="82" count="1" selected="0">
            <x v="2762"/>
          </reference>
          <reference field="85" count="1" selected="0">
            <x v="4"/>
          </reference>
          <reference field="87" count="1">
            <x v="3649"/>
          </reference>
        </references>
      </pivotArea>
    </format>
    <format dxfId="301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261"/>
          </reference>
          <reference field="82" count="1" selected="0">
            <x v="2763"/>
          </reference>
          <reference field="85" count="1" selected="0">
            <x v="4"/>
          </reference>
          <reference field="87" count="1">
            <x v="3647"/>
          </reference>
        </references>
      </pivotArea>
    </format>
    <format dxfId="301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264"/>
          </reference>
          <reference field="82" count="1" selected="0">
            <x v="2764"/>
          </reference>
          <reference field="85" count="1" selected="0">
            <x v="4"/>
          </reference>
          <reference field="87" count="1">
            <x v="3650"/>
          </reference>
        </references>
      </pivotArea>
    </format>
    <format dxfId="301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256"/>
          </reference>
          <reference field="82" count="1" selected="0">
            <x v="2765"/>
          </reference>
          <reference field="85" count="1" selected="0">
            <x v="4"/>
          </reference>
          <reference field="87" count="1">
            <x v="3642"/>
          </reference>
        </references>
      </pivotArea>
    </format>
    <format dxfId="301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222"/>
          </reference>
          <reference field="82" count="1" selected="0">
            <x v="2827"/>
          </reference>
          <reference field="85" count="1" selected="0">
            <x v="0"/>
          </reference>
          <reference field="87" count="1">
            <x v="3696"/>
          </reference>
        </references>
      </pivotArea>
    </format>
    <format dxfId="301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288"/>
          </reference>
          <reference field="82" count="1" selected="0">
            <x v="2828"/>
          </reference>
          <reference field="85" count="1" selected="0">
            <x v="0"/>
          </reference>
          <reference field="87" count="1">
            <x v="3676"/>
          </reference>
        </references>
      </pivotArea>
    </format>
    <format dxfId="301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308"/>
          </reference>
          <reference field="82" count="1" selected="0">
            <x v="2829"/>
          </reference>
          <reference field="85" count="1" selected="0">
            <x v="0"/>
          </reference>
          <reference field="87" count="1">
            <x v="3697"/>
          </reference>
        </references>
      </pivotArea>
    </format>
    <format dxfId="3013">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selected="0">
            <x v="7"/>
          </reference>
          <reference field="87" count="1">
            <x v="3732"/>
          </reference>
        </references>
      </pivotArea>
    </format>
    <format dxfId="301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225"/>
          </reference>
          <reference field="82" count="1" selected="0">
            <x v="2716"/>
          </reference>
          <reference field="85" count="1" selected="0">
            <x v="3"/>
          </reference>
          <reference field="87" count="1">
            <x v="3611"/>
          </reference>
        </references>
      </pivotArea>
    </format>
    <format dxfId="301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selected="0">
            <x v="2715"/>
          </reference>
          <reference field="85" count="1" selected="0">
            <x v="3"/>
          </reference>
          <reference field="87" count="1">
            <x v="3610"/>
          </reference>
        </references>
      </pivotArea>
    </format>
    <format dxfId="301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712"/>
          </reference>
          <reference field="85" count="1" selected="0">
            <x v="3"/>
          </reference>
          <reference field="87" count="1">
            <x v="3607"/>
          </reference>
        </references>
      </pivotArea>
    </format>
    <format dxfId="300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x v="3614"/>
          </reference>
        </references>
      </pivotArea>
    </format>
    <format dxfId="3008">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x v="3615"/>
          </reference>
        </references>
      </pivotArea>
    </format>
    <format dxfId="300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210"/>
          </reference>
          <reference field="82" count="1" selected="0">
            <x v="2705"/>
          </reference>
          <reference field="85" count="1" selected="0">
            <x v="3"/>
          </reference>
          <reference field="87" count="1">
            <x v="3596"/>
          </reference>
        </references>
      </pivotArea>
    </format>
    <format dxfId="300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214"/>
          </reference>
          <reference field="82" count="1" selected="0">
            <x v="2704"/>
          </reference>
          <reference field="85" count="1" selected="0">
            <x v="3"/>
          </reference>
          <reference field="87" count="1">
            <x v="3600"/>
          </reference>
        </references>
      </pivotArea>
    </format>
    <format dxfId="300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212"/>
          </reference>
          <reference field="82" count="1" selected="0">
            <x v="2702"/>
          </reference>
          <reference field="85" count="1" selected="0">
            <x v="3"/>
          </reference>
          <reference field="87" count="1">
            <x v="3598"/>
          </reference>
        </references>
      </pivotArea>
    </format>
    <format dxfId="300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213"/>
          </reference>
          <reference field="82" count="1" selected="0">
            <x v="2703"/>
          </reference>
          <reference field="85" count="1" selected="0">
            <x v="3"/>
          </reference>
          <reference field="87" count="1">
            <x v="3599"/>
          </reference>
        </references>
      </pivotArea>
    </format>
    <format dxfId="3003">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selected="0">
            <x v="4"/>
          </reference>
          <reference field="87" count="1">
            <x v="3659"/>
          </reference>
        </references>
      </pivotArea>
    </format>
    <format dxfId="300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303"/>
          </reference>
          <reference field="82" count="1" selected="0">
            <x v="2821"/>
          </reference>
          <reference field="85" count="1" selected="0">
            <x v="0"/>
          </reference>
          <reference field="87" count="1">
            <x v="3691"/>
          </reference>
        </references>
      </pivotArea>
    </format>
    <format dxfId="300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304"/>
          </reference>
          <reference field="82" count="1" selected="0">
            <x v="2822"/>
          </reference>
          <reference field="85" count="1" selected="0">
            <x v="0"/>
          </reference>
          <reference field="87" count="1">
            <x v="3692"/>
          </reference>
        </references>
      </pivotArea>
    </format>
    <format dxfId="300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305"/>
          </reference>
          <reference field="82" count="1" selected="0">
            <x v="2823"/>
          </reference>
          <reference field="85" count="1" selected="0">
            <x v="0"/>
          </reference>
          <reference field="87" count="1">
            <x v="3693"/>
          </reference>
        </references>
      </pivotArea>
    </format>
    <format dxfId="299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selected="0">
            <x v="2"/>
          </reference>
          <reference field="87" count="1">
            <x v="3701"/>
          </reference>
        </references>
      </pivotArea>
    </format>
    <format dxfId="299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selected="0">
            <x v="2834"/>
          </reference>
          <reference field="85" count="1" selected="0">
            <x v="2"/>
          </reference>
          <reference field="87" count="1">
            <x v="3702"/>
          </reference>
        </references>
      </pivotArea>
    </format>
    <format dxfId="299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832"/>
          </reference>
          <reference field="85" count="1" selected="0">
            <x v="2"/>
          </reference>
          <reference field="87" count="1">
            <x v="3700"/>
          </reference>
        </references>
      </pivotArea>
    </format>
    <format dxfId="2996">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selected="0">
            <x v="4"/>
          </reference>
          <reference field="87" count="1">
            <x v="3659"/>
          </reference>
        </references>
      </pivotArea>
    </format>
    <format dxfId="299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306"/>
          </reference>
          <reference field="82" count="1" selected="0">
            <x v="2824"/>
          </reference>
          <reference field="85" count="1" selected="0">
            <x v="0"/>
          </reference>
          <reference field="87" count="1">
            <x v="3694"/>
          </reference>
        </references>
      </pivotArea>
    </format>
    <format dxfId="299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307"/>
          </reference>
          <reference field="82" count="1" selected="0">
            <x v="2825"/>
          </reference>
          <reference field="85" count="1" selected="0">
            <x v="0"/>
          </reference>
          <reference field="87" count="1">
            <x v="3695"/>
          </reference>
        </references>
      </pivotArea>
    </format>
    <format dxfId="299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290"/>
          </reference>
          <reference field="82" count="1" selected="0">
            <x v="2826"/>
          </reference>
          <reference field="85" count="1" selected="0">
            <x v="0"/>
          </reference>
          <reference field="87" count="1">
            <x v="3678"/>
          </reference>
        </references>
      </pivotArea>
    </format>
    <format dxfId="299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selected="0">
            <x v="2"/>
          </reference>
          <reference field="87" count="1">
            <x v="3701"/>
          </reference>
        </references>
      </pivotArea>
    </format>
    <format dxfId="299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selected="0">
            <x v="2834"/>
          </reference>
          <reference field="85" count="1" selected="0">
            <x v="2"/>
          </reference>
          <reference field="87" count="1">
            <x v="3702"/>
          </reference>
        </references>
      </pivotArea>
    </format>
    <format dxfId="299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312"/>
          </reference>
          <reference field="82" count="1" selected="0">
            <x v="2835"/>
          </reference>
          <reference field="85" count="1" selected="0">
            <x v="2"/>
          </reference>
          <reference field="87" count="1">
            <x v="3703"/>
          </reference>
        </references>
      </pivotArea>
    </format>
    <format dxfId="298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832"/>
          </reference>
          <reference field="85" count="1" selected="0">
            <x v="2"/>
          </reference>
          <reference field="87" count="1">
            <x v="3700"/>
          </reference>
        </references>
      </pivotArea>
    </format>
    <format dxfId="298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313"/>
          </reference>
          <reference field="82" count="1" selected="0">
            <x v="2836"/>
          </reference>
          <reference field="85" count="1" selected="0">
            <x v="2"/>
          </reference>
          <reference field="87" count="1">
            <x v="3704"/>
          </reference>
        </references>
      </pivotArea>
    </format>
    <format dxfId="298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37"/>
          </reference>
          <reference field="82" count="1" selected="0">
            <x v="2865"/>
          </reference>
          <reference field="85" count="1" selected="0">
            <x v="7"/>
          </reference>
          <reference field="87" count="1">
            <x v="3730"/>
          </reference>
        </references>
      </pivotArea>
    </format>
    <format dxfId="298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338"/>
          </reference>
          <reference field="82" count="1" selected="0">
            <x v="2866"/>
          </reference>
          <reference field="85" count="1" selected="0">
            <x v="7"/>
          </reference>
          <reference field="87" count="1">
            <x v="3731"/>
          </reference>
        </references>
      </pivotArea>
    </format>
    <format dxfId="298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52"/>
          </reference>
          <reference field="82" count="1" selected="0">
            <x v="2894"/>
          </reference>
          <reference field="85" count="1" selected="0">
            <x v="4"/>
          </reference>
          <reference field="87" count="1">
            <x v="3756"/>
          </reference>
        </references>
      </pivotArea>
    </format>
    <format dxfId="298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353"/>
          </reference>
          <reference field="82" count="1" selected="0">
            <x v="2895"/>
          </reference>
          <reference field="85" count="1" selected="0">
            <x v="4"/>
          </reference>
          <reference field="87" count="1">
            <x v="3757"/>
          </reference>
        </references>
      </pivotArea>
    </format>
    <format dxfId="298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354"/>
          </reference>
          <reference field="82" count="1" selected="0">
            <x v="2896"/>
          </reference>
          <reference field="85" count="1" selected="0">
            <x v="4"/>
          </reference>
          <reference field="87" count="1">
            <x v="3758"/>
          </reference>
        </references>
      </pivotArea>
    </format>
    <format dxfId="298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x v="3736"/>
          </reference>
        </references>
      </pivotArea>
    </format>
    <format dxfId="298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274"/>
          </reference>
          <reference field="82" count="1" selected="0">
            <x v="2787"/>
          </reference>
          <reference field="85" count="1" selected="0">
            <x v="4"/>
          </reference>
          <reference field="87" count="1">
            <x v="3760"/>
          </reference>
        </references>
      </pivotArea>
    </format>
    <format dxfId="298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356"/>
          </reference>
          <reference field="82" count="1" selected="0">
            <x v="2901"/>
          </reference>
          <reference field="85" count="1" selected="0">
            <x v="4"/>
          </reference>
          <reference field="87" count="1">
            <x v="3761"/>
          </reference>
        </references>
      </pivotArea>
    </format>
    <format dxfId="297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357"/>
          </reference>
          <reference field="82" count="1" selected="0">
            <x v="2902"/>
          </reference>
          <reference field="85" count="1" selected="0">
            <x v="4"/>
          </reference>
          <reference field="87" count="1">
            <x v="3763"/>
          </reference>
        </references>
      </pivotArea>
    </format>
    <format dxfId="297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315"/>
          </reference>
          <reference field="82" count="1" selected="0">
            <x v="2903"/>
          </reference>
          <reference field="85" count="1" selected="0">
            <x v="4"/>
          </reference>
          <reference field="87" count="1">
            <x v="3764"/>
          </reference>
        </references>
      </pivotArea>
    </format>
    <format dxfId="297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274"/>
          </reference>
          <reference field="82" count="1" selected="0">
            <x v="2898"/>
          </reference>
          <reference field="85" count="1" selected="0">
            <x v="4"/>
          </reference>
          <reference field="87" count="1">
            <x v="3760"/>
          </reference>
        </references>
      </pivotArea>
    </format>
    <format dxfId="297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356"/>
          </reference>
          <reference field="82" count="1" selected="0">
            <x v="2899"/>
          </reference>
          <reference field="85" count="1" selected="0">
            <x v="4"/>
          </reference>
          <reference field="87" count="1">
            <x v="3761"/>
          </reference>
        </references>
      </pivotArea>
    </format>
    <format dxfId="297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316"/>
          </reference>
          <reference field="82" count="1" selected="0">
            <x v="2900"/>
          </reference>
          <reference field="85" count="1" selected="0">
            <x v="4"/>
          </reference>
          <reference field="87" count="1">
            <x v="3762"/>
          </reference>
        </references>
      </pivotArea>
    </format>
    <format dxfId="297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355"/>
          </reference>
          <reference field="82" count="1" selected="0">
            <x v="2897"/>
          </reference>
          <reference field="85" count="1" selected="0">
            <x v="4"/>
          </reference>
          <reference field="87" count="1">
            <x v="3759"/>
          </reference>
        </references>
      </pivotArea>
    </format>
    <format dxfId="297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228"/>
          </reference>
          <reference field="82" count="1" selected="0">
            <x v="2729"/>
          </reference>
          <reference field="85" count="1" selected="0">
            <x v="7"/>
          </reference>
          <reference field="87" count="1">
            <x v="3614"/>
          </reference>
        </references>
      </pivotArea>
    </format>
    <format dxfId="297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235"/>
          </reference>
          <reference field="82" count="1" selected="0">
            <x v="2730"/>
          </reference>
          <reference field="85" count="1" selected="0">
            <x v="7"/>
          </reference>
          <reference field="87" count="1">
            <x v="3621"/>
          </reference>
        </references>
      </pivotArea>
    </format>
    <format dxfId="2971">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325"/>
          </reference>
          <reference field="82" count="1" selected="0">
            <x v="2851"/>
          </reference>
          <reference field="85" count="1" selected="0">
            <x v="2"/>
          </reference>
          <reference field="87" count="1">
            <x v="3718"/>
          </reference>
        </references>
      </pivotArea>
    </format>
    <format dxfId="2970">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95"/>
          </reference>
          <reference field="82" count="1" selected="0">
            <x v="2909"/>
          </reference>
          <reference field="85" count="1" selected="0">
            <x v="4"/>
          </reference>
          <reference field="87" count="1">
            <x v="3767"/>
          </reference>
        </references>
      </pivotArea>
    </format>
    <format dxfId="2969">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293"/>
          </reference>
          <reference field="82" count="1" selected="0">
            <x v="2910"/>
          </reference>
          <reference field="85" count="1" selected="0">
            <x v="4"/>
          </reference>
          <reference field="87" count="1">
            <x v="3768"/>
          </reference>
        </references>
      </pivotArea>
    </format>
    <format dxfId="2968">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59"/>
          </reference>
          <reference field="82" count="1" selected="0">
            <x v="2912"/>
          </reference>
          <reference field="85" count="1" selected="0">
            <x v="4"/>
          </reference>
          <reference field="87" count="1">
            <x v="3770"/>
          </reference>
        </references>
      </pivotArea>
    </format>
    <format dxfId="296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x v="3638"/>
          </reference>
        </references>
      </pivotArea>
    </format>
    <format dxfId="296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x v="3633"/>
          </reference>
        </references>
      </pivotArea>
    </format>
    <format dxfId="296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x v="3639"/>
          </reference>
        </references>
      </pivotArea>
    </format>
    <format dxfId="296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x v="3640"/>
          </reference>
        </references>
      </pivotArea>
    </format>
    <format dxfId="296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x v="3746"/>
          </reference>
        </references>
      </pivotArea>
    </format>
    <format dxfId="296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x v="3742"/>
          </reference>
        </references>
      </pivotArea>
    </format>
    <format dxfId="296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296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x v="3745"/>
          </reference>
        </references>
      </pivotArea>
    </format>
    <format dxfId="295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295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x v="3638"/>
          </reference>
        </references>
      </pivotArea>
    </format>
    <format dxfId="295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x v="3633"/>
          </reference>
        </references>
      </pivotArea>
    </format>
    <format dxfId="295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x v="3639"/>
          </reference>
        </references>
      </pivotArea>
    </format>
    <format dxfId="295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x v="3640"/>
          </reference>
        </references>
      </pivotArea>
    </format>
    <format dxfId="295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x v="3746"/>
          </reference>
        </references>
      </pivotArea>
    </format>
    <format dxfId="295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x v="3742"/>
          </reference>
        </references>
      </pivotArea>
    </format>
    <format dxfId="295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295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x v="3745"/>
          </reference>
        </references>
      </pivotArea>
    </format>
    <format dxfId="295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294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x v="3638"/>
          </reference>
        </references>
      </pivotArea>
    </format>
    <format dxfId="294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x v="3633"/>
          </reference>
        </references>
      </pivotArea>
    </format>
    <format dxfId="294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x v="3639"/>
          </reference>
        </references>
      </pivotArea>
    </format>
    <format dxfId="294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x v="3640"/>
          </reference>
        </references>
      </pivotArea>
    </format>
    <format dxfId="294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x v="3746"/>
          </reference>
        </references>
      </pivotArea>
    </format>
    <format dxfId="294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x v="3742"/>
          </reference>
        </references>
      </pivotArea>
    </format>
    <format dxfId="294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x v="3743"/>
          </reference>
        </references>
      </pivotArea>
    </format>
    <format dxfId="294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x v="3745"/>
          </reference>
        </references>
      </pivotArea>
    </format>
    <format dxfId="294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x v="3744"/>
          </reference>
        </references>
      </pivotArea>
    </format>
    <format dxfId="294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58"/>
          </reference>
          <reference field="82" count="1" selected="0">
            <x v="2905"/>
          </reference>
          <reference field="85" count="1" selected="0">
            <x v="4"/>
          </reference>
          <reference field="87" count="1">
            <x v="3766"/>
          </reference>
        </references>
      </pivotArea>
    </format>
    <format dxfId="293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908"/>
          </reference>
          <reference field="85" count="1" selected="0">
            <x v="4"/>
          </reference>
          <reference field="87" count="1">
            <x v="3756"/>
          </reference>
        </references>
      </pivotArea>
    </format>
    <format dxfId="293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906"/>
          </reference>
          <reference field="85" count="1" selected="0">
            <x v="4"/>
          </reference>
          <reference field="87" count="1">
            <x v="3744"/>
          </reference>
        </references>
      </pivotArea>
    </format>
    <format dxfId="293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907"/>
          </reference>
          <reference field="85" count="1" selected="0">
            <x v="4"/>
          </reference>
          <reference field="87" count="1">
            <x v="3755"/>
          </reference>
        </references>
      </pivotArea>
    </format>
    <format dxfId="293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selected="0">
            <x v="2715"/>
          </reference>
          <reference field="85" count="1" selected="0">
            <x v="4"/>
          </reference>
          <reference field="87" count="1">
            <x v="3751"/>
          </reference>
        </references>
      </pivotArea>
    </format>
    <format dxfId="293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886"/>
          </reference>
          <reference field="85" count="1" selected="0">
            <x v="4"/>
          </reference>
          <reference field="87" count="1">
            <x v="3752"/>
          </reference>
        </references>
      </pivotArea>
    </format>
    <format dxfId="293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87"/>
          </reference>
          <reference field="85" count="1" selected="0">
            <x v="4"/>
          </reference>
          <reference field="87" count="1">
            <x v="3753"/>
          </reference>
        </references>
      </pivotArea>
    </format>
    <format dxfId="293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88"/>
          </reference>
          <reference field="85" count="1" selected="0">
            <x v="4"/>
          </reference>
          <reference field="87" count="1">
            <x v="3754"/>
          </reference>
        </references>
      </pivotArea>
    </format>
    <format dxfId="293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selected="0">
            <x v="2715"/>
          </reference>
          <reference field="85" count="1" selected="0">
            <x v="4"/>
          </reference>
          <reference field="87" count="1">
            <x v="3751"/>
          </reference>
        </references>
      </pivotArea>
    </format>
    <format dxfId="293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886"/>
          </reference>
          <reference field="85" count="1" selected="0">
            <x v="4"/>
          </reference>
          <reference field="87" count="1">
            <x v="3752"/>
          </reference>
        </references>
      </pivotArea>
    </format>
    <format dxfId="293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87"/>
          </reference>
          <reference field="85" count="1" selected="0">
            <x v="4"/>
          </reference>
          <reference field="87" count="1">
            <x v="3753"/>
          </reference>
        </references>
      </pivotArea>
    </format>
    <format dxfId="292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88"/>
          </reference>
          <reference field="85" count="1" selected="0">
            <x v="4"/>
          </reference>
          <reference field="87" count="1">
            <x v="3754"/>
          </reference>
        </references>
      </pivotArea>
    </format>
    <format dxfId="292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219"/>
          </reference>
          <reference field="82" count="1" selected="0">
            <x v="2875"/>
          </reference>
          <reference field="85" count="1" selected="0">
            <x v="4"/>
          </reference>
          <reference field="87" count="1">
            <x v="3739"/>
          </reference>
        </references>
      </pivotArea>
    </format>
    <format dxfId="292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346"/>
          </reference>
          <reference field="82" count="1" selected="0">
            <x v="2876"/>
          </reference>
          <reference field="85" count="1" selected="0">
            <x v="4"/>
          </reference>
          <reference field="87" count="1">
            <x v="3740"/>
          </reference>
        </references>
      </pivotArea>
    </format>
    <format dxfId="292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345"/>
          </reference>
          <reference field="82" count="1" selected="0">
            <x v="2874"/>
          </reference>
          <reference field="85" count="1" selected="0">
            <x v="4"/>
          </reference>
          <reference field="87" count="1">
            <x v="3738"/>
          </reference>
        </references>
      </pivotArea>
    </format>
    <format dxfId="292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347"/>
          </reference>
          <reference field="82" count="1" selected="0">
            <x v="2877"/>
          </reference>
          <reference field="85" count="1" selected="0">
            <x v="4"/>
          </reference>
          <reference field="87" count="1">
            <x v="3741"/>
          </reference>
        </references>
      </pivotArea>
    </format>
    <format dxfId="292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323"/>
          </reference>
          <reference field="82" count="1" selected="0">
            <x v="2849"/>
          </reference>
          <reference field="85" count="1" selected="0">
            <x v="2"/>
          </reference>
          <reference field="87" count="1">
            <x v="3716"/>
          </reference>
        </references>
      </pivotArea>
    </format>
    <format dxfId="292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324"/>
          </reference>
          <reference field="82" count="1" selected="0">
            <x v="2850"/>
          </reference>
          <reference field="85" count="1" selected="0">
            <x v="2"/>
          </reference>
          <reference field="87" count="1">
            <x v="3717"/>
          </reference>
        </references>
      </pivotArea>
    </format>
    <format dxfId="292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322"/>
          </reference>
          <reference field="82" count="1" selected="0">
            <x v="2848"/>
          </reference>
          <reference field="85" count="1" selected="0">
            <x v="2"/>
          </reference>
          <reference field="87" count="1">
            <x v="3715"/>
          </reference>
        </references>
      </pivotArea>
    </format>
    <format dxfId="292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x v="3638"/>
          </reference>
        </references>
      </pivotArea>
    </format>
    <format dxfId="292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x v="3633"/>
          </reference>
        </references>
      </pivotArea>
    </format>
    <format dxfId="291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x v="3639"/>
          </reference>
        </references>
      </pivotArea>
    </format>
    <format dxfId="291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x v="3640"/>
          </reference>
        </references>
      </pivotArea>
    </format>
    <format dxfId="291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selected="0">
            <x v="2882"/>
          </reference>
          <reference field="85" count="1" selected="0">
            <x v="4"/>
          </reference>
          <reference field="87" count="1">
            <x v="3747"/>
          </reference>
        </references>
      </pivotArea>
    </format>
    <format dxfId="291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selected="0">
            <x v="2884"/>
          </reference>
          <reference field="85" count="1" selected="0">
            <x v="4"/>
          </reference>
          <reference field="87" count="1">
            <x v="3749"/>
          </reference>
        </references>
      </pivotArea>
    </format>
    <format dxfId="291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selected="0">
            <x v="2885"/>
          </reference>
          <reference field="85" count="1" selected="0">
            <x v="4"/>
          </reference>
          <reference field="87" count="1">
            <x v="3750"/>
          </reference>
        </references>
      </pivotArea>
    </format>
    <format dxfId="291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selected="0">
            <x v="2883"/>
          </reference>
          <reference field="85" count="1" selected="0">
            <x v="4"/>
          </reference>
          <reference field="87" count="1">
            <x v="3748"/>
          </reference>
        </references>
      </pivotArea>
    </format>
    <format dxfId="291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selected="0">
            <x v="2882"/>
          </reference>
          <reference field="85" count="1" selected="0">
            <x v="4"/>
          </reference>
          <reference field="87" count="1">
            <x v="3747"/>
          </reference>
        </references>
      </pivotArea>
    </format>
    <format dxfId="291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selected="0">
            <x v="2884"/>
          </reference>
          <reference field="85" count="1" selected="0">
            <x v="4"/>
          </reference>
          <reference field="87" count="1">
            <x v="3749"/>
          </reference>
        </references>
      </pivotArea>
    </format>
    <format dxfId="291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selected="0">
            <x v="2885"/>
          </reference>
          <reference field="85" count="1" selected="0">
            <x v="4"/>
          </reference>
          <reference field="87" count="1">
            <x v="3750"/>
          </reference>
        </references>
      </pivotArea>
    </format>
    <format dxfId="291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selected="0">
            <x v="2883"/>
          </reference>
          <reference field="85" count="1" selected="0">
            <x v="4"/>
          </reference>
          <reference field="87" count="1">
            <x v="3748"/>
          </reference>
        </references>
      </pivotArea>
    </format>
    <format dxfId="2909">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216"/>
          </reference>
          <reference field="82" count="1" selected="0">
            <x v="2707"/>
          </reference>
          <reference field="85" count="1" selected="0">
            <x v="3"/>
          </reference>
          <reference field="87" count="1">
            <x v="3602"/>
          </reference>
        </references>
      </pivotArea>
    </format>
    <format dxfId="2908">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60"/>
          </reference>
          <reference field="82" count="1" selected="0">
            <x v="2914"/>
          </reference>
          <reference field="85" count="1" selected="0">
            <x v="4"/>
          </reference>
          <reference field="87" count="1">
            <x v="3772"/>
          </reference>
        </references>
      </pivotArea>
    </format>
    <format dxfId="2907">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1"/>
          </reference>
          <reference field="85" count="1" selected="0">
            <x v="7"/>
          </reference>
          <reference field="87" count="1">
            <x v="3629"/>
          </reference>
        </references>
      </pivotArea>
    </format>
    <format dxfId="2906">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217"/>
          </reference>
          <reference field="82" count="1" selected="0">
            <x v="2708"/>
          </reference>
          <reference field="85" count="1" selected="0">
            <x v="3"/>
          </reference>
          <reference field="87" count="1">
            <x v="3603"/>
          </reference>
        </references>
      </pivotArea>
    </format>
    <format dxfId="2905">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2"/>
          </reference>
          <reference field="85" count="1" selected="0">
            <x v="7"/>
          </reference>
          <reference field="87" count="1">
            <x v="3629"/>
          </reference>
        </references>
      </pivotArea>
    </format>
    <format dxfId="2904">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62"/>
          </reference>
          <reference field="82" count="1" selected="0">
            <x v="2916"/>
          </reference>
          <reference field="85" count="1" selected="0">
            <x v="7"/>
          </reference>
          <reference field="87" count="1">
            <x v="3774"/>
          </reference>
        </references>
      </pivotArea>
    </format>
    <format dxfId="2903">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 field="85" count="1" selected="0">
            <x v="7"/>
          </reference>
          <reference field="87" count="1">
            <x v="3776"/>
          </reference>
        </references>
      </pivotArea>
    </format>
    <format dxfId="2902">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63"/>
          </reference>
          <reference field="82" count="1" selected="0">
            <x v="2917"/>
          </reference>
          <reference field="85" count="1" selected="0">
            <x v="7"/>
          </reference>
          <reference field="87" count="1">
            <x v="3775"/>
          </reference>
        </references>
      </pivotArea>
    </format>
    <format dxfId="2901">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39"/>
          </reference>
          <reference field="82" count="1" selected="0">
            <x v="2734"/>
          </reference>
          <reference field="85" count="1" selected="0">
            <x v="2"/>
          </reference>
          <reference field="87" count="1">
            <x v="3625"/>
          </reference>
        </references>
      </pivotArea>
    </format>
    <format dxfId="2900">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 field="85" count="1" selected="0">
            <x v="7"/>
          </reference>
          <reference field="87" count="1">
            <x v="3776"/>
          </reference>
        </references>
      </pivotArea>
    </format>
    <format dxfId="2899">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215"/>
          </reference>
          <reference field="82" count="1" selected="0">
            <x v="2706"/>
          </reference>
          <reference field="85" count="1" selected="0">
            <x v="3"/>
          </reference>
          <reference field="87" count="1">
            <x v="3601"/>
          </reference>
        </references>
      </pivotArea>
    </format>
    <format dxfId="2898">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92"/>
          </reference>
          <reference field="82" count="1" selected="0">
            <x v="2911"/>
          </reference>
          <reference field="85" count="1" selected="0">
            <x v="4"/>
          </reference>
          <reference field="87" count="1">
            <x v="3769"/>
          </reference>
        </references>
      </pivotArea>
    </format>
    <format dxfId="289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selected="0">
            <x v="2"/>
          </reference>
          <reference field="87" count="1">
            <x v="3709"/>
          </reference>
        </references>
      </pivotArea>
    </format>
    <format dxfId="289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317"/>
          </reference>
          <reference field="82" count="1" selected="0">
            <x v="2842"/>
          </reference>
          <reference field="85" count="1" selected="0">
            <x v="2"/>
          </reference>
          <reference field="87" count="1">
            <x v="3710"/>
          </reference>
        </references>
      </pivotArea>
    </format>
    <format dxfId="289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322"/>
          </reference>
          <reference field="82" count="1" selected="0">
            <x v="2847"/>
          </reference>
          <reference field="85" count="1" selected="0">
            <x v="2"/>
          </reference>
          <reference field="87" count="1">
            <x v="3715"/>
          </reference>
        </references>
      </pivotArea>
    </format>
    <format dxfId="289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320"/>
          </reference>
          <reference field="82" count="1" selected="0">
            <x v="2845"/>
          </reference>
          <reference field="85" count="1" selected="0">
            <x v="2"/>
          </reference>
          <reference field="87" count="1">
            <x v="3713"/>
          </reference>
        </references>
      </pivotArea>
    </format>
    <format dxfId="289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319"/>
          </reference>
          <reference field="82" count="1" selected="0">
            <x v="2844"/>
          </reference>
          <reference field="85" count="1" selected="0">
            <x v="2"/>
          </reference>
          <reference field="87" count="1">
            <x v="3712"/>
          </reference>
        </references>
      </pivotArea>
    </format>
    <format dxfId="289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318"/>
          </reference>
          <reference field="82" count="1" selected="0">
            <x v="2843"/>
          </reference>
          <reference field="85" count="1" selected="0">
            <x v="2"/>
          </reference>
          <reference field="87" count="1">
            <x v="3711"/>
          </reference>
        </references>
      </pivotArea>
    </format>
    <format dxfId="289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selected="0">
            <x v="2840"/>
          </reference>
          <reference field="85" count="1" selected="0">
            <x v="2"/>
          </reference>
          <reference field="87" count="1">
            <x v="3708"/>
          </reference>
        </references>
      </pivotArea>
    </format>
    <format dxfId="289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321"/>
          </reference>
          <reference field="82" count="1" selected="0">
            <x v="2846"/>
          </reference>
          <reference field="85" count="1" selected="0">
            <x v="2"/>
          </reference>
          <reference field="87" count="1">
            <x v="3714"/>
          </reference>
        </references>
      </pivotArea>
    </format>
    <format dxfId="2889">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61"/>
          </reference>
          <reference field="82" count="1" selected="0">
            <x v="2915"/>
          </reference>
          <reference field="85" count="1" selected="0">
            <x v="4"/>
          </reference>
          <reference field="87" count="1">
            <x v="3773"/>
          </reference>
        </references>
      </pivotArea>
    </format>
    <format dxfId="2888">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42"/>
          </reference>
          <reference field="82" count="1" selected="0">
            <x v="2740"/>
          </reference>
          <reference field="85" count="1" selected="0">
            <x v="2"/>
          </reference>
          <reference field="87" count="1">
            <x v="3628"/>
          </reference>
        </references>
      </pivotArea>
    </format>
    <format dxfId="2887">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8"/>
          </reference>
          <reference field="85" count="1" selected="0">
            <x v="7"/>
          </reference>
          <reference field="87" count="1">
            <x v="3627"/>
          </reference>
        </references>
      </pivotArea>
    </format>
    <format dxfId="288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selected="0">
            <x v="2"/>
          </reference>
          <reference field="87" count="1">
            <x v="3709"/>
          </reference>
        </references>
      </pivotArea>
    </format>
    <format dxfId="288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selected="0">
            <x v="2840"/>
          </reference>
          <reference field="85" count="1" selected="0">
            <x v="2"/>
          </reference>
          <reference field="87" count="1">
            <x v="3708"/>
          </reference>
        </references>
      </pivotArea>
    </format>
    <format dxfId="2884">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9"/>
          </reference>
          <reference field="85" count="1" selected="0">
            <x v="7"/>
          </reference>
          <reference field="87" count="1">
            <x v="3627"/>
          </reference>
        </references>
      </pivotArea>
    </format>
    <format dxfId="2883">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76"/>
          </reference>
          <reference field="82" count="1" selected="0">
            <x v="2904"/>
          </reference>
          <reference field="85" count="1" selected="0">
            <x v="4"/>
          </reference>
          <reference field="87" count="1">
            <x v="3765"/>
          </reference>
        </references>
      </pivotArea>
    </format>
    <format dxfId="2882">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334"/>
          </reference>
          <reference field="82" count="1" selected="0">
            <x v="2862"/>
          </reference>
          <reference field="85" count="1" selected="0">
            <x v="7"/>
          </reference>
          <reference field="87" count="1">
            <x v="3727"/>
          </reference>
        </references>
      </pivotArea>
    </format>
    <format dxfId="2881">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336"/>
          </reference>
          <reference field="82" count="1" selected="0">
            <x v="2864"/>
          </reference>
          <reference field="85" count="1" selected="0">
            <x v="7"/>
          </reference>
          <reference field="87" count="1">
            <x v="3729"/>
          </reference>
        </references>
      </pivotArea>
    </format>
    <format dxfId="288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237"/>
          </reference>
          <reference field="82" count="1" selected="0">
            <x v="2732"/>
          </reference>
          <reference field="85" count="1" selected="0">
            <x v="7"/>
          </reference>
          <reference field="87" count="1">
            <x v="3623"/>
          </reference>
        </references>
      </pivotArea>
    </format>
    <format dxfId="287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236"/>
          </reference>
          <reference field="82" count="1" selected="0">
            <x v="2731"/>
          </reference>
          <reference field="85" count="1" selected="0">
            <x v="7"/>
          </reference>
          <reference field="87" count="1">
            <x v="3622"/>
          </reference>
        </references>
      </pivotArea>
    </format>
    <format dxfId="2878">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261"/>
          </reference>
          <reference field="82" count="1" selected="0">
            <x v="2760"/>
          </reference>
          <reference field="85" count="1" selected="0">
            <x v="4"/>
          </reference>
          <reference field="87" count="1">
            <x v="3647"/>
          </reference>
        </references>
      </pivotArea>
    </format>
    <format dxfId="2877">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262"/>
          </reference>
          <reference field="82" count="1" selected="0">
            <x v="2761"/>
          </reference>
          <reference field="85" count="1" selected="0">
            <x v="4"/>
          </reference>
          <reference field="87" count="1">
            <x v="3648"/>
          </reference>
        </references>
      </pivotArea>
    </format>
    <format dxfId="287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259"/>
          </reference>
          <reference field="82" count="1" selected="0">
            <x v="2758"/>
          </reference>
          <reference field="85" count="1" selected="0">
            <x v="4"/>
          </reference>
          <reference field="87" count="1">
            <x v="3645"/>
          </reference>
        </references>
      </pivotArea>
    </format>
    <format dxfId="287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260"/>
          </reference>
          <reference field="82" count="1" selected="0">
            <x v="2759"/>
          </reference>
          <reference field="85" count="1" selected="0">
            <x v="4"/>
          </reference>
          <reference field="87" count="1">
            <x v="3646"/>
          </reference>
        </references>
      </pivotArea>
    </format>
    <format dxfId="2874">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255"/>
          </reference>
          <reference field="82" count="1" selected="0">
            <x v="2754"/>
          </reference>
          <reference field="85" count="1" selected="0">
            <x v="4"/>
          </reference>
          <reference field="87" count="1">
            <x v="3641"/>
          </reference>
        </references>
      </pivotArea>
    </format>
    <format dxfId="2873">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256"/>
          </reference>
          <reference field="82" count="1" selected="0">
            <x v="2755"/>
          </reference>
          <reference field="85" count="1" selected="0">
            <x v="4"/>
          </reference>
          <reference field="87" count="1">
            <x v="3642"/>
          </reference>
        </references>
      </pivotArea>
    </format>
    <format dxfId="287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257"/>
          </reference>
          <reference field="82" count="1" selected="0">
            <x v="2756"/>
          </reference>
          <reference field="85" count="1" selected="0">
            <x v="4"/>
          </reference>
          <reference field="87" count="1">
            <x v="3643"/>
          </reference>
        </references>
      </pivotArea>
    </format>
    <format dxfId="287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258"/>
          </reference>
          <reference field="82" count="1" selected="0">
            <x v="2757"/>
          </reference>
          <reference field="85" count="1" selected="0">
            <x v="4"/>
          </reference>
          <reference field="87" count="1">
            <x v="3644"/>
          </reference>
        </references>
      </pivotArea>
    </format>
    <format dxfId="2870">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49"/>
          </reference>
          <reference field="82" count="1" selected="0">
            <x v="2891"/>
          </reference>
          <reference field="85" count="1" selected="0">
            <x v="4"/>
          </reference>
          <reference field="87" count="1">
            <x v="3749"/>
          </reference>
        </references>
      </pivotArea>
    </format>
    <format dxfId="2869">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701"/>
          </reference>
          <reference field="85" count="1" selected="0">
            <x v="4"/>
          </reference>
          <reference field="87" count="1">
            <x v="3752"/>
          </reference>
        </references>
      </pivotArea>
    </format>
    <format dxfId="2868">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92"/>
          </reference>
          <reference field="85" count="1" selected="0">
            <x v="4"/>
          </reference>
          <reference field="87" count="1">
            <x v="3753"/>
          </reference>
        </references>
      </pivotArea>
    </format>
    <format dxfId="2867">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93"/>
          </reference>
          <reference field="85" count="1" selected="0">
            <x v="4"/>
          </reference>
          <reference field="87" count="1">
            <x v="3754"/>
          </reference>
        </references>
      </pivotArea>
    </format>
    <format dxfId="2866">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x v="3722"/>
          </reference>
        </references>
      </pivotArea>
    </format>
    <format dxfId="286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44"/>
          </reference>
          <reference field="85" count="1" selected="0">
            <x v="4"/>
          </reference>
          <reference field="87" count="1" selected="0">
            <x v="3631"/>
          </reference>
          <reference field="88" count="1">
            <x v="2530"/>
          </reference>
        </references>
      </pivotArea>
    </format>
    <format dxfId="286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selected="0">
            <x v="3633"/>
          </reference>
          <reference field="88" count="1">
            <x v="2532"/>
          </reference>
        </references>
      </pivotArea>
    </format>
    <format dxfId="286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selected="0">
            <x v="2747"/>
          </reference>
          <reference field="85" count="1" selected="0">
            <x v="4"/>
          </reference>
          <reference field="87" count="1" selected="0">
            <x v="3634"/>
          </reference>
          <reference field="88" count="1">
            <x v="2533"/>
          </reference>
        </references>
      </pivotArea>
    </format>
    <format dxfId="286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selected="0">
            <x v="2743"/>
          </reference>
          <reference field="85" count="1" selected="0">
            <x v="4"/>
          </reference>
          <reference field="87" count="1" selected="0">
            <x v="3630"/>
          </reference>
          <reference field="88" count="1">
            <x v="2529"/>
          </reference>
        </references>
      </pivotArea>
    </format>
    <format dxfId="286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selected="0">
            <x v="2748"/>
          </reference>
          <reference field="85" count="1" selected="0">
            <x v="4"/>
          </reference>
          <reference field="87" count="1" selected="0">
            <x v="3635"/>
          </reference>
          <reference field="88" count="1">
            <x v="2534"/>
          </reference>
        </references>
      </pivotArea>
    </format>
    <format dxfId="286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selected="0">
            <x v="2749"/>
          </reference>
          <reference field="85" count="1" selected="0">
            <x v="4"/>
          </reference>
          <reference field="87" count="1" selected="0">
            <x v="3636"/>
          </reference>
          <reference field="88" count="1">
            <x v="2535"/>
          </reference>
        </references>
      </pivotArea>
    </format>
    <format dxfId="285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selected="0">
            <x v="2750"/>
          </reference>
          <reference field="85" count="1" selected="0">
            <x v="4"/>
          </reference>
          <reference field="87" count="1" selected="0">
            <x v="3637"/>
          </reference>
          <reference field="88" count="1">
            <x v="2536"/>
          </reference>
        </references>
      </pivotArea>
    </format>
    <format dxfId="285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selected="0">
            <x v="2745"/>
          </reference>
          <reference field="85" count="1" selected="0">
            <x v="4"/>
          </reference>
          <reference field="87" count="1" selected="0">
            <x v="3632"/>
          </reference>
          <reference field="88" count="1">
            <x v="2531"/>
          </reference>
        </references>
      </pivotArea>
    </format>
    <format dxfId="2857">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4"/>
          </reference>
          <reference field="85" count="1" selected="0">
            <x v="0"/>
          </reference>
          <reference field="87" count="1" selected="0">
            <x v="3674"/>
          </reference>
          <reference field="88" count="1">
            <x v="2590"/>
          </reference>
        </references>
      </pivotArea>
    </format>
    <format dxfId="285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5"/>
          </reference>
          <reference field="85" count="1" selected="0">
            <x v="0"/>
          </reference>
          <reference field="87" count="1" selected="0">
            <x v="3675"/>
          </reference>
          <reference field="88" count="1">
            <x v="2591"/>
          </reference>
        </references>
      </pivotArea>
    </format>
    <format dxfId="285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6"/>
          </reference>
          <reference field="85" count="1" selected="0">
            <x v="0"/>
          </reference>
          <reference field="87" count="1" selected="0">
            <x v="3676"/>
          </reference>
          <reference field="88" count="1">
            <x v="2592"/>
          </reference>
        </references>
      </pivotArea>
    </format>
    <format dxfId="285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selected="0">
            <x v="3719"/>
          </reference>
          <reference field="88" count="1">
            <x v="2638"/>
          </reference>
        </references>
      </pivotArea>
    </format>
    <format dxfId="285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selected="0">
            <x v="3720"/>
          </reference>
          <reference field="88" count="1">
            <x v="2639"/>
          </reference>
        </references>
      </pivotArea>
    </format>
    <format dxfId="285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85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selected="0">
            <x v="3756"/>
          </reference>
          <reference field="88" count="1">
            <x v="2678"/>
          </reference>
        </references>
      </pivotArea>
    </format>
    <format dxfId="285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84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selected="0">
            <x v="3755"/>
          </reference>
          <reference field="88" count="1">
            <x v="2677"/>
          </reference>
        </references>
      </pivotArea>
    </format>
    <format dxfId="284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selected="0">
            <x v="3719"/>
          </reference>
          <reference field="88" count="1">
            <x v="2640"/>
          </reference>
        </references>
      </pivotArea>
    </format>
    <format dxfId="284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selected="0">
            <x v="3721"/>
          </reference>
          <reference field="88" count="1">
            <x v="2641"/>
          </reference>
        </references>
      </pivotArea>
    </format>
    <format dxfId="284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selected="0">
            <x v="3674"/>
          </reference>
          <reference field="88" count="1">
            <x v="2587"/>
          </reference>
        </references>
      </pivotArea>
    </format>
    <format dxfId="284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selected="0">
            <x v="3675"/>
          </reference>
          <reference field="88" count="1">
            <x v="2588"/>
          </reference>
        </references>
      </pivotArea>
    </format>
    <format dxfId="284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selected="0">
            <x v="3676"/>
          </reference>
          <reference field="88" count="1">
            <x v="2589"/>
          </reference>
        </references>
      </pivotArea>
    </format>
    <format dxfId="284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selected="0">
            <x v="3673"/>
          </reference>
          <reference field="88" count="1">
            <x v="2586"/>
          </reference>
        </references>
      </pivotArea>
    </format>
    <format dxfId="284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selected="0">
            <x v="3719"/>
          </reference>
          <reference field="88" count="1">
            <x v="2640"/>
          </reference>
        </references>
      </pivotArea>
    </format>
    <format dxfId="284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selected="0">
            <x v="3721"/>
          </reference>
          <reference field="88" count="1">
            <x v="2641"/>
          </reference>
        </references>
      </pivotArea>
    </format>
    <format dxfId="284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selected="0">
            <x v="3674"/>
          </reference>
          <reference field="88" count="1">
            <x v="2587"/>
          </reference>
        </references>
      </pivotArea>
    </format>
    <format dxfId="283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selected="0">
            <x v="3675"/>
          </reference>
          <reference field="88" count="1">
            <x v="2588"/>
          </reference>
        </references>
      </pivotArea>
    </format>
    <format dxfId="283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selected="0">
            <x v="3676"/>
          </reference>
          <reference field="88" count="1">
            <x v="2589"/>
          </reference>
        </references>
      </pivotArea>
    </format>
    <format dxfId="283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selected="0">
            <x v="3673"/>
          </reference>
          <reference field="88" count="1">
            <x v="2586"/>
          </reference>
        </references>
      </pivotArea>
    </format>
    <format dxfId="283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selected="0">
            <x v="3719"/>
          </reference>
          <reference field="88" count="1">
            <x v="2640"/>
          </reference>
        </references>
      </pivotArea>
    </format>
    <format dxfId="283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selected="0">
            <x v="3721"/>
          </reference>
          <reference field="88" count="1">
            <x v="2641"/>
          </reference>
        </references>
      </pivotArea>
    </format>
    <format dxfId="283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selected="0">
            <x v="2726"/>
          </reference>
          <reference field="85" count="1" selected="0">
            <x v="7"/>
          </reference>
          <reference field="87" count="1" selected="0">
            <x v="3620"/>
          </reference>
          <reference field="88" count="1">
            <x v="2512"/>
          </reference>
        </references>
      </pivotArea>
    </format>
    <format dxfId="283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8"/>
          </reference>
          <reference field="85" count="1" selected="0">
            <x v="7"/>
          </reference>
          <reference field="87" count="1" selected="0">
            <x v="3613"/>
          </reference>
          <reference field="88" count="1">
            <x v="2514"/>
          </reference>
        </references>
      </pivotArea>
    </format>
    <format dxfId="283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81"/>
          </reference>
          <reference field="82" count="1" selected="0">
            <x v="2796"/>
          </reference>
          <reference field="85" count="1" selected="0">
            <x v="0"/>
          </reference>
          <reference field="87" count="1" selected="0">
            <x v="3669"/>
          </reference>
          <reference field="88" count="1">
            <x v="2582"/>
          </reference>
        </references>
      </pivotArea>
    </format>
    <format dxfId="283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 field="85" count="1" selected="0">
            <x v="0"/>
          </reference>
          <reference field="87" count="1" selected="0">
            <x v="3672"/>
          </reference>
          <reference field="88" count="1">
            <x v="2585"/>
          </reference>
        </references>
      </pivotArea>
    </format>
    <format dxfId="283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selected="0">
            <x v="2797"/>
          </reference>
          <reference field="85" count="1" selected="0">
            <x v="0"/>
          </reference>
          <reference field="87" count="1" selected="0">
            <x v="3670"/>
          </reference>
          <reference field="88" count="1">
            <x v="2583"/>
          </reference>
        </references>
      </pivotArea>
    </format>
    <format dxfId="282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selected="0">
            <x v="2798"/>
          </reference>
          <reference field="85" count="1" selected="0">
            <x v="0"/>
          </reference>
          <reference field="87" count="1" selected="0">
            <x v="3671"/>
          </reference>
          <reference field="88" count="1">
            <x v="2584"/>
          </reference>
        </references>
      </pivotArea>
    </format>
    <format dxfId="282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selected="0">
            <x v="3719"/>
          </reference>
          <reference field="88" count="1">
            <x v="2638"/>
          </reference>
        </references>
      </pivotArea>
    </format>
    <format dxfId="282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selected="0">
            <x v="3720"/>
          </reference>
          <reference field="88" count="1">
            <x v="2639"/>
          </reference>
        </references>
      </pivotArea>
    </format>
    <format dxfId="282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82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selected="0">
            <x v="3756"/>
          </reference>
          <reference field="88" count="1">
            <x v="2678"/>
          </reference>
        </references>
      </pivotArea>
    </format>
    <format dxfId="282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82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selected="0">
            <x v="3755"/>
          </reference>
          <reference field="88" count="1">
            <x v="2677"/>
          </reference>
        </references>
      </pivotArea>
    </format>
    <format dxfId="2822">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6"/>
          </reference>
          <reference field="85" count="1" selected="0">
            <x v="7"/>
          </reference>
          <reference field="87" count="1" selected="0">
            <x v="3614"/>
          </reference>
          <reference field="88" count="1">
            <x v="2522"/>
          </reference>
        </references>
      </pivotArea>
    </format>
    <format dxfId="2821">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234"/>
          </reference>
          <reference field="82" count="1" selected="0">
            <x v="2727"/>
          </reference>
          <reference field="85" count="1" selected="0">
            <x v="7"/>
          </reference>
          <reference field="87" count="1" selected="0">
            <x v="3620"/>
          </reference>
          <reference field="88" count="1">
            <x v="2513"/>
          </reference>
        </references>
      </pivotArea>
    </format>
    <format dxfId="282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45"/>
          </reference>
          <reference field="82" count="1" selected="0">
            <x v="2780"/>
          </reference>
          <reference field="85" count="1" selected="0">
            <x v="4"/>
          </reference>
          <reference field="87" count="1" selected="0">
            <x v="3631"/>
          </reference>
          <reference field="88" count="1">
            <x v="2566"/>
          </reference>
        </references>
      </pivotArea>
    </format>
    <format dxfId="281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47"/>
          </reference>
          <reference field="82" count="1" selected="0">
            <x v="2782"/>
          </reference>
          <reference field="85" count="1" selected="0">
            <x v="4"/>
          </reference>
          <reference field="87" count="1" selected="0">
            <x v="3633"/>
          </reference>
          <reference field="88" count="1">
            <x v="2568"/>
          </reference>
        </references>
      </pivotArea>
    </format>
    <format dxfId="281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48"/>
          </reference>
          <reference field="82" count="1" selected="0">
            <x v="2783"/>
          </reference>
          <reference field="85" count="1" selected="0">
            <x v="4"/>
          </reference>
          <reference field="87" count="1" selected="0">
            <x v="3634"/>
          </reference>
          <reference field="88" count="1">
            <x v="2569"/>
          </reference>
        </references>
      </pivotArea>
    </format>
    <format dxfId="281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44"/>
          </reference>
          <reference field="82" count="1" selected="0">
            <x v="2779"/>
          </reference>
          <reference field="85" count="1" selected="0">
            <x v="4"/>
          </reference>
          <reference field="87" count="1" selected="0">
            <x v="3630"/>
          </reference>
          <reference field="88" count="1">
            <x v="2565"/>
          </reference>
        </references>
      </pivotArea>
    </format>
    <format dxfId="281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49"/>
          </reference>
          <reference field="82" count="1" selected="0">
            <x v="2784"/>
          </reference>
          <reference field="85" count="1" selected="0">
            <x v="4"/>
          </reference>
          <reference field="87" count="1" selected="0">
            <x v="3635"/>
          </reference>
          <reference field="88" count="1">
            <x v="2570"/>
          </reference>
        </references>
      </pivotArea>
    </format>
    <format dxfId="281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50"/>
          </reference>
          <reference field="82" count="1" selected="0">
            <x v="2785"/>
          </reference>
          <reference field="85" count="1" selected="0">
            <x v="4"/>
          </reference>
          <reference field="87" count="1" selected="0">
            <x v="3636"/>
          </reference>
          <reference field="88" count="1">
            <x v="2571"/>
          </reference>
        </references>
      </pivotArea>
    </format>
    <format dxfId="281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51"/>
          </reference>
          <reference field="82" count="1" selected="0">
            <x v="2786"/>
          </reference>
          <reference field="85" count="1" selected="0">
            <x v="4"/>
          </reference>
          <reference field="87" count="1" selected="0">
            <x v="3637"/>
          </reference>
          <reference field="88" count="1">
            <x v="2572"/>
          </reference>
        </references>
      </pivotArea>
    </format>
    <format dxfId="281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46"/>
          </reference>
          <reference field="82" count="1" selected="0">
            <x v="2781"/>
          </reference>
          <reference field="85" count="1" selected="0">
            <x v="4"/>
          </reference>
          <reference field="87" count="1" selected="0">
            <x v="3632"/>
          </reference>
          <reference field="88" count="1">
            <x v="2567"/>
          </reference>
        </references>
      </pivotArea>
    </format>
    <format dxfId="281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selected="0">
            <x v="3674"/>
          </reference>
          <reference field="88" count="1">
            <x v="2587"/>
          </reference>
        </references>
      </pivotArea>
    </format>
    <format dxfId="281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87"/>
          </reference>
          <reference field="82" count="1" selected="0">
            <x v="2802"/>
          </reference>
          <reference field="85" count="1" selected="0">
            <x v="0"/>
          </reference>
          <reference field="87" count="1" selected="0">
            <x v="3675"/>
          </reference>
          <reference field="88" count="1">
            <x v="2588"/>
          </reference>
        </references>
      </pivotArea>
    </format>
    <format dxfId="281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88"/>
          </reference>
          <reference field="82" count="1" selected="0">
            <x v="2803"/>
          </reference>
          <reference field="85" count="1" selected="0">
            <x v="0"/>
          </reference>
          <reference field="87" count="1" selected="0">
            <x v="3676"/>
          </reference>
          <reference field="88" count="1">
            <x v="2589"/>
          </reference>
        </references>
      </pivotArea>
    </format>
    <format dxfId="280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85"/>
          </reference>
          <reference field="82" count="1" selected="0">
            <x v="2800"/>
          </reference>
          <reference field="85" count="1" selected="0">
            <x v="0"/>
          </reference>
          <reference field="87" count="1" selected="0">
            <x v="3673"/>
          </reference>
          <reference field="88" count="1">
            <x v="2586"/>
          </reference>
        </references>
      </pivotArea>
    </format>
    <format dxfId="280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228"/>
          </reference>
          <reference field="82" count="1" selected="0">
            <x v="2735"/>
          </reference>
          <reference field="85" count="1" selected="0">
            <x v="7"/>
          </reference>
          <reference field="87" count="1" selected="0">
            <x v="3614"/>
          </reference>
          <reference field="88" count="1">
            <x v="2521"/>
          </reference>
        </references>
      </pivotArea>
    </format>
    <format dxfId="280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selected="0">
            <x v="3719"/>
          </reference>
          <reference field="88" count="1">
            <x v="2638"/>
          </reference>
        </references>
      </pivotArea>
    </format>
    <format dxfId="280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selected="0">
            <x v="3720"/>
          </reference>
          <reference field="88" count="1">
            <x v="2639"/>
          </reference>
        </references>
      </pivotArea>
    </format>
    <format dxfId="280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84"/>
          </reference>
          <reference field="82" count="1" selected="0">
            <x v="2799"/>
          </reference>
          <reference field="85" count="1" selected="0">
            <x v="0"/>
          </reference>
          <reference field="87" count="1" selected="0">
            <x v="3672"/>
          </reference>
          <reference field="88" count="1">
            <x v="2585"/>
          </reference>
        </references>
      </pivotArea>
    </format>
    <format dxfId="280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82"/>
          </reference>
          <reference field="82" count="1" selected="0">
            <x v="2797"/>
          </reference>
          <reference field="85" count="1" selected="0">
            <x v="0"/>
          </reference>
          <reference field="87" count="1" selected="0">
            <x v="3670"/>
          </reference>
          <reference field="88" count="1">
            <x v="2583"/>
          </reference>
        </references>
      </pivotArea>
    </format>
    <format dxfId="280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83"/>
          </reference>
          <reference field="82" count="1" selected="0">
            <x v="2798"/>
          </reference>
          <reference field="85" count="1" selected="0">
            <x v="0"/>
          </reference>
          <reference field="87" count="1" selected="0">
            <x v="3671"/>
          </reference>
          <reference field="88" count="1">
            <x v="2584"/>
          </reference>
        </references>
      </pivotArea>
    </format>
    <format dxfId="280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2"/>
          </reference>
          <reference field="85" count="1" selected="0">
            <x v="7"/>
          </reference>
          <reference field="87" count="1" selected="0">
            <x v="3719"/>
          </reference>
          <reference field="88" count="1">
            <x v="2638"/>
          </reference>
        </references>
      </pivotArea>
    </format>
    <format dxfId="280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327"/>
          </reference>
          <reference field="82" count="1" selected="0">
            <x v="2853"/>
          </reference>
          <reference field="85" count="1" selected="0">
            <x v="7"/>
          </reference>
          <reference field="87" count="1" selected="0">
            <x v="3720"/>
          </reference>
          <reference field="88" count="1">
            <x v="2639"/>
          </reference>
        </references>
      </pivotArea>
    </format>
    <format dxfId="280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79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890"/>
          </reference>
          <reference field="85" count="1" selected="0">
            <x v="4"/>
          </reference>
          <reference field="87" count="1" selected="0">
            <x v="3756"/>
          </reference>
          <reference field="88" count="1">
            <x v="2678"/>
          </reference>
        </references>
      </pivotArea>
    </format>
    <format dxfId="279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79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889"/>
          </reference>
          <reference field="85" count="1" selected="0">
            <x v="4"/>
          </reference>
          <reference field="87" count="1" selected="0">
            <x v="3755"/>
          </reference>
          <reference field="88" count="1">
            <x v="2677"/>
          </reference>
        </references>
      </pivotArea>
    </format>
    <format dxfId="279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326"/>
          </reference>
          <reference field="82" count="1" selected="0">
            <x v="2854"/>
          </reference>
          <reference field="85" count="1" selected="0">
            <x v="7"/>
          </reference>
          <reference field="87" count="1" selected="0">
            <x v="3719"/>
          </reference>
          <reference field="88" count="1">
            <x v="2640"/>
          </reference>
        </references>
      </pivotArea>
    </format>
    <format dxfId="279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328"/>
          </reference>
          <reference field="82" count="1" selected="0">
            <x v="2855"/>
          </reference>
          <reference field="85" count="1" selected="0">
            <x v="7"/>
          </reference>
          <reference field="87" count="1" selected="0">
            <x v="3721"/>
          </reference>
          <reference field="88" count="1">
            <x v="2641"/>
          </reference>
        </references>
      </pivotArea>
    </format>
    <format dxfId="2794">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86"/>
          </reference>
          <reference field="82" count="1" selected="0">
            <x v="2801"/>
          </reference>
          <reference field="85" count="1" selected="0">
            <x v="0"/>
          </reference>
          <reference field="87" count="1" selected="0">
            <x v="3674"/>
          </reference>
          <reference field="88" count="1">
            <x v="2587"/>
          </reference>
        </references>
      </pivotArea>
    </format>
    <format dxfId="279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292"/>
          </reference>
          <reference field="82" count="1" selected="0">
            <x v="2810"/>
          </reference>
          <reference field="85" count="1" selected="0">
            <x v="0"/>
          </reference>
          <reference field="87" count="1" selected="0">
            <x v="3680"/>
          </reference>
          <reference field="88" count="1">
            <x v="2596"/>
          </reference>
        </references>
      </pivotArea>
    </format>
    <format dxfId="279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293"/>
          </reference>
          <reference field="82" count="1" selected="0">
            <x v="2811"/>
          </reference>
          <reference field="85" count="1" selected="0">
            <x v="0"/>
          </reference>
          <reference field="87" count="1" selected="0">
            <x v="3681"/>
          </reference>
          <reference field="88" count="1">
            <x v="2597"/>
          </reference>
        </references>
      </pivotArea>
    </format>
    <format dxfId="279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294"/>
          </reference>
          <reference field="82" count="1" selected="0">
            <x v="2812"/>
          </reference>
          <reference field="85" count="1" selected="0">
            <x v="0"/>
          </reference>
          <reference field="87" count="1" selected="0">
            <x v="3682"/>
          </reference>
          <reference field="88" count="1">
            <x v="2598"/>
          </reference>
        </references>
      </pivotArea>
    </format>
    <format dxfId="2790">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230"/>
          </reference>
          <reference field="82" count="1" selected="0">
            <x v="2722"/>
          </reference>
          <reference field="85" count="1" selected="0">
            <x v="7"/>
          </reference>
          <reference field="87" count="1" selected="0">
            <x v="3616"/>
          </reference>
          <reference field="88" count="1">
            <x v="2508"/>
          </reference>
        </references>
      </pivotArea>
    </format>
    <format dxfId="278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723"/>
          </reference>
          <reference field="85" count="1" selected="0">
            <x v="7"/>
          </reference>
          <reference field="87" count="1" selected="0">
            <x v="3617"/>
          </reference>
          <reference field="88" count="1">
            <x v="2509"/>
          </reference>
        </references>
      </pivotArea>
    </format>
    <format dxfId="278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selected="0">
            <x v="0"/>
          </reference>
          <reference field="87" count="1" selected="0">
            <x v="3677"/>
          </reference>
          <reference field="88" count="1">
            <x v="2593"/>
          </reference>
        </references>
      </pivotArea>
    </format>
    <format dxfId="278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selected="0">
            <x v="2808"/>
          </reference>
          <reference field="85" count="1" selected="0">
            <x v="0"/>
          </reference>
          <reference field="87" count="1" selected="0">
            <x v="3678"/>
          </reference>
          <reference field="88" count="1">
            <x v="2594"/>
          </reference>
        </references>
      </pivotArea>
    </format>
    <format dxfId="278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selected="0">
            <x v="2809"/>
          </reference>
          <reference field="85" count="1" selected="0">
            <x v="0"/>
          </reference>
          <reference field="87" count="1" selected="0">
            <x v="3679"/>
          </reference>
          <reference field="88" count="1">
            <x v="2595"/>
          </reference>
        </references>
      </pivotArea>
    </format>
    <format dxfId="278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selected="0">
            <x v="3722"/>
          </reference>
          <reference field="88" count="1">
            <x v="2642"/>
          </reference>
        </references>
      </pivotArea>
    </format>
    <format dxfId="278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330"/>
          </reference>
          <reference field="82" count="1" selected="0">
            <x v="2857"/>
          </reference>
          <reference field="85" count="1" selected="0">
            <x v="7"/>
          </reference>
          <reference field="87" count="1" selected="0">
            <x v="3723"/>
          </reference>
          <reference field="88" count="1">
            <x v="2643"/>
          </reference>
        </references>
      </pivotArea>
    </format>
    <format dxfId="2783">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240"/>
          </reference>
          <reference field="82" count="1" selected="0">
            <x v="2737"/>
          </reference>
          <reference field="85" count="1" selected="0">
            <x v="7"/>
          </reference>
          <reference field="87" count="1" selected="0">
            <x v="3626"/>
          </reference>
          <reference field="88" count="1">
            <x v="2523"/>
          </reference>
        </references>
      </pivotArea>
    </format>
    <format dxfId="278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89"/>
          </reference>
          <reference field="82" count="1" selected="0">
            <x v="2807"/>
          </reference>
          <reference field="85" count="1" selected="0">
            <x v="0"/>
          </reference>
          <reference field="87" count="1" selected="0">
            <x v="3677"/>
          </reference>
          <reference field="88" count="1">
            <x v="2593"/>
          </reference>
        </references>
      </pivotArea>
    </format>
    <format dxfId="278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90"/>
          </reference>
          <reference field="82" count="1" selected="0">
            <x v="2808"/>
          </reference>
          <reference field="85" count="1" selected="0">
            <x v="0"/>
          </reference>
          <reference field="87" count="1" selected="0">
            <x v="3678"/>
          </reference>
          <reference field="88" count="1">
            <x v="2594"/>
          </reference>
        </references>
      </pivotArea>
    </format>
    <format dxfId="278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91"/>
          </reference>
          <reference field="82" count="1" selected="0">
            <x v="2809"/>
          </reference>
          <reference field="85" count="1" selected="0">
            <x v="0"/>
          </reference>
          <reference field="87" count="1" selected="0">
            <x v="3679"/>
          </reference>
          <reference field="88" count="1">
            <x v="2595"/>
          </reference>
        </references>
      </pivotArea>
    </format>
    <format dxfId="2779">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selected="0">
            <x v="3722"/>
          </reference>
          <reference field="88" count="1">
            <x v="2642"/>
          </reference>
        </references>
      </pivotArea>
    </format>
    <format dxfId="277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98"/>
          </reference>
          <reference field="82" count="1" selected="0">
            <x v="2816"/>
          </reference>
          <reference field="85" count="1" selected="0">
            <x v="0"/>
          </reference>
          <reference field="87" count="1" selected="0">
            <x v="3686"/>
          </reference>
          <reference field="88" count="1">
            <x v="2602"/>
          </reference>
        </references>
      </pivotArea>
    </format>
    <format dxfId="277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299"/>
          </reference>
          <reference field="82" count="1" selected="0">
            <x v="2817"/>
          </reference>
          <reference field="85" count="1" selected="0">
            <x v="0"/>
          </reference>
          <reference field="87" count="1" selected="0">
            <x v="3687"/>
          </reference>
          <reference field="88" count="1">
            <x v="2603"/>
          </reference>
        </references>
      </pivotArea>
    </format>
    <format dxfId="277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300"/>
          </reference>
          <reference field="82" count="1" selected="0">
            <x v="2818"/>
          </reference>
          <reference field="85" count="1" selected="0">
            <x v="0"/>
          </reference>
          <reference field="87" count="1" selected="0">
            <x v="3688"/>
          </reference>
          <reference field="88" count="1">
            <x v="2604"/>
          </reference>
        </references>
      </pivotArea>
    </format>
    <format dxfId="277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226"/>
          </reference>
          <reference field="82" count="1" selected="0">
            <x v="2717"/>
          </reference>
          <reference field="85" count="1" selected="0">
            <x v="7"/>
          </reference>
          <reference field="87" count="1" selected="0">
            <x v="3612"/>
          </reference>
          <reference field="88" count="1">
            <x v="2503"/>
          </reference>
        </references>
      </pivotArea>
    </format>
    <format dxfId="277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selected="0">
            <x v="3613"/>
          </reference>
          <reference field="88" count="1">
            <x v="2504"/>
          </reference>
        </references>
      </pivotArea>
    </format>
    <format dxfId="277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44"/>
          </reference>
          <reference field="82" count="1" selected="0">
            <x v="2772"/>
          </reference>
          <reference field="85" count="1" selected="0">
            <x v="4"/>
          </reference>
          <reference field="87" count="1" selected="0">
            <x v="3630"/>
          </reference>
          <reference field="88" count="1">
            <x v="2558"/>
          </reference>
        </references>
      </pivotArea>
    </format>
    <format dxfId="277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250"/>
          </reference>
          <reference field="82" count="1" selected="0">
            <x v="2773"/>
          </reference>
          <reference field="85" count="1" selected="0">
            <x v="4"/>
          </reference>
          <reference field="87" count="1" selected="0">
            <x v="3636"/>
          </reference>
          <reference field="88" count="1">
            <x v="2559"/>
          </reference>
        </references>
      </pivotArea>
    </format>
    <format dxfId="277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246"/>
          </reference>
          <reference field="82" count="1" selected="0">
            <x v="2770"/>
          </reference>
          <reference field="85" count="1" selected="0">
            <x v="4"/>
          </reference>
          <reference field="87" count="1" selected="0">
            <x v="3632"/>
          </reference>
          <reference field="88" count="1">
            <x v="2556"/>
          </reference>
        </references>
      </pivotArea>
    </format>
    <format dxfId="277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268"/>
          </reference>
          <reference field="82" count="1" selected="0">
            <x v="2771"/>
          </reference>
          <reference field="85" count="1" selected="0">
            <x v="4"/>
          </reference>
          <reference field="87" count="1" selected="0">
            <x v="3654"/>
          </reference>
          <reference field="88" count="1">
            <x v="2557"/>
          </reference>
        </references>
      </pivotArea>
    </format>
    <format dxfId="276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95"/>
          </reference>
          <reference field="82" count="1" selected="0">
            <x v="2813"/>
          </reference>
          <reference field="85" count="1" selected="0">
            <x v="0"/>
          </reference>
          <reference field="87" count="1" selected="0">
            <x v="3683"/>
          </reference>
          <reference field="88" count="1">
            <x v="2599"/>
          </reference>
        </references>
      </pivotArea>
    </format>
    <format dxfId="276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296"/>
          </reference>
          <reference field="82" count="1" selected="0">
            <x v="2814"/>
          </reference>
          <reference field="85" count="1" selected="0">
            <x v="0"/>
          </reference>
          <reference field="87" count="1" selected="0">
            <x v="3684"/>
          </reference>
          <reference field="88" count="1">
            <x v="2600"/>
          </reference>
        </references>
      </pivotArea>
    </format>
    <format dxfId="276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297"/>
          </reference>
          <reference field="82" count="1" selected="0">
            <x v="2815"/>
          </reference>
          <reference field="85" count="1" selected="0">
            <x v="0"/>
          </reference>
          <reference field="87" count="1" selected="0">
            <x v="3685"/>
          </reference>
          <reference field="88" count="1">
            <x v="2601"/>
          </reference>
        </references>
      </pivotArea>
    </format>
    <format dxfId="2766">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40"/>
          </reference>
          <reference field="82" count="1" selected="0">
            <x v="2869"/>
          </reference>
          <reference field="85" count="1" selected="0">
            <x v="7"/>
          </reference>
          <reference field="87" count="1" selected="0">
            <x v="3733"/>
          </reference>
          <reference field="88" count="1">
            <x v="2655"/>
          </reference>
        </references>
      </pivotArea>
    </format>
    <format dxfId="2765">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selected="0">
            <x v="2725"/>
          </reference>
          <reference field="85" count="1" selected="0">
            <x v="7"/>
          </reference>
          <reference field="87" count="1" selected="0">
            <x v="3619"/>
          </reference>
          <reference field="88" count="1">
            <x v="2511"/>
          </reference>
        </references>
      </pivotArea>
    </format>
    <format dxfId="276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77"/>
          </reference>
          <reference field="82" count="1" selected="0">
            <x v="2791"/>
          </reference>
          <reference field="85" count="1" selected="0">
            <x v="0"/>
          </reference>
          <reference field="87" count="1" selected="0">
            <x v="3664"/>
          </reference>
          <reference field="88" count="1">
            <x v="2577"/>
          </reference>
        </references>
      </pivotArea>
    </format>
    <format dxfId="276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276"/>
          </reference>
          <reference field="82" count="1" selected="0">
            <x v="2790"/>
          </reference>
          <reference field="85" count="1" selected="0">
            <x v="0"/>
          </reference>
          <reference field="87" count="1" selected="0">
            <x v="3663"/>
          </reference>
          <reference field="88" count="1">
            <x v="2576"/>
          </reference>
        </references>
      </pivotArea>
    </format>
    <format dxfId="276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278"/>
          </reference>
          <reference field="82" count="1" selected="0">
            <x v="2792"/>
          </reference>
          <reference field="85" count="1" selected="0">
            <x v="0"/>
          </reference>
          <reference field="87" count="1" selected="0">
            <x v="3665"/>
          </reference>
          <reference field="88" count="1">
            <x v="2578"/>
          </reference>
        </references>
      </pivotArea>
    </format>
    <format dxfId="276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38"/>
          </reference>
          <reference field="82" count="1" selected="0">
            <x v="2733"/>
          </reference>
          <reference field="85" count="1" selected="0">
            <x v="7"/>
          </reference>
          <reference field="87" count="1" selected="0">
            <x v="3624"/>
          </reference>
          <reference field="88" count="1">
            <x v="2519"/>
          </reference>
        </references>
      </pivotArea>
    </format>
    <format dxfId="276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233"/>
          </reference>
          <reference field="82" count="1" selected="0">
            <x v="2725"/>
          </reference>
          <reference field="85" count="1" selected="0">
            <x v="7"/>
          </reference>
          <reference field="87" count="1" selected="0">
            <x v="3619"/>
          </reference>
          <reference field="88" count="1">
            <x v="2511"/>
          </reference>
        </references>
      </pivotArea>
    </format>
    <format dxfId="275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71"/>
          </reference>
          <reference field="82" count="1" selected="0">
            <x v="2776"/>
          </reference>
          <reference field="85" count="1" selected="0">
            <x v="4"/>
          </reference>
          <reference field="87" count="1" selected="0">
            <x v="3657"/>
          </reference>
          <reference field="88" count="1">
            <x v="2562"/>
          </reference>
        </references>
      </pivotArea>
    </format>
    <format dxfId="275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272"/>
          </reference>
          <reference field="82" count="1" selected="0">
            <x v="2777"/>
          </reference>
          <reference field="85" count="1" selected="0">
            <x v="4"/>
          </reference>
          <reference field="87" count="1" selected="0">
            <x v="3658"/>
          </reference>
          <reference field="88" count="1">
            <x v="2563"/>
          </reference>
        </references>
      </pivotArea>
    </format>
    <format dxfId="275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269"/>
          </reference>
          <reference field="82" count="1" selected="0">
            <x v="2774"/>
          </reference>
          <reference field="85" count="1" selected="0">
            <x v="4"/>
          </reference>
          <reference field="87" count="1" selected="0">
            <x v="3655"/>
          </reference>
          <reference field="88" count="1">
            <x v="2560"/>
          </reference>
        </references>
      </pivotArea>
    </format>
    <format dxfId="275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270"/>
          </reference>
          <reference field="82" count="1" selected="0">
            <x v="2775"/>
          </reference>
          <reference field="85" count="1" selected="0">
            <x v="4"/>
          </reference>
          <reference field="87" count="1" selected="0">
            <x v="3656"/>
          </reference>
          <reference field="88" count="1">
            <x v="2561"/>
          </reference>
        </references>
      </pivotArea>
    </format>
    <format dxfId="275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selected="0">
            <x v="0"/>
          </reference>
          <reference field="87" count="1" selected="0">
            <x v="3660"/>
          </reference>
          <reference field="88" count="1">
            <x v="2573"/>
          </reference>
        </references>
      </pivotArea>
    </format>
    <format dxfId="275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selected="0">
            <x v="2788"/>
          </reference>
          <reference field="85" count="1" selected="0">
            <x v="0"/>
          </reference>
          <reference field="87" count="1" selected="0">
            <x v="3661"/>
          </reference>
          <reference field="88" count="1">
            <x v="2574"/>
          </reference>
        </references>
      </pivotArea>
    </format>
    <format dxfId="275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selected="0">
            <x v="2789"/>
          </reference>
          <reference field="85" count="1" selected="0">
            <x v="0"/>
          </reference>
          <reference field="87" count="1" selected="0">
            <x v="3662"/>
          </reference>
          <reference field="88" count="1">
            <x v="2575"/>
          </reference>
        </references>
      </pivotArea>
    </format>
    <format dxfId="2752">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selected="0">
            <x v="3613"/>
          </reference>
          <reference field="88" count="1">
            <x v="2504"/>
          </reference>
        </references>
      </pivotArea>
    </format>
    <format dxfId="275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74"/>
          </reference>
          <reference field="82" count="1" selected="0">
            <x v="2787"/>
          </reference>
          <reference field="85" count="1" selected="0">
            <x v="0"/>
          </reference>
          <reference field="87" count="1" selected="0">
            <x v="3660"/>
          </reference>
          <reference field="88" count="1">
            <x v="2573"/>
          </reference>
        </references>
      </pivotArea>
    </format>
    <format dxfId="275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75"/>
          </reference>
          <reference field="82" count="1" selected="0">
            <x v="2788"/>
          </reference>
          <reference field="85" count="1" selected="0">
            <x v="0"/>
          </reference>
          <reference field="87" count="1" selected="0">
            <x v="3661"/>
          </reference>
          <reference field="88" count="1">
            <x v="2574"/>
          </reference>
        </references>
      </pivotArea>
    </format>
    <format dxfId="274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214"/>
          </reference>
          <reference field="82" count="1" selected="0">
            <x v="2789"/>
          </reference>
          <reference field="85" count="1" selected="0">
            <x v="0"/>
          </reference>
          <reference field="87" count="1" selected="0">
            <x v="3662"/>
          </reference>
          <reference field="88" count="1">
            <x v="2575"/>
          </reference>
        </references>
      </pivotArea>
    </format>
    <format dxfId="274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232"/>
          </reference>
          <reference field="82" count="1" selected="0">
            <x v="2724"/>
          </reference>
          <reference field="85" count="1" selected="0">
            <x v="7"/>
          </reference>
          <reference field="87" count="1" selected="0">
            <x v="3618"/>
          </reference>
          <reference field="88" count="1">
            <x v="2510"/>
          </reference>
        </references>
      </pivotArea>
    </format>
    <format dxfId="274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18"/>
          </reference>
          <reference field="85" count="1" selected="0">
            <x v="7"/>
          </reference>
          <reference field="87" count="1" selected="0">
            <x v="3613"/>
          </reference>
          <reference field="88" count="1">
            <x v="2504"/>
          </reference>
        </references>
      </pivotArea>
    </format>
    <format dxfId="274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selected="0">
            <x v="0"/>
          </reference>
          <reference field="87" count="1" selected="0">
            <x v="3666"/>
          </reference>
          <reference field="88" count="1">
            <x v="2579"/>
          </reference>
        </references>
      </pivotArea>
    </format>
    <format dxfId="274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selected="0">
            <x v="2794"/>
          </reference>
          <reference field="85" count="1" selected="0">
            <x v="0"/>
          </reference>
          <reference field="87" count="1" selected="0">
            <x v="3667"/>
          </reference>
          <reference field="88" count="1">
            <x v="2580"/>
          </reference>
        </references>
      </pivotArea>
    </format>
    <format dxfId="274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selected="0">
            <x v="3668"/>
          </reference>
          <reference field="88" count="1">
            <x v="2581"/>
          </reference>
        </references>
      </pivotArea>
    </format>
    <format dxfId="274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305"/>
          </reference>
          <reference field="82" count="1" selected="0">
            <x v="2838"/>
          </reference>
          <reference field="85" count="1" selected="0">
            <x v="2"/>
          </reference>
          <reference field="87" count="1" selected="0">
            <x v="3706"/>
          </reference>
          <reference field="88" count="1">
            <x v="2624"/>
          </reference>
        </references>
      </pivotArea>
    </format>
    <format dxfId="274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310"/>
          </reference>
          <reference field="82" count="1" selected="0">
            <x v="2837"/>
          </reference>
          <reference field="85" count="1" selected="0">
            <x v="2"/>
          </reference>
          <reference field="87" count="1" selected="0">
            <x v="3705"/>
          </reference>
          <reference field="88" count="1">
            <x v="2623"/>
          </reference>
        </references>
      </pivotArea>
    </format>
    <format dxfId="274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314"/>
          </reference>
          <reference field="82" count="1" selected="0">
            <x v="2839"/>
          </reference>
          <reference field="85" count="1" selected="0">
            <x v="2"/>
          </reference>
          <reference field="87" count="1" selected="0">
            <x v="3707"/>
          </reference>
          <reference field="88" count="1">
            <x v="2625"/>
          </reference>
        </references>
      </pivotArea>
    </format>
    <format dxfId="274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79"/>
          </reference>
          <reference field="82" count="1" selected="0">
            <x v="2793"/>
          </reference>
          <reference field="85" count="1" selected="0">
            <x v="0"/>
          </reference>
          <reference field="87" count="1" selected="0">
            <x v="3666"/>
          </reference>
          <reference field="88" count="1">
            <x v="2579"/>
          </reference>
        </references>
      </pivotArea>
    </format>
    <format dxfId="273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80"/>
          </reference>
          <reference field="82" count="1" selected="0">
            <x v="2794"/>
          </reference>
          <reference field="85" count="1" selected="0">
            <x v="0"/>
          </reference>
          <reference field="87" count="1" selected="0">
            <x v="3667"/>
          </reference>
          <reference field="88" count="1">
            <x v="2580"/>
          </reference>
        </references>
      </pivotArea>
    </format>
    <format dxfId="273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selected="0">
            <x v="3668"/>
          </reference>
          <reference field="88" count="1">
            <x v="2581"/>
          </reference>
        </references>
      </pivotArea>
    </format>
    <format dxfId="2737">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0"/>
          </reference>
          <reference field="85" count="1" selected="0">
            <x v="7"/>
          </reference>
          <reference field="87" count="1" selected="0">
            <x v="3617"/>
          </reference>
          <reference field="88" count="1">
            <x v="2646"/>
          </reference>
        </references>
      </pivotArea>
    </format>
    <format dxfId="273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49"/>
          </reference>
          <reference field="82" count="1" selected="0">
            <x v="2891"/>
          </reference>
          <reference field="85" count="1" selected="0">
            <x v="4"/>
          </reference>
          <reference field="87" count="1" selected="0">
            <x v="3749"/>
          </reference>
          <reference field="88" count="1">
            <x v="2679"/>
          </reference>
        </references>
      </pivotArea>
    </format>
    <format dxfId="273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211"/>
          </reference>
          <reference field="82" count="1" selected="0">
            <x v="2701"/>
          </reference>
          <reference field="85" count="1" selected="0">
            <x v="4"/>
          </reference>
          <reference field="87" count="1" selected="0">
            <x v="3752"/>
          </reference>
          <reference field="88" count="1">
            <x v="2680"/>
          </reference>
        </references>
      </pivotArea>
    </format>
    <format dxfId="273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210"/>
          </reference>
          <reference field="82" count="1" selected="0">
            <x v="2700"/>
          </reference>
          <reference field="85" count="1" selected="0">
            <x v="4"/>
          </reference>
          <reference field="87" count="1" selected="0">
            <x v="3771"/>
          </reference>
          <reference field="88" count="1">
            <x v="2704"/>
          </reference>
        </references>
      </pivotArea>
    </format>
    <format dxfId="273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348"/>
          </reference>
          <reference field="82" count="1" selected="0">
            <x v="2913"/>
          </reference>
          <reference field="85" count="1" selected="0">
            <x v="4"/>
          </reference>
          <reference field="87" count="1" selected="0">
            <x v="3748"/>
          </reference>
          <reference field="88" count="1">
            <x v="2703"/>
          </reference>
        </references>
      </pivotArea>
    </format>
    <format dxfId="273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selected="0">
            <x v="3734"/>
          </reference>
          <reference field="88" count="1">
            <x v="2656"/>
          </reference>
        </references>
      </pivotArea>
    </format>
    <format dxfId="273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selected="0">
            <x v="3735"/>
          </reference>
          <reference field="88" count="1">
            <x v="2657"/>
          </reference>
        </references>
      </pivotArea>
    </format>
    <format dxfId="273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selected="0">
            <x v="3736"/>
          </reference>
          <reference field="88" count="1">
            <x v="2658"/>
          </reference>
        </references>
      </pivotArea>
    </format>
    <format dxfId="272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selected="0">
            <x v="3737"/>
          </reference>
          <reference field="88" count="1">
            <x v="2659"/>
          </reference>
        </references>
      </pivotArea>
    </format>
    <format dxfId="272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211"/>
          </reference>
          <reference field="82" count="1" selected="0">
            <x v="2701"/>
          </reference>
          <reference field="85" count="1" selected="0">
            <x v="3"/>
          </reference>
          <reference field="87" count="1" selected="0">
            <x v="3597"/>
          </reference>
          <reference field="88" count="1">
            <x v="2487"/>
          </reference>
        </references>
      </pivotArea>
    </format>
    <format dxfId="272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210"/>
          </reference>
          <reference field="82" count="1" selected="0">
            <x v="2700"/>
          </reference>
          <reference field="85" count="1" selected="0">
            <x v="3"/>
          </reference>
          <reference field="87" count="1" selected="0">
            <x v="3596"/>
          </reference>
          <reference field="88" count="1">
            <x v="2486"/>
          </reference>
        </references>
      </pivotArea>
    </format>
    <format dxfId="272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selected="0">
            <x v="3734"/>
          </reference>
          <reference field="88" count="1">
            <x v="2656"/>
          </reference>
        </references>
      </pivotArea>
    </format>
    <format dxfId="272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selected="0">
            <x v="3735"/>
          </reference>
          <reference field="88" count="1">
            <x v="2657"/>
          </reference>
        </references>
      </pivotArea>
    </format>
    <format dxfId="272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selected="0">
            <x v="3736"/>
          </reference>
          <reference field="88" count="1">
            <x v="2658"/>
          </reference>
        </references>
      </pivotArea>
    </format>
    <format dxfId="272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selected="0">
            <x v="3737"/>
          </reference>
          <reference field="88" count="1">
            <x v="2659"/>
          </reference>
        </references>
      </pivotArea>
    </format>
    <format dxfId="272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41"/>
          </reference>
          <reference field="82" count="1" selected="0">
            <x v="2870"/>
          </reference>
          <reference field="85" count="1" selected="0">
            <x v="4"/>
          </reference>
          <reference field="87" count="1" selected="0">
            <x v="3734"/>
          </reference>
          <reference field="88" count="1">
            <x v="2656"/>
          </reference>
        </references>
      </pivotArea>
    </format>
    <format dxfId="272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42"/>
          </reference>
          <reference field="82" count="1" selected="0">
            <x v="2871"/>
          </reference>
          <reference field="85" count="1" selected="0">
            <x v="4"/>
          </reference>
          <reference field="87" count="1" selected="0">
            <x v="3735"/>
          </reference>
          <reference field="88" count="1">
            <x v="2657"/>
          </reference>
        </references>
      </pivotArea>
    </format>
    <format dxfId="272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selected="0">
            <x v="3736"/>
          </reference>
          <reference field="88" count="1">
            <x v="2658"/>
          </reference>
        </references>
      </pivotArea>
    </format>
    <format dxfId="271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44"/>
          </reference>
          <reference field="82" count="1" selected="0">
            <x v="2873"/>
          </reference>
          <reference field="85" count="1" selected="0">
            <x v="4"/>
          </reference>
          <reference field="87" count="1" selected="0">
            <x v="3737"/>
          </reference>
          <reference field="88" count="1">
            <x v="2659"/>
          </reference>
        </references>
      </pivotArea>
    </format>
    <format dxfId="271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224"/>
          </reference>
          <reference field="82" count="1" selected="0">
            <x v="2795"/>
          </reference>
          <reference field="85" count="1" selected="0">
            <x v="0"/>
          </reference>
          <reference field="87" count="1" selected="0">
            <x v="3668"/>
          </reference>
          <reference field="88" count="1">
            <x v="2581"/>
          </reference>
        </references>
      </pivotArea>
    </format>
    <format dxfId="271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302"/>
          </reference>
          <reference field="82" count="1" selected="0">
            <x v="2820"/>
          </reference>
          <reference field="85" count="1" selected="0">
            <x v="0"/>
          </reference>
          <reference field="87" count="1" selected="0">
            <x v="3690"/>
          </reference>
          <reference field="88" count="1">
            <x v="2606"/>
          </reference>
        </references>
      </pivotArea>
    </format>
    <format dxfId="271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301"/>
          </reference>
          <reference field="82" count="1" selected="0">
            <x v="2819"/>
          </reference>
          <reference field="85" count="1" selected="0">
            <x v="0"/>
          </reference>
          <reference field="87" count="1" selected="0">
            <x v="3689"/>
          </reference>
          <reference field="88" count="1">
            <x v="2605"/>
          </reference>
        </references>
      </pivotArea>
    </format>
    <format dxfId="271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selected="0">
            <x v="3614"/>
          </reference>
          <reference field="88" count="1">
            <x v="2505"/>
          </reference>
        </references>
      </pivotArea>
    </format>
    <format dxfId="271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selected="0">
            <x v="3615"/>
          </reference>
          <reference field="88" count="1">
            <x v="2506"/>
          </reference>
        </references>
      </pivotArea>
    </format>
    <format dxfId="271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1"/>
          </reference>
          <reference field="85" count="1" selected="0">
            <x v="7"/>
          </reference>
          <reference field="87" count="1" selected="0">
            <x v="3613"/>
          </reference>
          <reference field="88" count="1">
            <x v="2507"/>
          </reference>
        </references>
      </pivotArea>
    </format>
    <format dxfId="271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65"/>
          </reference>
          <reference field="82" count="1" selected="0">
            <x v="2766"/>
          </reference>
          <reference field="85" count="1" selected="0">
            <x v="4"/>
          </reference>
          <reference field="87" count="1" selected="0">
            <x v="3651"/>
          </reference>
          <reference field="88" count="1">
            <x v="2552"/>
          </reference>
        </references>
      </pivotArea>
    </format>
    <format dxfId="271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255"/>
          </reference>
          <reference field="82" count="1" selected="0">
            <x v="2767"/>
          </reference>
          <reference field="85" count="1" selected="0">
            <x v="4"/>
          </reference>
          <reference field="87" count="1" selected="0">
            <x v="3641"/>
          </reference>
          <reference field="88" count="1">
            <x v="2553"/>
          </reference>
        </references>
      </pivotArea>
    </format>
    <format dxfId="271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266"/>
          </reference>
          <reference field="82" count="1" selected="0">
            <x v="2768"/>
          </reference>
          <reference field="85" count="1" selected="0">
            <x v="4"/>
          </reference>
          <reference field="87" count="1" selected="0">
            <x v="3652"/>
          </reference>
          <reference field="88" count="1">
            <x v="2554"/>
          </reference>
        </references>
      </pivotArea>
    </format>
    <format dxfId="270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267"/>
          </reference>
          <reference field="82" count="1" selected="0">
            <x v="2769"/>
          </reference>
          <reference field="85" count="1" selected="0">
            <x v="4"/>
          </reference>
          <reference field="87" count="1" selected="0">
            <x v="3653"/>
          </reference>
          <reference field="88" count="1">
            <x v="2555"/>
          </reference>
        </references>
      </pivotArea>
    </format>
    <format dxfId="270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90"/>
          </reference>
          <reference field="82" count="1" selected="0">
            <x v="2826"/>
          </reference>
          <reference field="85" count="1" selected="0">
            <x v="0"/>
          </reference>
          <reference field="87" count="1" selected="0">
            <x v="3678"/>
          </reference>
          <reference field="88" count="1">
            <x v="2612"/>
          </reference>
        </references>
      </pivotArea>
    </format>
    <format dxfId="270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309"/>
          </reference>
          <reference field="82" count="1" selected="0">
            <x v="2830"/>
          </reference>
          <reference field="85" count="1" selected="0">
            <x v="0"/>
          </reference>
          <reference field="87" count="1" selected="0">
            <x v="3698"/>
          </reference>
          <reference field="88" count="1">
            <x v="2616"/>
          </reference>
        </references>
      </pivotArea>
    </format>
    <format dxfId="270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310"/>
          </reference>
          <reference field="82" count="1" selected="0">
            <x v="2831"/>
          </reference>
          <reference field="85" count="1" selected="0">
            <x v="0"/>
          </reference>
          <reference field="87" count="1" selected="0">
            <x v="3699"/>
          </reference>
          <reference field="88" count="1">
            <x v="2617"/>
          </reference>
        </references>
      </pivotArea>
    </format>
    <format dxfId="270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selected="0">
            <x v="7"/>
          </reference>
          <reference field="87" count="1" selected="0">
            <x v="3732"/>
          </reference>
          <reference field="88" count="1">
            <x v="2653"/>
          </reference>
        </references>
      </pivotArea>
    </format>
    <format dxfId="270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231"/>
          </reference>
          <reference field="82" count="1" selected="0">
            <x v="2868"/>
          </reference>
          <reference field="85" count="1" selected="0">
            <x v="7"/>
          </reference>
          <reference field="87" count="1" selected="0">
            <x v="3617"/>
          </reference>
          <reference field="88" count="1">
            <x v="2654"/>
          </reference>
        </references>
      </pivotArea>
    </format>
    <format dxfId="270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220"/>
          </reference>
          <reference field="82" count="1" selected="0">
            <x v="2711"/>
          </reference>
          <reference field="85" count="1" selected="0">
            <x v="3"/>
          </reference>
          <reference field="87" count="1" selected="0">
            <x v="3606"/>
          </reference>
          <reference field="88" count="1">
            <x v="2497"/>
          </reference>
        </references>
      </pivotArea>
    </format>
    <format dxfId="270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222"/>
          </reference>
          <reference field="82" count="1" selected="0">
            <x v="2713"/>
          </reference>
          <reference field="85" count="1" selected="0">
            <x v="3"/>
          </reference>
          <reference field="87" count="1" selected="0">
            <x v="3608"/>
          </reference>
          <reference field="88" count="1">
            <x v="2499"/>
          </reference>
        </references>
      </pivotArea>
    </format>
    <format dxfId="270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223"/>
          </reference>
          <reference field="82" count="1" selected="0">
            <x v="2714"/>
          </reference>
          <reference field="85" count="1" selected="0">
            <x v="3"/>
          </reference>
          <reference field="87" count="1" selected="0">
            <x v="3609"/>
          </reference>
          <reference field="88" count="1">
            <x v="2500"/>
          </reference>
        </references>
      </pivotArea>
    </format>
    <format dxfId="270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selected="0">
            <x v="2715"/>
          </reference>
          <reference field="85" count="1" selected="0">
            <x v="3"/>
          </reference>
          <reference field="87" count="1" selected="0">
            <x v="3610"/>
          </reference>
          <reference field="88" count="1">
            <x v="2501"/>
          </reference>
        </references>
      </pivotArea>
    </format>
    <format dxfId="269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221"/>
          </reference>
          <reference field="82" count="1" selected="0">
            <x v="2712"/>
          </reference>
          <reference field="85" count="1" selected="0">
            <x v="3"/>
          </reference>
          <reference field="87" count="1" selected="0">
            <x v="3607"/>
          </reference>
          <reference field="88" count="1">
            <x v="2498"/>
          </reference>
        </references>
      </pivotArea>
    </format>
    <format dxfId="269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selected="0">
            <x v="3614"/>
          </reference>
          <reference field="88" count="1">
            <x v="2505"/>
          </reference>
        </references>
      </pivotArea>
    </format>
    <format dxfId="269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selected="0">
            <x v="3615"/>
          </reference>
          <reference field="88" count="1">
            <x v="2506"/>
          </reference>
        </references>
      </pivotArea>
    </format>
    <format dxfId="269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selected="0">
            <x v="3614"/>
          </reference>
          <reference field="88" count="1">
            <x v="2505"/>
          </reference>
        </references>
      </pivotArea>
    </format>
    <format dxfId="269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selected="0">
            <x v="3615"/>
          </reference>
          <reference field="88" count="1">
            <x v="2506"/>
          </reference>
        </references>
      </pivotArea>
    </format>
    <format dxfId="269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227"/>
          </reference>
          <reference field="82" count="1" selected="0">
            <x v="2721"/>
          </reference>
          <reference field="85" count="1" selected="0">
            <x v="7"/>
          </reference>
          <reference field="87" count="1" selected="0">
            <x v="3613"/>
          </reference>
          <reference field="88" count="1">
            <x v="2507"/>
          </reference>
        </references>
      </pivotArea>
    </format>
    <format dxfId="269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63"/>
          </reference>
          <reference field="82" count="1" selected="0">
            <x v="2762"/>
          </reference>
          <reference field="85" count="1" selected="0">
            <x v="4"/>
          </reference>
          <reference field="87" count="1" selected="0">
            <x v="3649"/>
          </reference>
          <reference field="88" count="1">
            <x v="2548"/>
          </reference>
        </references>
      </pivotArea>
    </format>
    <format dxfId="269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261"/>
          </reference>
          <reference field="82" count="1" selected="0">
            <x v="2763"/>
          </reference>
          <reference field="85" count="1" selected="0">
            <x v="4"/>
          </reference>
          <reference field="87" count="1" selected="0">
            <x v="3647"/>
          </reference>
          <reference field="88" count="1">
            <x v="2549"/>
          </reference>
        </references>
      </pivotArea>
    </format>
    <format dxfId="269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264"/>
          </reference>
          <reference field="82" count="1" selected="0">
            <x v="2764"/>
          </reference>
          <reference field="85" count="1" selected="0">
            <x v="4"/>
          </reference>
          <reference field="87" count="1" selected="0">
            <x v="3650"/>
          </reference>
          <reference field="88" count="1">
            <x v="2550"/>
          </reference>
        </references>
      </pivotArea>
    </format>
    <format dxfId="269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256"/>
          </reference>
          <reference field="82" count="1" selected="0">
            <x v="2765"/>
          </reference>
          <reference field="85" count="1" selected="0">
            <x v="4"/>
          </reference>
          <reference field="87" count="1" selected="0">
            <x v="3642"/>
          </reference>
          <reference field="88" count="1">
            <x v="2551"/>
          </reference>
        </references>
      </pivotArea>
    </format>
    <format dxfId="268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222"/>
          </reference>
          <reference field="82" count="1" selected="0">
            <x v="2827"/>
          </reference>
          <reference field="85" count="1" selected="0">
            <x v="0"/>
          </reference>
          <reference field="87" count="1" selected="0">
            <x v="3696"/>
          </reference>
          <reference field="88" count="1">
            <x v="2613"/>
          </reference>
        </references>
      </pivotArea>
    </format>
    <format dxfId="268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288"/>
          </reference>
          <reference field="82" count="1" selected="0">
            <x v="2828"/>
          </reference>
          <reference field="85" count="1" selected="0">
            <x v="0"/>
          </reference>
          <reference field="87" count="1" selected="0">
            <x v="3676"/>
          </reference>
          <reference field="88" count="1">
            <x v="2614"/>
          </reference>
        </references>
      </pivotArea>
    </format>
    <format dxfId="268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308"/>
          </reference>
          <reference field="82" count="1" selected="0">
            <x v="2829"/>
          </reference>
          <reference field="85" count="1" selected="0">
            <x v="0"/>
          </reference>
          <reference field="87" count="1" selected="0">
            <x v="3697"/>
          </reference>
          <reference field="88" count="1">
            <x v="2615"/>
          </reference>
        </references>
      </pivotArea>
    </format>
    <format dxfId="2686">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39"/>
          </reference>
          <reference field="82" count="1" selected="0">
            <x v="2867"/>
          </reference>
          <reference field="85" count="1" selected="0">
            <x v="7"/>
          </reference>
          <reference field="87" count="1" selected="0">
            <x v="3732"/>
          </reference>
          <reference field="88" count="1">
            <x v="2653"/>
          </reference>
        </references>
      </pivotArea>
    </format>
    <format dxfId="268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225"/>
          </reference>
          <reference field="82" count="1" selected="0">
            <x v="2716"/>
          </reference>
          <reference field="85" count="1" selected="0">
            <x v="3"/>
          </reference>
          <reference field="87" count="1" selected="0">
            <x v="3611"/>
          </reference>
          <reference field="88" count="1">
            <x v="2502"/>
          </reference>
        </references>
      </pivotArea>
    </format>
    <format dxfId="268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224"/>
          </reference>
          <reference field="82" count="1" selected="0">
            <x v="2715"/>
          </reference>
          <reference field="85" count="1" selected="0">
            <x v="3"/>
          </reference>
          <reference field="87" count="1" selected="0">
            <x v="3610"/>
          </reference>
          <reference field="88" count="1">
            <x v="2501"/>
          </reference>
        </references>
      </pivotArea>
    </format>
    <format dxfId="268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712"/>
          </reference>
          <reference field="85" count="1" selected="0">
            <x v="3"/>
          </reference>
          <reference field="87" count="1" selected="0">
            <x v="3607"/>
          </reference>
          <reference field="88" count="1">
            <x v="2498"/>
          </reference>
        </references>
      </pivotArea>
    </format>
    <format dxfId="268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228"/>
          </reference>
          <reference field="82" count="1" selected="0">
            <x v="2719"/>
          </reference>
          <reference field="85" count="1" selected="0">
            <x v="7"/>
          </reference>
          <reference field="87" count="1" selected="0">
            <x v="3614"/>
          </reference>
          <reference field="88" count="1">
            <x v="2505"/>
          </reference>
        </references>
      </pivotArea>
    </format>
    <format dxfId="268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229"/>
          </reference>
          <reference field="82" count="1" selected="0">
            <x v="2720"/>
          </reference>
          <reference field="85" count="1" selected="0">
            <x v="7"/>
          </reference>
          <reference field="87" count="1" selected="0">
            <x v="3615"/>
          </reference>
          <reference field="88" count="1">
            <x v="2506"/>
          </reference>
        </references>
      </pivotArea>
    </format>
    <format dxfId="268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210"/>
          </reference>
          <reference field="82" count="1" selected="0">
            <x v="2705"/>
          </reference>
          <reference field="85" count="1" selected="0">
            <x v="3"/>
          </reference>
          <reference field="87" count="1" selected="0">
            <x v="3596"/>
          </reference>
          <reference field="88" count="1">
            <x v="2491"/>
          </reference>
        </references>
      </pivotArea>
    </format>
    <format dxfId="267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214"/>
          </reference>
          <reference field="82" count="1" selected="0">
            <x v="2704"/>
          </reference>
          <reference field="85" count="1" selected="0">
            <x v="3"/>
          </reference>
          <reference field="87" count="1" selected="0">
            <x v="3600"/>
          </reference>
          <reference field="88" count="1">
            <x v="2490"/>
          </reference>
        </references>
      </pivotArea>
    </format>
    <format dxfId="267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212"/>
          </reference>
          <reference field="82" count="1" selected="0">
            <x v="2702"/>
          </reference>
          <reference field="85" count="1" selected="0">
            <x v="3"/>
          </reference>
          <reference field="87" count="1" selected="0">
            <x v="3598"/>
          </reference>
          <reference field="88" count="1">
            <x v="2488"/>
          </reference>
        </references>
      </pivotArea>
    </format>
    <format dxfId="267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213"/>
          </reference>
          <reference field="82" count="1" selected="0">
            <x v="2703"/>
          </reference>
          <reference field="85" count="1" selected="0">
            <x v="3"/>
          </reference>
          <reference field="87" count="1" selected="0">
            <x v="3599"/>
          </reference>
          <reference field="88" count="1">
            <x v="2489"/>
          </reference>
        </references>
      </pivotArea>
    </format>
    <format dxfId="2676">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selected="0">
            <x v="4"/>
          </reference>
          <reference field="87" count="1" selected="0">
            <x v="3659"/>
          </reference>
          <reference field="88" count="1">
            <x v="2564"/>
          </reference>
        </references>
      </pivotArea>
    </format>
    <format dxfId="267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303"/>
          </reference>
          <reference field="82" count="1" selected="0">
            <x v="2821"/>
          </reference>
          <reference field="85" count="1" selected="0">
            <x v="0"/>
          </reference>
          <reference field="87" count="1" selected="0">
            <x v="3691"/>
          </reference>
          <reference field="88" count="1">
            <x v="2607"/>
          </reference>
        </references>
      </pivotArea>
    </format>
    <format dxfId="267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304"/>
          </reference>
          <reference field="82" count="1" selected="0">
            <x v="2822"/>
          </reference>
          <reference field="85" count="1" selected="0">
            <x v="0"/>
          </reference>
          <reference field="87" count="1" selected="0">
            <x v="3692"/>
          </reference>
          <reference field="88" count="1">
            <x v="2608"/>
          </reference>
        </references>
      </pivotArea>
    </format>
    <format dxfId="267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305"/>
          </reference>
          <reference field="82" count="1" selected="0">
            <x v="2823"/>
          </reference>
          <reference field="85" count="1" selected="0">
            <x v="0"/>
          </reference>
          <reference field="87" count="1" selected="0">
            <x v="3693"/>
          </reference>
          <reference field="88" count="1">
            <x v="2609"/>
          </reference>
        </references>
      </pivotArea>
    </format>
    <format dxfId="267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selected="0">
            <x v="2"/>
          </reference>
          <reference field="87" count="1" selected="0">
            <x v="3701"/>
          </reference>
          <reference field="88" count="1">
            <x v="2619"/>
          </reference>
        </references>
      </pivotArea>
    </format>
    <format dxfId="267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selected="0">
            <x v="2834"/>
          </reference>
          <reference field="85" count="1" selected="0">
            <x v="2"/>
          </reference>
          <reference field="87" count="1" selected="0">
            <x v="3702"/>
          </reference>
          <reference field="88" count="1">
            <x v="2620"/>
          </reference>
        </references>
      </pivotArea>
    </format>
    <format dxfId="267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832"/>
          </reference>
          <reference field="85" count="1" selected="0">
            <x v="2"/>
          </reference>
          <reference field="87" count="1" selected="0">
            <x v="3700"/>
          </reference>
          <reference field="88" count="1">
            <x v="2618"/>
          </reference>
        </references>
      </pivotArea>
    </format>
    <format dxfId="2669">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73"/>
          </reference>
          <reference field="82" count="1" selected="0">
            <x v="2778"/>
          </reference>
          <reference field="85" count="1" selected="0">
            <x v="4"/>
          </reference>
          <reference field="87" count="1" selected="0">
            <x v="3659"/>
          </reference>
          <reference field="88" count="1">
            <x v="2564"/>
          </reference>
        </references>
      </pivotArea>
    </format>
    <format dxfId="2668">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306"/>
          </reference>
          <reference field="82" count="1" selected="0">
            <x v="2824"/>
          </reference>
          <reference field="85" count="1" selected="0">
            <x v="0"/>
          </reference>
          <reference field="87" count="1" selected="0">
            <x v="3694"/>
          </reference>
          <reference field="88" count="1">
            <x v="2610"/>
          </reference>
        </references>
      </pivotArea>
    </format>
    <format dxfId="266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307"/>
          </reference>
          <reference field="82" count="1" selected="0">
            <x v="2825"/>
          </reference>
          <reference field="85" count="1" selected="0">
            <x v="0"/>
          </reference>
          <reference field="87" count="1" selected="0">
            <x v="3695"/>
          </reference>
          <reference field="88" count="1">
            <x v="2611"/>
          </reference>
        </references>
      </pivotArea>
    </format>
    <format dxfId="266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290"/>
          </reference>
          <reference field="82" count="1" selected="0">
            <x v="2826"/>
          </reference>
          <reference field="85" count="1" selected="0">
            <x v="0"/>
          </reference>
          <reference field="87" count="1" selected="0">
            <x v="3678"/>
          </reference>
          <reference field="88" count="1">
            <x v="2612"/>
          </reference>
        </references>
      </pivotArea>
    </format>
    <format dxfId="266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311"/>
          </reference>
          <reference field="82" count="1" selected="0">
            <x v="2833"/>
          </reference>
          <reference field="85" count="1" selected="0">
            <x v="2"/>
          </reference>
          <reference field="87" count="1" selected="0">
            <x v="3701"/>
          </reference>
          <reference field="88" count="1">
            <x v="2619"/>
          </reference>
        </references>
      </pivotArea>
    </format>
    <format dxfId="266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89"/>
          </reference>
          <reference field="82" count="1" selected="0">
            <x v="2834"/>
          </reference>
          <reference field="85" count="1" selected="0">
            <x v="2"/>
          </reference>
          <reference field="87" count="1" selected="0">
            <x v="3702"/>
          </reference>
          <reference field="88" count="1">
            <x v="2620"/>
          </reference>
        </references>
      </pivotArea>
    </format>
    <format dxfId="266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312"/>
          </reference>
          <reference field="82" count="1" selected="0">
            <x v="2835"/>
          </reference>
          <reference field="85" count="1" selected="0">
            <x v="2"/>
          </reference>
          <reference field="87" count="1" selected="0">
            <x v="3703"/>
          </reference>
          <reference field="88" count="1">
            <x v="2621"/>
          </reference>
        </references>
      </pivotArea>
    </format>
    <format dxfId="266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221"/>
          </reference>
          <reference field="82" count="1" selected="0">
            <x v="2832"/>
          </reference>
          <reference field="85" count="1" selected="0">
            <x v="2"/>
          </reference>
          <reference field="87" count="1" selected="0">
            <x v="3700"/>
          </reference>
          <reference field="88" count="1">
            <x v="2618"/>
          </reference>
        </references>
      </pivotArea>
    </format>
    <format dxfId="266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313"/>
          </reference>
          <reference field="82" count="1" selected="0">
            <x v="2836"/>
          </reference>
          <reference field="85" count="1" selected="0">
            <x v="2"/>
          </reference>
          <reference field="87" count="1" selected="0">
            <x v="3704"/>
          </reference>
          <reference field="88" count="1">
            <x v="2622"/>
          </reference>
        </references>
      </pivotArea>
    </format>
    <format dxfId="2660">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37"/>
          </reference>
          <reference field="82" count="1" selected="0">
            <x v="2865"/>
          </reference>
          <reference field="85" count="1" selected="0">
            <x v="7"/>
          </reference>
          <reference field="87" count="1" selected="0">
            <x v="3730"/>
          </reference>
          <reference field="88" count="1">
            <x v="2651"/>
          </reference>
        </references>
      </pivotArea>
    </format>
    <format dxfId="265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338"/>
          </reference>
          <reference field="82" count="1" selected="0">
            <x v="2866"/>
          </reference>
          <reference field="85" count="1" selected="0">
            <x v="7"/>
          </reference>
          <reference field="87" count="1" selected="0">
            <x v="3731"/>
          </reference>
          <reference field="88" count="1">
            <x v="2652"/>
          </reference>
        </references>
      </pivotArea>
    </format>
    <format dxfId="265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52"/>
          </reference>
          <reference field="82" count="1" selected="0">
            <x v="2894"/>
          </reference>
          <reference field="85" count="1" selected="0">
            <x v="4"/>
          </reference>
          <reference field="87" count="1" selected="0">
            <x v="3756"/>
          </reference>
          <reference field="88" count="1">
            <x v="2683"/>
          </reference>
        </references>
      </pivotArea>
    </format>
    <format dxfId="265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353"/>
          </reference>
          <reference field="82" count="1" selected="0">
            <x v="2895"/>
          </reference>
          <reference field="85" count="1" selected="0">
            <x v="4"/>
          </reference>
          <reference field="87" count="1" selected="0">
            <x v="3757"/>
          </reference>
          <reference field="88" count="1">
            <x v="2684"/>
          </reference>
        </references>
      </pivotArea>
    </format>
    <format dxfId="265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354"/>
          </reference>
          <reference field="82" count="1" selected="0">
            <x v="2896"/>
          </reference>
          <reference field="85" count="1" selected="0">
            <x v="4"/>
          </reference>
          <reference field="87" count="1" selected="0">
            <x v="3758"/>
          </reference>
          <reference field="88" count="1">
            <x v="2685"/>
          </reference>
        </references>
      </pivotArea>
    </format>
    <format dxfId="265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343"/>
          </reference>
          <reference field="82" count="1" selected="0">
            <x v="2872"/>
          </reference>
          <reference field="85" count="1" selected="0">
            <x v="4"/>
          </reference>
          <reference field="87" count="1" selected="0">
            <x v="3736"/>
          </reference>
          <reference field="88" count="1">
            <x v="2658"/>
          </reference>
        </references>
      </pivotArea>
    </format>
    <format dxfId="265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274"/>
          </reference>
          <reference field="82" count="1" selected="0">
            <x v="2787"/>
          </reference>
          <reference field="85" count="1" selected="0">
            <x v="4"/>
          </reference>
          <reference field="87" count="1" selected="0">
            <x v="3760"/>
          </reference>
          <reference field="88" count="1">
            <x v="2690"/>
          </reference>
        </references>
      </pivotArea>
    </format>
    <format dxfId="265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356"/>
          </reference>
          <reference field="82" count="1" selected="0">
            <x v="2901"/>
          </reference>
          <reference field="85" count="1" selected="0">
            <x v="4"/>
          </reference>
          <reference field="87" count="1" selected="0">
            <x v="3761"/>
          </reference>
          <reference field="88" count="1">
            <x v="2691"/>
          </reference>
        </references>
      </pivotArea>
    </format>
    <format dxfId="265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357"/>
          </reference>
          <reference field="82" count="1" selected="0">
            <x v="2902"/>
          </reference>
          <reference field="85" count="1" selected="0">
            <x v="4"/>
          </reference>
          <reference field="87" count="1" selected="0">
            <x v="3763"/>
          </reference>
          <reference field="88" count="1">
            <x v="2692"/>
          </reference>
        </references>
      </pivotArea>
    </format>
    <format dxfId="265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315"/>
          </reference>
          <reference field="82" count="1" selected="0">
            <x v="2903"/>
          </reference>
          <reference field="85" count="1" selected="0">
            <x v="4"/>
          </reference>
          <reference field="87" count="1" selected="0">
            <x v="3764"/>
          </reference>
          <reference field="88" count="1">
            <x v="2693"/>
          </reference>
        </references>
      </pivotArea>
    </format>
    <format dxfId="265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274"/>
          </reference>
          <reference field="82" count="1" selected="0">
            <x v="2898"/>
          </reference>
          <reference field="85" count="1" selected="0">
            <x v="4"/>
          </reference>
          <reference field="87" count="1" selected="0">
            <x v="3760"/>
          </reference>
          <reference field="88" count="1">
            <x v="2687"/>
          </reference>
        </references>
      </pivotArea>
    </format>
    <format dxfId="264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356"/>
          </reference>
          <reference field="82" count="1" selected="0">
            <x v="2899"/>
          </reference>
          <reference field="85" count="1" selected="0">
            <x v="4"/>
          </reference>
          <reference field="87" count="1" selected="0">
            <x v="3761"/>
          </reference>
          <reference field="88" count="1">
            <x v="2688"/>
          </reference>
        </references>
      </pivotArea>
    </format>
    <format dxfId="264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316"/>
          </reference>
          <reference field="82" count="1" selected="0">
            <x v="2900"/>
          </reference>
          <reference field="85" count="1" selected="0">
            <x v="4"/>
          </reference>
          <reference field="87" count="1" selected="0">
            <x v="3762"/>
          </reference>
          <reference field="88" count="1">
            <x v="2689"/>
          </reference>
        </references>
      </pivotArea>
    </format>
    <format dxfId="264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355"/>
          </reference>
          <reference field="82" count="1" selected="0">
            <x v="2897"/>
          </reference>
          <reference field="85" count="1" selected="0">
            <x v="4"/>
          </reference>
          <reference field="87" count="1" selected="0">
            <x v="3759"/>
          </reference>
          <reference field="88" count="1">
            <x v="2686"/>
          </reference>
        </references>
      </pivotArea>
    </format>
    <format dxfId="264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228"/>
          </reference>
          <reference field="82" count="1" selected="0">
            <x v="2729"/>
          </reference>
          <reference field="85" count="1" selected="0">
            <x v="7"/>
          </reference>
          <reference field="87" count="1" selected="0">
            <x v="3614"/>
          </reference>
          <reference field="88" count="1">
            <x v="2515"/>
          </reference>
        </references>
      </pivotArea>
    </format>
    <format dxfId="264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235"/>
          </reference>
          <reference field="82" count="1" selected="0">
            <x v="2730"/>
          </reference>
          <reference field="85" count="1" selected="0">
            <x v="7"/>
          </reference>
          <reference field="87" count="1" selected="0">
            <x v="3621"/>
          </reference>
          <reference field="88" count="1">
            <x v="2516"/>
          </reference>
        </references>
      </pivotArea>
    </format>
    <format dxfId="2644">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325"/>
          </reference>
          <reference field="82" count="1" selected="0">
            <x v="2851"/>
          </reference>
          <reference field="85" count="1" selected="0">
            <x v="2"/>
          </reference>
          <reference field="87" count="1" selected="0">
            <x v="3718"/>
          </reference>
          <reference field="88" count="1">
            <x v="2637"/>
          </reference>
        </references>
      </pivotArea>
    </format>
    <format dxfId="2643">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95"/>
          </reference>
          <reference field="82" count="1" selected="0">
            <x v="2909"/>
          </reference>
          <reference field="85" count="1" selected="0">
            <x v="4"/>
          </reference>
          <reference field="87" count="1" selected="0">
            <x v="3767"/>
          </reference>
          <reference field="88" count="1">
            <x v="2699"/>
          </reference>
        </references>
      </pivotArea>
    </format>
    <format dxfId="2642">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293"/>
          </reference>
          <reference field="82" count="1" selected="0">
            <x v="2910"/>
          </reference>
          <reference field="85" count="1" selected="0">
            <x v="4"/>
          </reference>
          <reference field="87" count="1" selected="0">
            <x v="3768"/>
          </reference>
          <reference field="88" count="1">
            <x v="2700"/>
          </reference>
        </references>
      </pivotArea>
    </format>
    <format dxfId="2641">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59"/>
          </reference>
          <reference field="82" count="1" selected="0">
            <x v="2912"/>
          </reference>
          <reference field="85" count="1" selected="0">
            <x v="4"/>
          </reference>
          <reference field="87" count="1" selected="0">
            <x v="3770"/>
          </reference>
          <reference field="88" count="1">
            <x v="2702"/>
          </reference>
        </references>
      </pivotArea>
    </format>
    <format dxfId="264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selected="0">
            <x v="3638"/>
          </reference>
          <reference field="88" count="1">
            <x v="2537"/>
          </reference>
        </references>
      </pivotArea>
    </format>
    <format dxfId="263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selected="0">
            <x v="3633"/>
          </reference>
          <reference field="88" count="1">
            <x v="2532"/>
          </reference>
        </references>
      </pivotArea>
    </format>
    <format dxfId="263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selected="0">
            <x v="3639"/>
          </reference>
          <reference field="88" count="1">
            <x v="2538"/>
          </reference>
        </references>
      </pivotArea>
    </format>
    <format dxfId="263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selected="0">
            <x v="3640"/>
          </reference>
          <reference field="88" count="1">
            <x v="2539"/>
          </reference>
        </references>
      </pivotArea>
    </format>
    <format dxfId="263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selected="0">
            <x v="3746"/>
          </reference>
          <reference field="88" count="1">
            <x v="2668"/>
          </reference>
        </references>
      </pivotArea>
    </format>
    <format dxfId="263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selected="0">
            <x v="3742"/>
          </reference>
          <reference field="88" count="1">
            <x v="2664"/>
          </reference>
        </references>
      </pivotArea>
    </format>
    <format dxfId="263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63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selected="0">
            <x v="3745"/>
          </reference>
          <reference field="88" count="1">
            <x v="2667"/>
          </reference>
        </references>
      </pivotArea>
    </format>
    <format dxfId="263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63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selected="0">
            <x v="3638"/>
          </reference>
          <reference field="88" count="1">
            <x v="2537"/>
          </reference>
        </references>
      </pivotArea>
    </format>
    <format dxfId="263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selected="0">
            <x v="3633"/>
          </reference>
          <reference field="88" count="1">
            <x v="2532"/>
          </reference>
        </references>
      </pivotArea>
    </format>
    <format dxfId="262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selected="0">
            <x v="3639"/>
          </reference>
          <reference field="88" count="1">
            <x v="2538"/>
          </reference>
        </references>
      </pivotArea>
    </format>
    <format dxfId="262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selected="0">
            <x v="3640"/>
          </reference>
          <reference field="88" count="1">
            <x v="2539"/>
          </reference>
        </references>
      </pivotArea>
    </format>
    <format dxfId="262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selected="0">
            <x v="3746"/>
          </reference>
          <reference field="88" count="1">
            <x v="2668"/>
          </reference>
        </references>
      </pivotArea>
    </format>
    <format dxfId="262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selected="0">
            <x v="3742"/>
          </reference>
          <reference field="88" count="1">
            <x v="2664"/>
          </reference>
        </references>
      </pivotArea>
    </format>
    <format dxfId="262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62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selected="0">
            <x v="3745"/>
          </reference>
          <reference field="88" count="1">
            <x v="2667"/>
          </reference>
        </references>
      </pivotArea>
    </format>
    <format dxfId="262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62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selected="0">
            <x v="3638"/>
          </reference>
          <reference field="88" count="1">
            <x v="2537"/>
          </reference>
        </references>
      </pivotArea>
    </format>
    <format dxfId="262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selected="0">
            <x v="3633"/>
          </reference>
          <reference field="88" count="1">
            <x v="2532"/>
          </reference>
        </references>
      </pivotArea>
    </format>
    <format dxfId="262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selected="0">
            <x v="3639"/>
          </reference>
          <reference field="88" count="1">
            <x v="2538"/>
          </reference>
        </references>
      </pivotArea>
    </format>
    <format dxfId="261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selected="0">
            <x v="3640"/>
          </reference>
          <reference field="88" count="1">
            <x v="2539"/>
          </reference>
        </references>
      </pivotArea>
    </format>
    <format dxfId="261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220"/>
          </reference>
          <reference field="82" count="1" selected="0">
            <x v="2711"/>
          </reference>
          <reference field="85" count="1" selected="0">
            <x v="4"/>
          </reference>
          <reference field="87" count="1" selected="0">
            <x v="3746"/>
          </reference>
          <reference field="88" count="1">
            <x v="2668"/>
          </reference>
        </references>
      </pivotArea>
    </format>
    <format dxfId="261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314"/>
          </reference>
          <reference field="82" count="1" selected="0">
            <x v="2878"/>
          </reference>
          <reference field="85" count="1" selected="0">
            <x v="4"/>
          </reference>
          <reference field="87" count="1" selected="0">
            <x v="3742"/>
          </reference>
          <reference field="88" count="1">
            <x v="2664"/>
          </reference>
        </references>
      </pivotArea>
    </format>
    <format dxfId="261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79"/>
          </reference>
          <reference field="82" count="1" selected="0">
            <x v="2879"/>
          </reference>
          <reference field="85" count="1" selected="0">
            <x v="4"/>
          </reference>
          <reference field="87" count="1" selected="0">
            <x v="3743"/>
          </reference>
          <reference field="88" count="1">
            <x v="2665"/>
          </reference>
        </references>
      </pivotArea>
    </format>
    <format dxfId="261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312"/>
          </reference>
          <reference field="82" count="1" selected="0">
            <x v="2881"/>
          </reference>
          <reference field="85" count="1" selected="0">
            <x v="4"/>
          </reference>
          <reference field="87" count="1" selected="0">
            <x v="3745"/>
          </reference>
          <reference field="88" count="1">
            <x v="2667"/>
          </reference>
        </references>
      </pivotArea>
    </format>
    <format dxfId="261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301"/>
          </reference>
          <reference field="82" count="1" selected="0">
            <x v="2880"/>
          </reference>
          <reference field="85" count="1" selected="0">
            <x v="4"/>
          </reference>
          <reference field="87" count="1" selected="0">
            <x v="3744"/>
          </reference>
          <reference field="88" count="1">
            <x v="2666"/>
          </reference>
        </references>
      </pivotArea>
    </format>
    <format dxfId="261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58"/>
          </reference>
          <reference field="82" count="1" selected="0">
            <x v="2905"/>
          </reference>
          <reference field="85" count="1" selected="0">
            <x v="4"/>
          </reference>
          <reference field="87" count="1" selected="0">
            <x v="3766"/>
          </reference>
          <reference field="88" count="1">
            <x v="2695"/>
          </reference>
        </references>
      </pivotArea>
    </format>
    <format dxfId="261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52"/>
          </reference>
          <reference field="82" count="1" selected="0">
            <x v="2908"/>
          </reference>
          <reference field="85" count="1" selected="0">
            <x v="4"/>
          </reference>
          <reference field="87" count="1" selected="0">
            <x v="3756"/>
          </reference>
          <reference field="88" count="1">
            <x v="2698"/>
          </reference>
        </references>
      </pivotArea>
    </format>
    <format dxfId="261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301"/>
          </reference>
          <reference field="82" count="1" selected="0">
            <x v="2906"/>
          </reference>
          <reference field="85" count="1" selected="0">
            <x v="4"/>
          </reference>
          <reference field="87" count="1" selected="0">
            <x v="3744"/>
          </reference>
          <reference field="88" count="1">
            <x v="2696"/>
          </reference>
        </references>
      </pivotArea>
    </format>
    <format dxfId="261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51"/>
          </reference>
          <reference field="82" count="1" selected="0">
            <x v="2907"/>
          </reference>
          <reference field="85" count="1" selected="0">
            <x v="4"/>
          </reference>
          <reference field="87" count="1" selected="0">
            <x v="3755"/>
          </reference>
          <reference field="88" count="1">
            <x v="2697"/>
          </reference>
        </references>
      </pivotArea>
    </format>
    <format dxfId="260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selected="0">
            <x v="2715"/>
          </reference>
          <reference field="85" count="1" selected="0">
            <x v="4"/>
          </reference>
          <reference field="87" count="1" selected="0">
            <x v="3751"/>
          </reference>
          <reference field="88" count="1">
            <x v="2673"/>
          </reference>
        </references>
      </pivotArea>
    </format>
    <format dxfId="260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886"/>
          </reference>
          <reference field="85" count="1" selected="0">
            <x v="4"/>
          </reference>
          <reference field="87" count="1" selected="0">
            <x v="3752"/>
          </reference>
          <reference field="88" count="1">
            <x v="2674"/>
          </reference>
        </references>
      </pivotArea>
    </format>
    <format dxfId="260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87"/>
          </reference>
          <reference field="85" count="1" selected="0">
            <x v="4"/>
          </reference>
          <reference field="87" count="1" selected="0">
            <x v="3753"/>
          </reference>
          <reference field="88" count="1">
            <x v="2675"/>
          </reference>
        </references>
      </pivotArea>
    </format>
    <format dxfId="260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88"/>
          </reference>
          <reference field="85" count="1" selected="0">
            <x v="4"/>
          </reference>
          <reference field="87" count="1" selected="0">
            <x v="3754"/>
          </reference>
          <reference field="88" count="1">
            <x v="2676"/>
          </reference>
        </references>
      </pivotArea>
    </format>
    <format dxfId="260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224"/>
          </reference>
          <reference field="82" count="1" selected="0">
            <x v="2715"/>
          </reference>
          <reference field="85" count="1" selected="0">
            <x v="4"/>
          </reference>
          <reference field="87" count="1" selected="0">
            <x v="3751"/>
          </reference>
          <reference field="88" count="1">
            <x v="2673"/>
          </reference>
        </references>
      </pivotArea>
    </format>
    <format dxfId="260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886"/>
          </reference>
          <reference field="85" count="1" selected="0">
            <x v="4"/>
          </reference>
          <reference field="87" count="1" selected="0">
            <x v="3752"/>
          </reference>
          <reference field="88" count="1">
            <x v="2674"/>
          </reference>
        </references>
      </pivotArea>
    </format>
    <format dxfId="260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87"/>
          </reference>
          <reference field="85" count="1" selected="0">
            <x v="4"/>
          </reference>
          <reference field="87" count="1" selected="0">
            <x v="3753"/>
          </reference>
          <reference field="88" count="1">
            <x v="2675"/>
          </reference>
        </references>
      </pivotArea>
    </format>
    <format dxfId="260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88"/>
          </reference>
          <reference field="85" count="1" selected="0">
            <x v="4"/>
          </reference>
          <reference field="87" count="1" selected="0">
            <x v="3754"/>
          </reference>
          <reference field="88" count="1">
            <x v="2676"/>
          </reference>
        </references>
      </pivotArea>
    </format>
    <format dxfId="260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219"/>
          </reference>
          <reference field="82" count="1" selected="0">
            <x v="2875"/>
          </reference>
          <reference field="85" count="1" selected="0">
            <x v="4"/>
          </reference>
          <reference field="87" count="1" selected="0">
            <x v="3739"/>
          </reference>
          <reference field="88" count="1">
            <x v="2661"/>
          </reference>
        </references>
      </pivotArea>
    </format>
    <format dxfId="260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346"/>
          </reference>
          <reference field="82" count="1" selected="0">
            <x v="2876"/>
          </reference>
          <reference field="85" count="1" selected="0">
            <x v="4"/>
          </reference>
          <reference field="87" count="1" selected="0">
            <x v="3740"/>
          </reference>
          <reference field="88" count="1">
            <x v="2662"/>
          </reference>
        </references>
      </pivotArea>
    </format>
    <format dxfId="259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345"/>
          </reference>
          <reference field="82" count="1" selected="0">
            <x v="2874"/>
          </reference>
          <reference field="85" count="1" selected="0">
            <x v="4"/>
          </reference>
          <reference field="87" count="1" selected="0">
            <x v="3738"/>
          </reference>
          <reference field="88" count="1">
            <x v="2660"/>
          </reference>
        </references>
      </pivotArea>
    </format>
    <format dxfId="259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347"/>
          </reference>
          <reference field="82" count="1" selected="0">
            <x v="2877"/>
          </reference>
          <reference field="85" count="1" selected="0">
            <x v="4"/>
          </reference>
          <reference field="87" count="1" selected="0">
            <x v="3741"/>
          </reference>
          <reference field="88" count="1">
            <x v="2663"/>
          </reference>
        </references>
      </pivotArea>
    </format>
    <format dxfId="259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323"/>
          </reference>
          <reference field="82" count="1" selected="0">
            <x v="2849"/>
          </reference>
          <reference field="85" count="1" selected="0">
            <x v="2"/>
          </reference>
          <reference field="87" count="1" selected="0">
            <x v="3716"/>
          </reference>
          <reference field="88" count="1">
            <x v="2635"/>
          </reference>
        </references>
      </pivotArea>
    </format>
    <format dxfId="259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324"/>
          </reference>
          <reference field="82" count="1" selected="0">
            <x v="2850"/>
          </reference>
          <reference field="85" count="1" selected="0">
            <x v="2"/>
          </reference>
          <reference field="87" count="1" selected="0">
            <x v="3717"/>
          </reference>
          <reference field="88" count="1">
            <x v="2636"/>
          </reference>
        </references>
      </pivotArea>
    </format>
    <format dxfId="259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322"/>
          </reference>
          <reference field="82" count="1" selected="0">
            <x v="2848"/>
          </reference>
          <reference field="85" count="1" selected="0">
            <x v="2"/>
          </reference>
          <reference field="87" count="1" selected="0">
            <x v="3715"/>
          </reference>
          <reference field="88" count="1">
            <x v="2634"/>
          </reference>
        </references>
      </pivotArea>
    </format>
    <format dxfId="259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52"/>
          </reference>
          <reference field="82" count="1" selected="0">
            <x v="2751"/>
          </reference>
          <reference field="85" count="1" selected="0">
            <x v="4"/>
          </reference>
          <reference field="87" count="1" selected="0">
            <x v="3638"/>
          </reference>
          <reference field="88" count="1">
            <x v="2537"/>
          </reference>
        </references>
      </pivotArea>
    </format>
    <format dxfId="259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47"/>
          </reference>
          <reference field="82" count="1" selected="0">
            <x v="2746"/>
          </reference>
          <reference field="85" count="1" selected="0">
            <x v="4"/>
          </reference>
          <reference field="87" count="1" selected="0">
            <x v="3633"/>
          </reference>
          <reference field="88" count="1">
            <x v="2532"/>
          </reference>
        </references>
      </pivotArea>
    </format>
    <format dxfId="259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53"/>
          </reference>
          <reference field="82" count="1" selected="0">
            <x v="2752"/>
          </reference>
          <reference field="85" count="1" selected="0">
            <x v="4"/>
          </reference>
          <reference field="87" count="1" selected="0">
            <x v="3639"/>
          </reference>
          <reference field="88" count="1">
            <x v="2538"/>
          </reference>
        </references>
      </pivotArea>
    </format>
    <format dxfId="259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54"/>
          </reference>
          <reference field="82" count="1" selected="0">
            <x v="2753"/>
          </reference>
          <reference field="85" count="1" selected="0">
            <x v="4"/>
          </reference>
          <reference field="87" count="1" selected="0">
            <x v="3640"/>
          </reference>
          <reference field="88" count="1">
            <x v="2539"/>
          </reference>
        </references>
      </pivotArea>
    </format>
    <format dxfId="259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selected="0">
            <x v="2882"/>
          </reference>
          <reference field="85" count="1" selected="0">
            <x v="4"/>
          </reference>
          <reference field="87" count="1" selected="0">
            <x v="3747"/>
          </reference>
          <reference field="88" count="1">
            <x v="2669"/>
          </reference>
        </references>
      </pivotArea>
    </format>
    <format dxfId="258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selected="0">
            <x v="2884"/>
          </reference>
          <reference field="85" count="1" selected="0">
            <x v="4"/>
          </reference>
          <reference field="87" count="1" selected="0">
            <x v="3749"/>
          </reference>
          <reference field="88" count="1">
            <x v="2671"/>
          </reference>
        </references>
      </pivotArea>
    </format>
    <format dxfId="258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selected="0">
            <x v="2885"/>
          </reference>
          <reference field="85" count="1" selected="0">
            <x v="4"/>
          </reference>
          <reference field="87" count="1" selected="0">
            <x v="3750"/>
          </reference>
          <reference field="88" count="1">
            <x v="2672"/>
          </reference>
        </references>
      </pivotArea>
    </format>
    <format dxfId="258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selected="0">
            <x v="2883"/>
          </reference>
          <reference field="85" count="1" selected="0">
            <x v="4"/>
          </reference>
          <reference field="87" count="1" selected="0">
            <x v="3748"/>
          </reference>
          <reference field="88" count="1">
            <x v="2670"/>
          </reference>
        </references>
      </pivotArea>
    </format>
    <format dxfId="258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98"/>
          </reference>
          <reference field="82" count="1" selected="0">
            <x v="2882"/>
          </reference>
          <reference field="85" count="1" selected="0">
            <x v="4"/>
          </reference>
          <reference field="87" count="1" selected="0">
            <x v="3747"/>
          </reference>
          <reference field="88" count="1">
            <x v="2669"/>
          </reference>
        </references>
      </pivotArea>
    </format>
    <format dxfId="258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49"/>
          </reference>
          <reference field="82" count="1" selected="0">
            <x v="2884"/>
          </reference>
          <reference field="85" count="1" selected="0">
            <x v="4"/>
          </reference>
          <reference field="87" count="1" selected="0">
            <x v="3749"/>
          </reference>
          <reference field="88" count="1">
            <x v="2671"/>
          </reference>
        </references>
      </pivotArea>
    </format>
    <format dxfId="258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302"/>
          </reference>
          <reference field="82" count="1" selected="0">
            <x v="2885"/>
          </reference>
          <reference field="85" count="1" selected="0">
            <x v="4"/>
          </reference>
          <reference field="87" count="1" selected="0">
            <x v="3750"/>
          </reference>
          <reference field="88" count="1">
            <x v="2672"/>
          </reference>
        </references>
      </pivotArea>
    </format>
    <format dxfId="258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48"/>
          </reference>
          <reference field="82" count="1" selected="0">
            <x v="2883"/>
          </reference>
          <reference field="85" count="1" selected="0">
            <x v="4"/>
          </reference>
          <reference field="87" count="1" selected="0">
            <x v="3748"/>
          </reference>
          <reference field="88" count="1">
            <x v="2670"/>
          </reference>
        </references>
      </pivotArea>
    </format>
    <format dxfId="258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216"/>
          </reference>
          <reference field="82" count="1" selected="0">
            <x v="2707"/>
          </reference>
          <reference field="85" count="1" selected="0">
            <x v="3"/>
          </reference>
          <reference field="87" count="1" selected="0">
            <x v="3602"/>
          </reference>
          <reference field="88" count="1">
            <x v="2493"/>
          </reference>
        </references>
      </pivotArea>
    </format>
    <format dxfId="2581">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60"/>
          </reference>
          <reference field="82" count="1" selected="0">
            <x v="2914"/>
          </reference>
          <reference field="85" count="1" selected="0">
            <x v="4"/>
          </reference>
          <reference field="87" count="1" selected="0">
            <x v="3772"/>
          </reference>
          <reference field="88" count="1">
            <x v="2705"/>
          </reference>
        </references>
      </pivotArea>
    </format>
    <format dxfId="2580">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1"/>
          </reference>
          <reference field="85" count="1" selected="0">
            <x v="7"/>
          </reference>
          <reference field="87" count="1" selected="0">
            <x v="3629"/>
          </reference>
          <reference field="88" count="1">
            <x v="2527"/>
          </reference>
        </references>
      </pivotArea>
    </format>
    <format dxfId="2579">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217"/>
          </reference>
          <reference field="82" count="1" selected="0">
            <x v="2708"/>
          </reference>
          <reference field="85" count="1" selected="0">
            <x v="3"/>
          </reference>
          <reference field="87" count="1" selected="0">
            <x v="3603"/>
          </reference>
          <reference field="88" count="1">
            <x v="2494"/>
          </reference>
        </references>
      </pivotArea>
    </format>
    <format dxfId="2578">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43"/>
          </reference>
          <reference field="82" count="1" selected="0">
            <x v="2742"/>
          </reference>
          <reference field="85" count="1" selected="0">
            <x v="7"/>
          </reference>
          <reference field="87" count="1" selected="0">
            <x v="3629"/>
          </reference>
          <reference field="88" count="1">
            <x v="2528"/>
          </reference>
        </references>
      </pivotArea>
    </format>
    <format dxfId="2577">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62"/>
          </reference>
          <reference field="82" count="1" selected="0">
            <x v="2916"/>
          </reference>
          <reference field="85" count="1" selected="0">
            <x v="7"/>
          </reference>
          <reference field="87" count="1" selected="0">
            <x v="3774"/>
          </reference>
          <reference field="88" count="1">
            <x v="2707"/>
          </reference>
        </references>
      </pivotArea>
    </format>
    <format dxfId="257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 field="85" count="1" selected="0">
            <x v="7"/>
          </reference>
          <reference field="87" count="1" selected="0">
            <x v="3776"/>
          </reference>
          <reference field="88" count="1">
            <x v="2709"/>
          </reference>
        </references>
      </pivotArea>
    </format>
    <format dxfId="257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63"/>
          </reference>
          <reference field="82" count="1" selected="0">
            <x v="2917"/>
          </reference>
          <reference field="85" count="1" selected="0">
            <x v="7"/>
          </reference>
          <reference field="87" count="1" selected="0">
            <x v="3775"/>
          </reference>
          <reference field="88" count="1">
            <x v="2708"/>
          </reference>
        </references>
      </pivotArea>
    </format>
    <format dxfId="257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39"/>
          </reference>
          <reference field="82" count="1" selected="0">
            <x v="2734"/>
          </reference>
          <reference field="85" count="1" selected="0">
            <x v="2"/>
          </reference>
          <reference field="87" count="1" selected="0">
            <x v="3625"/>
          </reference>
          <reference field="88" count="1">
            <x v="2520"/>
          </reference>
        </references>
      </pivotArea>
    </format>
    <format dxfId="257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64"/>
          </reference>
          <reference field="82" count="1" selected="0">
            <x v="2918"/>
          </reference>
          <reference field="85" count="1" selected="0">
            <x v="7"/>
          </reference>
          <reference field="87" count="1" selected="0">
            <x v="3776"/>
          </reference>
          <reference field="88" count="1">
            <x v="2709"/>
          </reference>
        </references>
      </pivotArea>
    </format>
    <format dxfId="257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215"/>
          </reference>
          <reference field="82" count="1" selected="0">
            <x v="2706"/>
          </reference>
          <reference field="85" count="1" selected="0">
            <x v="3"/>
          </reference>
          <reference field="87" count="1" selected="0">
            <x v="3601"/>
          </reference>
          <reference field="88" count="1">
            <x v="2492"/>
          </reference>
        </references>
      </pivotArea>
    </format>
    <format dxfId="257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92"/>
          </reference>
          <reference field="82" count="1" selected="0">
            <x v="2911"/>
          </reference>
          <reference field="85" count="1" selected="0">
            <x v="4"/>
          </reference>
          <reference field="87" count="1" selected="0">
            <x v="3769"/>
          </reference>
          <reference field="88" count="1">
            <x v="2701"/>
          </reference>
        </references>
      </pivotArea>
    </format>
    <format dxfId="257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selected="0">
            <x v="2"/>
          </reference>
          <reference field="87" count="1" selected="0">
            <x v="3709"/>
          </reference>
          <reference field="88" count="1">
            <x v="2627"/>
          </reference>
        </references>
      </pivotArea>
    </format>
    <format dxfId="256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317"/>
          </reference>
          <reference field="82" count="1" selected="0">
            <x v="2842"/>
          </reference>
          <reference field="85" count="1" selected="0">
            <x v="2"/>
          </reference>
          <reference field="87" count="1" selected="0">
            <x v="3710"/>
          </reference>
          <reference field="88" count="1">
            <x v="2628"/>
          </reference>
        </references>
      </pivotArea>
    </format>
    <format dxfId="256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322"/>
          </reference>
          <reference field="82" count="1" selected="0">
            <x v="2847"/>
          </reference>
          <reference field="85" count="1" selected="0">
            <x v="2"/>
          </reference>
          <reference field="87" count="1" selected="0">
            <x v="3715"/>
          </reference>
          <reference field="88" count="1">
            <x v="2633"/>
          </reference>
        </references>
      </pivotArea>
    </format>
    <format dxfId="256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320"/>
          </reference>
          <reference field="82" count="1" selected="0">
            <x v="2845"/>
          </reference>
          <reference field="85" count="1" selected="0">
            <x v="2"/>
          </reference>
          <reference field="87" count="1" selected="0">
            <x v="3713"/>
          </reference>
          <reference field="88" count="1">
            <x v="2631"/>
          </reference>
        </references>
      </pivotArea>
    </format>
    <format dxfId="256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319"/>
          </reference>
          <reference field="82" count="1" selected="0">
            <x v="2844"/>
          </reference>
          <reference field="85" count="1" selected="0">
            <x v="2"/>
          </reference>
          <reference field="87" count="1" selected="0">
            <x v="3712"/>
          </reference>
          <reference field="88" count="1">
            <x v="2630"/>
          </reference>
        </references>
      </pivotArea>
    </format>
    <format dxfId="256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318"/>
          </reference>
          <reference field="82" count="1" selected="0">
            <x v="2843"/>
          </reference>
          <reference field="85" count="1" selected="0">
            <x v="2"/>
          </reference>
          <reference field="87" count="1" selected="0">
            <x v="3711"/>
          </reference>
          <reference field="88" count="1">
            <x v="2629"/>
          </reference>
        </references>
      </pivotArea>
    </format>
    <format dxfId="256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selected="0">
            <x v="2840"/>
          </reference>
          <reference field="85" count="1" selected="0">
            <x v="2"/>
          </reference>
          <reference field="87" count="1" selected="0">
            <x v="3708"/>
          </reference>
          <reference field="88" count="1">
            <x v="2626"/>
          </reference>
        </references>
      </pivotArea>
    </format>
    <format dxfId="256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321"/>
          </reference>
          <reference field="82" count="1" selected="0">
            <x v="2846"/>
          </reference>
          <reference field="85" count="1" selected="0">
            <x v="2"/>
          </reference>
          <reference field="87" count="1" selected="0">
            <x v="3714"/>
          </reference>
          <reference field="88" count="1">
            <x v="2632"/>
          </reference>
        </references>
      </pivotArea>
    </format>
    <format dxfId="2562">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61"/>
          </reference>
          <reference field="82" count="1" selected="0">
            <x v="2915"/>
          </reference>
          <reference field="85" count="1" selected="0">
            <x v="4"/>
          </reference>
          <reference field="87" count="1" selected="0">
            <x v="3773"/>
          </reference>
          <reference field="88" count="1">
            <x v="2706"/>
          </reference>
        </references>
      </pivotArea>
    </format>
    <format dxfId="2561">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42"/>
          </reference>
          <reference field="82" count="1" selected="0">
            <x v="2740"/>
          </reference>
          <reference field="85" count="1" selected="0">
            <x v="2"/>
          </reference>
          <reference field="87" count="1" selected="0">
            <x v="3628"/>
          </reference>
          <reference field="88" count="1">
            <x v="2526"/>
          </reference>
        </references>
      </pivotArea>
    </format>
    <format dxfId="256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8"/>
          </reference>
          <reference field="85" count="1" selected="0">
            <x v="7"/>
          </reference>
          <reference field="87" count="1" selected="0">
            <x v="3627"/>
          </reference>
          <reference field="88" count="1">
            <x v="2524"/>
          </reference>
        </references>
      </pivotArea>
    </format>
    <format dxfId="255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316"/>
          </reference>
          <reference field="82" count="1" selected="0">
            <x v="2841"/>
          </reference>
          <reference field="85" count="1" selected="0">
            <x v="2"/>
          </reference>
          <reference field="87" count="1" selected="0">
            <x v="3709"/>
          </reference>
          <reference field="88" count="1">
            <x v="2627"/>
          </reference>
        </references>
      </pivotArea>
    </format>
    <format dxfId="255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315"/>
          </reference>
          <reference field="82" count="1" selected="0">
            <x v="2840"/>
          </reference>
          <reference field="85" count="1" selected="0">
            <x v="2"/>
          </reference>
          <reference field="87" count="1" selected="0">
            <x v="3708"/>
          </reference>
          <reference field="88" count="1">
            <x v="2626"/>
          </reference>
        </references>
      </pivotArea>
    </format>
    <format dxfId="2557">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41"/>
          </reference>
          <reference field="82" count="1" selected="0">
            <x v="2739"/>
          </reference>
          <reference field="85" count="1" selected="0">
            <x v="7"/>
          </reference>
          <reference field="87" count="1" selected="0">
            <x v="3627"/>
          </reference>
          <reference field="88" count="1">
            <x v="2525"/>
          </reference>
        </references>
      </pivotArea>
    </format>
    <format dxfId="255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76"/>
          </reference>
          <reference field="82" count="1" selected="0">
            <x v="2904"/>
          </reference>
          <reference field="85" count="1" selected="0">
            <x v="4"/>
          </reference>
          <reference field="87" count="1" selected="0">
            <x v="3765"/>
          </reference>
          <reference field="88" count="1">
            <x v="2694"/>
          </reference>
        </references>
      </pivotArea>
    </format>
    <format dxfId="2555">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334"/>
          </reference>
          <reference field="82" count="1" selected="0">
            <x v="2862"/>
          </reference>
          <reference field="85" count="1" selected="0">
            <x v="7"/>
          </reference>
          <reference field="87" count="1" selected="0">
            <x v="3727"/>
          </reference>
          <reference field="88" count="1">
            <x v="2648"/>
          </reference>
        </references>
      </pivotArea>
    </format>
    <format dxfId="2554">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336"/>
          </reference>
          <reference field="82" count="1" selected="0">
            <x v="2864"/>
          </reference>
          <reference field="85" count="1" selected="0">
            <x v="7"/>
          </reference>
          <reference field="87" count="1" selected="0">
            <x v="3729"/>
          </reference>
          <reference field="88" count="1">
            <x v="2650"/>
          </reference>
        </references>
      </pivotArea>
    </format>
    <format dxfId="255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237"/>
          </reference>
          <reference field="82" count="1" selected="0">
            <x v="2732"/>
          </reference>
          <reference field="85" count="1" selected="0">
            <x v="7"/>
          </reference>
          <reference field="87" count="1" selected="0">
            <x v="3623"/>
          </reference>
          <reference field="88" count="1">
            <x v="2518"/>
          </reference>
        </references>
      </pivotArea>
    </format>
    <format dxfId="255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236"/>
          </reference>
          <reference field="82" count="1" selected="0">
            <x v="2731"/>
          </reference>
          <reference field="85" count="1" selected="0">
            <x v="7"/>
          </reference>
          <reference field="87" count="1" selected="0">
            <x v="3622"/>
          </reference>
          <reference field="88" count="1">
            <x v="2517"/>
          </reference>
        </references>
      </pivotArea>
    </format>
    <format dxfId="2551">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261"/>
          </reference>
          <reference field="82" count="1" selected="0">
            <x v="2760"/>
          </reference>
          <reference field="85" count="1" selected="0">
            <x v="4"/>
          </reference>
          <reference field="87" count="1" selected="0">
            <x v="3647"/>
          </reference>
          <reference field="88" count="1">
            <x v="2546"/>
          </reference>
        </references>
      </pivotArea>
    </format>
    <format dxfId="255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262"/>
          </reference>
          <reference field="82" count="1" selected="0">
            <x v="2761"/>
          </reference>
          <reference field="85" count="1" selected="0">
            <x v="4"/>
          </reference>
          <reference field="87" count="1" selected="0">
            <x v="3648"/>
          </reference>
          <reference field="88" count="1">
            <x v="2547"/>
          </reference>
        </references>
      </pivotArea>
    </format>
    <format dxfId="2549">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259"/>
          </reference>
          <reference field="82" count="1" selected="0">
            <x v="2758"/>
          </reference>
          <reference field="85" count="1" selected="0">
            <x v="4"/>
          </reference>
          <reference field="87" count="1" selected="0">
            <x v="3645"/>
          </reference>
          <reference field="88" count="1">
            <x v="2544"/>
          </reference>
        </references>
      </pivotArea>
    </format>
    <format dxfId="254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260"/>
          </reference>
          <reference field="82" count="1" selected="0">
            <x v="2759"/>
          </reference>
          <reference field="85" count="1" selected="0">
            <x v="4"/>
          </reference>
          <reference field="87" count="1" selected="0">
            <x v="3646"/>
          </reference>
          <reference field="88" count="1">
            <x v="2545"/>
          </reference>
        </references>
      </pivotArea>
    </format>
    <format dxfId="2547">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255"/>
          </reference>
          <reference field="82" count="1" selected="0">
            <x v="2754"/>
          </reference>
          <reference field="85" count="1" selected="0">
            <x v="4"/>
          </reference>
          <reference field="87" count="1" selected="0">
            <x v="3641"/>
          </reference>
          <reference field="88" count="1">
            <x v="2540"/>
          </reference>
        </references>
      </pivotArea>
    </format>
    <format dxfId="254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256"/>
          </reference>
          <reference field="82" count="1" selected="0">
            <x v="2755"/>
          </reference>
          <reference field="85" count="1" selected="0">
            <x v="4"/>
          </reference>
          <reference field="87" count="1" selected="0">
            <x v="3642"/>
          </reference>
          <reference field="88" count="1">
            <x v="2541"/>
          </reference>
        </references>
      </pivotArea>
    </format>
    <format dxfId="2545">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257"/>
          </reference>
          <reference field="82" count="1" selected="0">
            <x v="2756"/>
          </reference>
          <reference field="85" count="1" selected="0">
            <x v="4"/>
          </reference>
          <reference field="87" count="1" selected="0">
            <x v="3643"/>
          </reference>
          <reference field="88" count="1">
            <x v="2542"/>
          </reference>
        </references>
      </pivotArea>
    </format>
    <format dxfId="2544">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258"/>
          </reference>
          <reference field="82" count="1" selected="0">
            <x v="2757"/>
          </reference>
          <reference field="85" count="1" selected="0">
            <x v="4"/>
          </reference>
          <reference field="87" count="1" selected="0">
            <x v="3644"/>
          </reference>
          <reference field="88" count="1">
            <x v="2543"/>
          </reference>
        </references>
      </pivotArea>
    </format>
    <format dxfId="2543">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49"/>
          </reference>
          <reference field="82" count="1" selected="0">
            <x v="2891"/>
          </reference>
          <reference field="85" count="1" selected="0">
            <x v="4"/>
          </reference>
          <reference field="87" count="1" selected="0">
            <x v="3749"/>
          </reference>
          <reference field="88" count="1">
            <x v="2679"/>
          </reference>
        </references>
      </pivotArea>
    </format>
    <format dxfId="2542">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211"/>
          </reference>
          <reference field="82" count="1" selected="0">
            <x v="2701"/>
          </reference>
          <reference field="85" count="1" selected="0">
            <x v="4"/>
          </reference>
          <reference field="87" count="1" selected="0">
            <x v="3752"/>
          </reference>
          <reference field="88" count="1">
            <x v="2680"/>
          </reference>
        </references>
      </pivotArea>
    </format>
    <format dxfId="2541">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50"/>
          </reference>
          <reference field="82" count="1" selected="0">
            <x v="2892"/>
          </reference>
          <reference field="85" count="1" selected="0">
            <x v="4"/>
          </reference>
          <reference field="87" count="1" selected="0">
            <x v="3753"/>
          </reference>
          <reference field="88" count="1">
            <x v="2681"/>
          </reference>
        </references>
      </pivotArea>
    </format>
    <format dxfId="254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75"/>
          </reference>
          <reference field="82" count="1" selected="0">
            <x v="2893"/>
          </reference>
          <reference field="85" count="1" selected="0">
            <x v="4"/>
          </reference>
          <reference field="87" count="1" selected="0">
            <x v="3754"/>
          </reference>
          <reference field="88" count="1">
            <x v="2682"/>
          </reference>
        </references>
      </pivotArea>
    </format>
    <format dxfId="2539">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329"/>
          </reference>
          <reference field="82" count="1" selected="0">
            <x v="2856"/>
          </reference>
          <reference field="85" count="1" selected="0">
            <x v="7"/>
          </reference>
          <reference field="87" count="1" selected="0">
            <x v="3722"/>
          </reference>
          <reference field="88" count="1">
            <x v="2642"/>
          </reference>
        </references>
      </pivotArea>
    </format>
    <format dxfId="2538">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537">
      <pivotArea dataOnly="0" labelOnly="1" outline="0" fieldPosition="0">
        <references count="1">
          <reference field="72" count="0"/>
        </references>
      </pivotArea>
    </format>
    <format dxfId="2536">
      <pivotArea field="23" type="button" dataOnly="0" labelOnly="1" outline="0" axis="axisRow" fieldPosition="4"/>
    </format>
    <format dxfId="2535">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2534">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2533">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2532">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2531">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2530">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2529">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2528">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2527">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2526">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2525">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2524">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2523">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2522">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2521">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2520">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2519">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2518">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2517">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2516">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2515">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2514">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2513">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2512">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2511">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2510">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2509">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2508">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2507">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2506">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2505">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2504">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2503">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2502">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2501">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2500">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2499">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2498">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2497">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2496">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2495">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2494">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2493">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2492">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2491">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2490">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2489">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2488">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2487">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2486">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2485">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2484">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2483">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2482">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2481">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2480">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2479">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2478">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2477">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2476">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2475">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2474">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2473">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2472">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2471">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2470">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2469">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2468">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2467">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2466">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2465">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2464">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2463">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2462">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2461">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2460">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2459">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2458">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2457">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2456">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2455">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2454">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2453">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2452">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2451">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2450">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2449">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2448">
      <pivotArea dataOnly="0" labelOnly="1" outline="0" fieldPosition="0">
        <references count="5">
          <reference field="1" count="1" selected="0">
            <x v="49"/>
          </reference>
          <reference field="2" count="1" selected="0">
            <x v="10"/>
          </reference>
          <reference field="3" count="1" selected="0">
            <x v="4"/>
          </reference>
          <reference field="5" count="1" selected="0">
            <x v="5"/>
          </reference>
          <reference field="23" count="1">
            <x v="0"/>
          </reference>
        </references>
      </pivotArea>
    </format>
    <format dxfId="2447">
      <pivotArea dataOnly="0" labelOnly="1" outline="0" fieldPosition="0">
        <references count="5">
          <reference field="1" count="1" selected="0">
            <x v="51"/>
          </reference>
          <reference field="2" count="1" selected="0">
            <x v="5"/>
          </reference>
          <reference field="3" count="1" selected="0">
            <x v="7"/>
          </reference>
          <reference field="5" count="1" selected="0">
            <x v="7"/>
          </reference>
          <reference field="23" count="1">
            <x v="2"/>
          </reference>
        </references>
      </pivotArea>
    </format>
    <format dxfId="2446">
      <pivotArea field="13" type="button" dataOnly="0" labelOnly="1" outline="0" axis="axisRow" fieldPosition="6"/>
    </format>
    <format dxfId="2445">
      <pivotArea field="22" type="button" dataOnly="0" labelOnly="1" outline="0" axis="axisRow" fieldPosition="7"/>
    </format>
    <format dxfId="2444">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2443">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2442">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41">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440">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2439">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38">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437">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436">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435">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434">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433">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432">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431">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430">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429">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428">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427">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426">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425">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424">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423">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422">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421">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420">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419">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418">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417">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416">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415">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414">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413">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412">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411">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2410">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409">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408">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407">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406">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405">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404">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403">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402">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401">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400">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399">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398">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397">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396">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95">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394">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393">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392">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391">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390">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389">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388">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387">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386">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385">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384">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383">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82">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381">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380">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379">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378">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377">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376">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2375">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374">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2373">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372">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2371">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370">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369">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68">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67">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366">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365">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64">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363">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2362">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361">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360">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59">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58">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357">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356">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55">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2354">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353">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352">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351">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350">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349">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348">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347">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346">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345">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2344">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343">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342">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341">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340">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339">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338">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337">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336">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335">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334">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333">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332">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2331">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330">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2329">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328">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327">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326">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25">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324">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23">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2322">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321">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2320">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319">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318">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317">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316">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15">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314">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13">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312">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311">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310">
      <pivotArea dataOnly="0" labelOnly="1" outline="0" fieldPosition="0">
        <references count="7">
          <reference field="1" count="1" selected="0">
            <x v="47"/>
          </reference>
          <reference field="2" count="1" selected="0">
            <x v="6"/>
          </reference>
          <reference field="3" count="1" selected="0">
            <x v="7"/>
          </reference>
          <reference field="5" count="1" selected="0">
            <x v="2"/>
          </reference>
          <reference field="13" count="1">
            <x v="2"/>
          </reference>
          <reference field="23" count="1" selected="0">
            <x v="2"/>
          </reference>
          <reference field="72" count="1" selected="0">
            <x v="13"/>
          </reference>
        </references>
      </pivotArea>
    </format>
    <format dxfId="2309">
      <pivotArea dataOnly="0" labelOnly="1" outline="0" fieldPosition="0">
        <references count="7">
          <reference field="1" count="1" selected="0">
            <x v="51"/>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308">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30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30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305">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304">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303">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30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30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300">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99">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98">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97">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96">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95">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9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9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92">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91">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90">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89">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88">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87">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86">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85">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84">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83">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82">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81">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80">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79">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278">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77">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76">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75">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74">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73">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7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7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7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69">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68">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2267">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26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265">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264">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26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26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26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26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259">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58">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57">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5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55">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54">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53">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52">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51">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50">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49">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48">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47">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4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4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4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43">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42">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41">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2240">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2239">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2238">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37">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36">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35">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34">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2233">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32">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31">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30">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29">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2228">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2227">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2226">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225">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2224">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2223">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2222">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2221">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2220">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2219">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2218">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2217">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2216">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2215">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2214">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213">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2212">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2211">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2210">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2209">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08">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07">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06">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205">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04">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03">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02">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2201">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00">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199">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198">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2197">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196">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2195">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194">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193">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192">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19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219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2189">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2188">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218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8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8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84">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83">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182">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181">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80">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79">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78">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77">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76">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75">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74">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73">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2172">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2171">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170">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169">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168">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2167">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2166">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2165">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164">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163">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162">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161">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2160">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2159">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2158">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157">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2156">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155">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154">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153">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152">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151">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2150">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2149">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2148">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2147">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2146">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2145">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144">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2143">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142">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2141">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140">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139">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138">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137">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136">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135">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134">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133">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132">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31">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30">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29">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2128">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2127">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2126">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25">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24">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2123">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22">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2121">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120">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119">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118">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11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11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115">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2114">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211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211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2111">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110">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109">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10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107">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2106">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2105">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104">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2103">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2102">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01">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00">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99">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98">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9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9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9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9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93">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92">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91">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90">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89">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8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8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8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8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84">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83">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82">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81">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80">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7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7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7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7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75">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074">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073">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072">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071">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070">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69">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68">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67">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066">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65">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64">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63">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2062">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206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206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2059">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058">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2057">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2056">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2055">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54">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53">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52">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51">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50">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4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048">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2047">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4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4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044">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043">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042">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041">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2040">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039">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038">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037">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036">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035">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03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033">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032">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2031">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30">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029">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028">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027">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026">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025">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2024">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3"/>
          </reference>
        </references>
      </pivotArea>
    </format>
    <format dxfId="2023">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17"/>
          </reference>
        </references>
      </pivotArea>
    </format>
    <format dxfId="2022">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68"/>
          </reference>
        </references>
      </pivotArea>
    </format>
    <format dxfId="2021">
      <pivotArea dataOnly="0" labelOnly="1" outline="0" fieldPosition="0">
        <references count="8">
          <reference field="1" count="1" selected="0">
            <x v="47"/>
          </reference>
          <reference field="2" count="1" selected="0">
            <x v="6"/>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5"/>
          </reference>
        </references>
      </pivotArea>
    </format>
    <format dxfId="2020">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8"/>
          </reference>
        </references>
      </pivotArea>
    </format>
    <format dxfId="2019">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20"/>
          </reference>
        </references>
      </pivotArea>
    </format>
    <format dxfId="2018">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3"/>
          </reference>
        </references>
      </pivotArea>
    </format>
    <format dxfId="2017">
      <pivotArea dataOnly="0" labelOnly="1" outline="0" fieldPosition="0">
        <references count="8">
          <reference field="1" count="1" selected="0">
            <x v="48"/>
          </reference>
          <reference field="2" count="1" selected="0">
            <x v="8"/>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8"/>
          </reference>
        </references>
      </pivotArea>
    </format>
    <format dxfId="2016">
      <pivotArea dataOnly="0" labelOnly="1" outline="0" fieldPosition="0">
        <references count="8">
          <reference field="1" count="1" selected="0">
            <x v="49"/>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015">
      <pivotArea dataOnly="0" labelOnly="1" outline="0" fieldPosition="0">
        <references count="8">
          <reference field="1" count="1" selected="0">
            <x v="50"/>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014">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13">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12">
      <pivotArea dataOnly="0" labelOnly="1" outline="0" fieldPosition="0">
        <references count="8">
          <reference field="1" count="1" selected="0">
            <x v="51"/>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11">
      <pivotArea field="12" type="button" dataOnly="0" labelOnly="1" outline="0" axis="axisRow" fieldPosition="10"/>
    </format>
    <format dxfId="2010">
      <pivotArea field="85" type="button" dataOnly="0" labelOnly="1" outline="0" axis="axisRow" fieldPosition="11"/>
    </format>
    <format dxfId="2009">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63"/>
          </reference>
        </references>
      </pivotArea>
    </format>
    <format dxfId="2008">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3"/>
          </reference>
        </references>
      </pivotArea>
    </format>
    <format dxfId="2007">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s>
      </pivotArea>
    </format>
    <format dxfId="2006">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s>
      </pivotArea>
    </format>
    <format dxfId="2005">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s>
      </pivotArea>
    </format>
    <format dxfId="2004">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003">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s>
      </pivotArea>
    </format>
    <format dxfId="2002">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s>
      </pivotArea>
    </format>
    <format dxfId="200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s>
      </pivotArea>
    </format>
    <format dxfId="2000">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999">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s>
      </pivotArea>
    </format>
    <format dxfId="1998">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436"/>
          </reference>
          <reference field="82" count="1" selected="0">
            <x v="3015"/>
          </reference>
        </references>
      </pivotArea>
    </format>
    <format dxfId="1997">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96">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s>
      </pivotArea>
    </format>
    <format dxfId="1995">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s>
      </pivotArea>
    </format>
    <format dxfId="1994">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5"/>
          </reference>
        </references>
      </pivotArea>
    </format>
    <format dxfId="1993">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99"/>
          </reference>
        </references>
      </pivotArea>
    </format>
    <format dxfId="1992">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s>
      </pivotArea>
    </format>
    <format dxfId="1991">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4"/>
          </reference>
        </references>
      </pivotArea>
    </format>
    <format dxfId="1990">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89">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s>
      </pivotArea>
    </format>
    <format dxfId="1988">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s>
      </pivotArea>
    </format>
    <format dxfId="1987">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86">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s>
      </pivotArea>
    </format>
    <format dxfId="1985">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s>
      </pivotArea>
    </format>
    <format dxfId="1984">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s>
      </pivotArea>
    </format>
    <format dxfId="1983">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s>
      </pivotArea>
    </format>
    <format dxfId="1982">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385"/>
          </reference>
          <reference field="82" count="1" selected="0">
            <x v="2941"/>
          </reference>
        </references>
      </pivotArea>
    </format>
    <format dxfId="1981">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s>
      </pivotArea>
    </format>
    <format dxfId="1980">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s>
      </pivotArea>
    </format>
    <format dxfId="1979">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s>
      </pivotArea>
    </format>
    <format dxfId="1978">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s>
      </pivotArea>
    </format>
    <format dxfId="1977">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453"/>
          </reference>
          <reference field="82" count="1" selected="0">
            <x v="3035"/>
          </reference>
        </references>
      </pivotArea>
    </format>
    <format dxfId="1976">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381"/>
          </reference>
          <reference field="82" count="1" selected="0">
            <x v="2936"/>
          </reference>
        </references>
      </pivotArea>
    </format>
    <format dxfId="1975">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399"/>
          </reference>
          <reference field="82" count="1" selected="0">
            <x v="2991"/>
          </reference>
        </references>
      </pivotArea>
    </format>
    <format dxfId="1974">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450"/>
          </reference>
          <reference field="82" count="1" selected="0">
            <x v="3032"/>
          </reference>
        </references>
      </pivotArea>
    </format>
    <format dxfId="1973">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495"/>
          </reference>
          <reference field="82" count="1" selected="0">
            <x v="3088"/>
          </reference>
        </references>
      </pivotArea>
    </format>
    <format dxfId="1972">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432"/>
          </reference>
          <reference field="82" count="1" selected="0">
            <x v="3010"/>
          </reference>
        </references>
      </pivotArea>
    </format>
    <format dxfId="1971">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393"/>
          </reference>
          <reference field="82" count="1" selected="0">
            <x v="2952"/>
          </reference>
        </references>
      </pivotArea>
    </format>
    <format dxfId="1970">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426"/>
          </reference>
          <reference field="82" count="1" selected="0">
            <x v="2995"/>
          </reference>
        </references>
      </pivotArea>
    </format>
    <format dxfId="1969">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s>
      </pivotArea>
    </format>
    <format dxfId="1968">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s>
      </pivotArea>
    </format>
    <format dxfId="1967">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s>
      </pivotArea>
    </format>
    <format dxfId="1966">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387"/>
          </reference>
          <reference field="82" count="1" selected="0">
            <x v="2943"/>
          </reference>
        </references>
      </pivotArea>
    </format>
    <format dxfId="1965">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s>
      </pivotArea>
    </format>
    <format dxfId="1964">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460"/>
          </reference>
          <reference field="82" count="1" selected="0">
            <x v="3057"/>
          </reference>
        </references>
      </pivotArea>
    </format>
    <format dxfId="1963">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s>
      </pivotArea>
    </format>
    <format dxfId="1962">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79"/>
          </reference>
        </references>
      </pivotArea>
    </format>
    <format dxfId="1961">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504"/>
          </reference>
          <reference field="82" count="1" selected="0">
            <x v="3110"/>
          </reference>
        </references>
      </pivotArea>
    </format>
    <format dxfId="1960">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59">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s>
      </pivotArea>
    </format>
    <format dxfId="1958">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57">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366"/>
          </reference>
          <reference field="82" count="1" selected="0">
            <x v="2920"/>
          </reference>
        </references>
      </pivotArea>
    </format>
    <format dxfId="1956">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s>
      </pivotArea>
    </format>
    <format dxfId="1955">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54">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s>
      </pivotArea>
    </format>
    <format dxfId="1953">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52">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379"/>
          </reference>
          <reference field="82" count="1" selected="0">
            <x v="3014"/>
          </reference>
        </references>
      </pivotArea>
    </format>
    <format dxfId="1951">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s>
      </pivotArea>
    </format>
    <format dxfId="1950">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420"/>
          </reference>
          <reference field="82" count="1" selected="0">
            <x v="2985"/>
          </reference>
        </references>
      </pivotArea>
    </format>
    <format dxfId="1949">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445"/>
          </reference>
          <reference field="82" count="1" selected="0">
            <x v="3045"/>
          </reference>
        </references>
      </pivotArea>
    </format>
    <format dxfId="1948">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s>
      </pivotArea>
    </format>
    <format dxfId="1947">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946">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s>
      </pivotArea>
    </format>
    <format dxfId="1945">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418"/>
          </reference>
          <reference field="82" count="1" selected="0">
            <x v="2981"/>
          </reference>
        </references>
      </pivotArea>
    </format>
    <format dxfId="1944">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377"/>
          </reference>
          <reference field="82" count="1" selected="0">
            <x v="3046"/>
          </reference>
        </references>
      </pivotArea>
    </format>
    <format dxfId="1943">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s>
      </pivotArea>
    </format>
    <format dxfId="1942">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941">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s>
      </pivotArea>
    </format>
    <format dxfId="194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458"/>
          </reference>
          <reference field="82" count="1" selected="0">
            <x v="3040"/>
          </reference>
        </references>
      </pivotArea>
    </format>
    <format dxfId="1939">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s>
      </pivotArea>
    </format>
    <format dxfId="193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s>
      </pivotArea>
    </format>
    <format dxfId="193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461"/>
          </reference>
          <reference field="82" count="1" selected="0">
            <x v="3043"/>
          </reference>
        </references>
      </pivotArea>
    </format>
    <format dxfId="1936">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s>
      </pivotArea>
    </format>
    <format dxfId="1935">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934">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492"/>
          </reference>
          <reference field="82" count="1" selected="0">
            <x v="3084"/>
          </reference>
        </references>
      </pivotArea>
    </format>
    <format dxfId="1933">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507"/>
          </reference>
          <reference field="82" count="1" selected="0">
            <x v="3113"/>
          </reference>
        </references>
      </pivotArea>
    </format>
    <format dxfId="1932">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383"/>
          </reference>
          <reference field="82" count="1" selected="0">
            <x v="2948"/>
          </reference>
        </references>
      </pivotArea>
    </format>
    <format dxfId="1931">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480"/>
          </reference>
          <reference field="82" count="1" selected="0">
            <x v="3070"/>
          </reference>
        </references>
      </pivotArea>
    </format>
    <format dxfId="1930">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450"/>
          </reference>
          <reference field="82" count="1" selected="0">
            <x v="3128"/>
          </reference>
        </references>
      </pivotArea>
    </format>
    <format dxfId="1929">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1547"/>
          </reference>
          <reference field="82" count="1" selected="0">
            <x v="26"/>
          </reference>
        </references>
      </pivotArea>
    </format>
    <format dxfId="1928">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514"/>
          </reference>
          <reference field="82" count="1" selected="0">
            <x v="3131"/>
          </reference>
        </references>
      </pivotArea>
    </format>
    <format dxfId="1927">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26">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s>
      </pivotArea>
    </format>
    <format dxfId="1925">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24">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s>
      </pivotArea>
    </format>
    <format dxfId="1923">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22">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s>
      </pivotArea>
    </format>
    <format dxfId="1921">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920">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513"/>
          </reference>
          <reference field="82" count="1" selected="0">
            <x v="3124"/>
          </reference>
        </references>
      </pivotArea>
    </format>
    <format dxfId="1919">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918">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478"/>
          </reference>
          <reference field="82" count="1" selected="0">
            <x v="3068"/>
          </reference>
        </references>
      </pivotArea>
    </format>
    <format dxfId="1917">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s>
      </pivotArea>
    </format>
    <format dxfId="1916">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915">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371"/>
          </reference>
          <reference field="82" count="1" selected="0">
            <x v="2926"/>
          </reference>
        </references>
      </pivotArea>
    </format>
    <format dxfId="1914">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515"/>
          </reference>
          <reference field="82" count="1" selected="0">
            <x v="3133"/>
          </reference>
        </references>
      </pivotArea>
    </format>
    <format dxfId="1913">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912">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0"/>
          </reference>
        </references>
      </pivotArea>
    </format>
    <format dxfId="1911">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3545"/>
          </reference>
          <reference field="82" count="1" selected="0">
            <x v="2021"/>
          </reference>
        </references>
      </pivotArea>
    </format>
    <format dxfId="1910">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909">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517"/>
          </reference>
          <reference field="82" count="1" selected="0">
            <x v="3135"/>
          </reference>
        </references>
      </pivotArea>
    </format>
    <format dxfId="1908">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907">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3548"/>
          </reference>
          <reference field="82" count="1" selected="0">
            <x v="2024"/>
          </reference>
        </references>
      </pivotArea>
    </format>
    <format dxfId="1906">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518"/>
          </reference>
          <reference field="82" count="1" selected="0">
            <x v="3136"/>
          </reference>
        </references>
      </pivotArea>
    </format>
    <format dxfId="1905">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394"/>
          </reference>
          <reference field="82" count="1" selected="0">
            <x v="2953"/>
          </reference>
        </references>
      </pivotArea>
    </format>
    <format dxfId="1904">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4520"/>
          </reference>
          <reference field="82" count="1" selected="0">
            <x v="3138"/>
          </reference>
        </references>
      </pivotArea>
    </format>
    <format dxfId="1903">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s>
      </pivotArea>
    </format>
    <format dxfId="1902">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s>
      </pivotArea>
    </format>
    <format dxfId="1901">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900">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899">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370"/>
          </reference>
          <reference field="82" count="1" selected="0">
            <x v="2925"/>
          </reference>
        </references>
      </pivotArea>
    </format>
    <format dxfId="1898">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447"/>
          </reference>
          <reference field="82" count="1" selected="0">
            <x v="3130"/>
          </reference>
        </references>
      </pivotArea>
    </format>
    <format dxfId="1897">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s>
      </pivotArea>
    </format>
    <format dxfId="1896">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516"/>
          </reference>
          <reference field="82" count="1" selected="0">
            <x v="3134"/>
          </reference>
        </references>
      </pivotArea>
    </format>
    <format dxfId="1895">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397"/>
          </reference>
          <reference field="82" count="1" selected="0">
            <x v="2959"/>
          </reference>
        </references>
      </pivotArea>
    </format>
    <format dxfId="1894">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7"/>
          </reference>
        </references>
      </pivotArea>
    </format>
    <format dxfId="1893">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s>
      </pivotArea>
    </format>
    <format dxfId="1892">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8"/>
          </reference>
        </references>
      </pivotArea>
    </format>
    <format dxfId="1891">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431"/>
          </reference>
          <reference field="82" count="1" selected="0">
            <x v="3123"/>
          </reference>
        </references>
      </pivotArea>
    </format>
    <format dxfId="1890">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889">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489"/>
          </reference>
          <reference field="82" count="1" selected="0">
            <x v="3081"/>
          </reference>
        </references>
      </pivotArea>
    </format>
    <format dxfId="1888">
      <pivotArea dataOnly="0" labelOnly="1" outline="0" fieldPosition="0">
        <references count="11">
          <reference field="1" count="1" selected="0">
            <x v="47"/>
          </reference>
          <reference field="2" count="1" selected="0">
            <x v="6"/>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13"/>
          </reference>
          <reference field="81" count="1" selected="0">
            <x v="4416"/>
          </reference>
          <reference field="82" count="1" selected="0">
            <x v="2979"/>
          </reference>
        </references>
      </pivotArea>
    </format>
    <format dxfId="1887">
      <pivotArea dataOnly="0" labelOnly="1" outline="0" fieldPosition="0">
        <references count="11">
          <reference field="1" count="1" selected="0">
            <x v="49"/>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886">
      <pivotArea dataOnly="0" labelOnly="1" outline="0" fieldPosition="0">
        <references count="11">
          <reference field="1" count="1" selected="0">
            <x v="51"/>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504"/>
          </reference>
          <reference field="82" count="1" selected="0">
            <x v="3110"/>
          </reference>
        </references>
      </pivotArea>
    </format>
    <format dxfId="1885">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63"/>
          </reference>
          <reference field="85" count="1">
            <x v="4"/>
          </reference>
        </references>
      </pivotArea>
    </format>
    <format dxfId="1884">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3"/>
          </reference>
          <reference field="85" count="1">
            <x v="0"/>
          </reference>
        </references>
      </pivotArea>
    </format>
    <format dxfId="1883">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x v="7"/>
          </reference>
        </references>
      </pivotArea>
    </format>
    <format dxfId="1882">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x v="4"/>
          </reference>
        </references>
      </pivotArea>
    </format>
    <format dxfId="1881">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x v="7"/>
          </reference>
        </references>
      </pivotArea>
    </format>
    <format dxfId="1880">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87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x v="0"/>
          </reference>
        </references>
      </pivotArea>
    </format>
    <format dxfId="1878">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x v="7"/>
          </reference>
        </references>
      </pivotArea>
    </format>
    <format dxfId="1877">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x v="0"/>
          </reference>
        </references>
      </pivotArea>
    </format>
    <format dxfId="1876">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875">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x v="7"/>
          </reference>
        </references>
      </pivotArea>
    </format>
    <format dxfId="1874">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36"/>
          </reference>
          <reference field="82" count="1" selected="0">
            <x v="3015"/>
          </reference>
          <reference field="85" count="1">
            <x v="0"/>
          </reference>
        </references>
      </pivotArea>
    </format>
    <format dxfId="1873">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72">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x v="7"/>
          </reference>
        </references>
      </pivotArea>
    </format>
    <format dxfId="1871">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x v="4"/>
          </reference>
        </references>
      </pivotArea>
    </format>
    <format dxfId="1870">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5"/>
          </reference>
          <reference field="85" count="1">
            <x v="7"/>
          </reference>
        </references>
      </pivotArea>
    </format>
    <format dxfId="1869">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99"/>
          </reference>
          <reference field="85" count="1">
            <x v="4"/>
          </reference>
        </references>
      </pivotArea>
    </format>
    <format dxfId="1868">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x v="0"/>
          </reference>
        </references>
      </pivotArea>
    </format>
    <format dxfId="1867">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4"/>
          </reference>
          <reference field="85" count="1">
            <x v="7"/>
          </reference>
        </references>
      </pivotArea>
    </format>
    <format dxfId="1866">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65">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x v="7"/>
          </reference>
        </references>
      </pivotArea>
    </format>
    <format dxfId="1864">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 field="85" count="1">
            <x v="0"/>
          </reference>
        </references>
      </pivotArea>
    </format>
    <format dxfId="1863">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62">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x v="7"/>
          </reference>
        </references>
      </pivotArea>
    </format>
    <format dxfId="1861">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x v="4"/>
          </reference>
        </references>
      </pivotArea>
    </format>
    <format dxfId="1860">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x v="7"/>
          </reference>
        </references>
      </pivotArea>
    </format>
    <format dxfId="1859">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x v="0"/>
          </reference>
        </references>
      </pivotArea>
    </format>
    <format dxfId="1858">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85"/>
          </reference>
          <reference field="82" count="1" selected="0">
            <x v="2941"/>
          </reference>
          <reference field="85" count="1">
            <x v="7"/>
          </reference>
        </references>
      </pivotArea>
    </format>
    <format dxfId="1857">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x v="0"/>
          </reference>
        </references>
      </pivotArea>
    </format>
    <format dxfId="1856">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x v="7"/>
          </reference>
        </references>
      </pivotArea>
    </format>
    <format dxfId="1855">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x v="0"/>
          </reference>
        </references>
      </pivotArea>
    </format>
    <format dxfId="1854">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x v="7"/>
          </reference>
        </references>
      </pivotArea>
    </format>
    <format dxfId="1853">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53"/>
          </reference>
          <reference field="82" count="1" selected="0">
            <x v="3035"/>
          </reference>
          <reference field="85" count="1">
            <x v="0"/>
          </reference>
        </references>
      </pivotArea>
    </format>
    <format dxfId="1852">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81"/>
          </reference>
          <reference field="82" count="1" selected="0">
            <x v="2936"/>
          </reference>
          <reference field="85" count="1">
            <x v="7"/>
          </reference>
        </references>
      </pivotArea>
    </format>
    <format dxfId="1851">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99"/>
          </reference>
          <reference field="82" count="1" selected="0">
            <x v="2991"/>
          </reference>
          <reference field="85" count="1">
            <x v="4"/>
          </reference>
        </references>
      </pivotArea>
    </format>
    <format dxfId="1850">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50"/>
          </reference>
          <reference field="82" count="1" selected="0">
            <x v="3032"/>
          </reference>
          <reference field="85" count="1">
            <x v="0"/>
          </reference>
        </references>
      </pivotArea>
    </format>
    <format dxfId="1849">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95"/>
          </reference>
          <reference field="82" count="1" selected="0">
            <x v="3088"/>
          </reference>
          <reference field="85" count="1">
            <x v="7"/>
          </reference>
        </references>
      </pivotArea>
    </format>
    <format dxfId="1848">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432"/>
          </reference>
          <reference field="82" count="1" selected="0">
            <x v="3010"/>
          </reference>
          <reference field="85" count="1">
            <x v="0"/>
          </reference>
        </references>
      </pivotArea>
    </format>
    <format dxfId="1847">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93"/>
          </reference>
          <reference field="82" count="1" selected="0">
            <x v="2952"/>
          </reference>
          <reference field="85" count="1">
            <x v="7"/>
          </reference>
        </references>
      </pivotArea>
    </format>
    <format dxfId="1846">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426"/>
          </reference>
          <reference field="82" count="1" selected="0">
            <x v="2995"/>
          </reference>
          <reference field="85" count="1">
            <x v="4"/>
          </reference>
        </references>
      </pivotArea>
    </format>
    <format dxfId="1845">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x v="0"/>
          </reference>
        </references>
      </pivotArea>
    </format>
    <format dxfId="1844">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x v="7"/>
          </reference>
        </references>
      </pivotArea>
    </format>
    <format dxfId="1843">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x v="0"/>
          </reference>
        </references>
      </pivotArea>
    </format>
    <format dxfId="1842">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87"/>
          </reference>
          <reference field="82" count="1" selected="0">
            <x v="2943"/>
          </reference>
          <reference field="85" count="1">
            <x v="7"/>
          </reference>
        </references>
      </pivotArea>
    </format>
    <format dxfId="1841">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x v="0"/>
          </reference>
        </references>
      </pivotArea>
    </format>
    <format dxfId="1840">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60"/>
          </reference>
          <reference field="82" count="1" selected="0">
            <x v="3057"/>
          </reference>
          <reference field="85" count="1">
            <x v="2"/>
          </reference>
        </references>
      </pivotArea>
    </format>
    <format dxfId="1839">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x v="0"/>
          </reference>
        </references>
      </pivotArea>
    </format>
    <format dxfId="1838">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79"/>
          </reference>
          <reference field="85" count="1">
            <x v="7"/>
          </reference>
        </references>
      </pivotArea>
    </format>
    <format dxfId="1837">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504"/>
          </reference>
          <reference field="82" count="1" selected="0">
            <x v="3110"/>
          </reference>
          <reference field="85" count="1">
            <x v="4"/>
          </reference>
        </references>
      </pivotArea>
    </format>
    <format dxfId="1836">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35">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x v="4"/>
          </reference>
        </references>
      </pivotArea>
    </format>
    <format dxfId="1834">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33">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66"/>
          </reference>
          <reference field="82" count="1" selected="0">
            <x v="2920"/>
          </reference>
          <reference field="85" count="1">
            <x v="3"/>
          </reference>
        </references>
      </pivotArea>
    </format>
    <format dxfId="1832">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x v="4"/>
          </reference>
        </references>
      </pivotArea>
    </format>
    <format dxfId="1831">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30">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x v="4"/>
          </reference>
        </references>
      </pivotArea>
    </format>
    <format dxfId="1829">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828">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79"/>
          </reference>
          <reference field="82" count="1" selected="0">
            <x v="3014"/>
          </reference>
          <reference field="85" count="1">
            <x v="0"/>
          </reference>
        </references>
      </pivotArea>
    </format>
    <format dxfId="1827">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x v="7"/>
          </reference>
        </references>
      </pivotArea>
    </format>
    <format dxfId="1826">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420"/>
          </reference>
          <reference field="82" count="1" selected="0">
            <x v="2985"/>
          </reference>
          <reference field="85" count="1">
            <x v="4"/>
          </reference>
        </references>
      </pivotArea>
    </format>
    <format dxfId="1825">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45"/>
          </reference>
          <reference field="82" count="1" selected="0">
            <x v="3045"/>
          </reference>
          <reference field="85" count="1">
            <x v="0"/>
          </reference>
        </references>
      </pivotArea>
    </format>
    <format dxfId="1824">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x v="7"/>
          </reference>
        </references>
      </pivotArea>
    </format>
    <format dxfId="1823">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75"/>
          </reference>
          <reference field="82" count="1" selected="0">
            <x v="2930"/>
          </reference>
          <reference field="85" count="1">
            <x v="3"/>
          </reference>
        </references>
      </pivotArea>
    </format>
    <format dxfId="1822">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82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x v="7"/>
          </reference>
        </references>
      </pivotArea>
    </format>
    <format dxfId="1820">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418"/>
          </reference>
          <reference field="82" count="1" selected="0">
            <x v="2981"/>
          </reference>
          <reference field="85" count="1">
            <x v="4"/>
          </reference>
        </references>
      </pivotArea>
    </format>
    <format dxfId="1819">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77"/>
          </reference>
          <reference field="82" count="1" selected="0">
            <x v="3046"/>
          </reference>
          <reference field="85" count="1">
            <x v="0"/>
          </reference>
        </references>
      </pivotArea>
    </format>
    <format dxfId="181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x v="7"/>
          </reference>
        </references>
      </pivotArea>
    </format>
    <format dxfId="1817">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80"/>
          </reference>
          <reference field="82" count="1" selected="0">
            <x v="2935"/>
          </reference>
          <reference field="85" count="1">
            <x v="3"/>
          </reference>
        </references>
      </pivotArea>
    </format>
    <format dxfId="1816">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x v="7"/>
          </reference>
        </references>
      </pivotArea>
    </format>
    <format dxfId="1815">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65"/>
          </reference>
          <reference field="82" count="1" selected="0">
            <x v="2924"/>
          </reference>
          <reference field="85" count="1">
            <x v="3"/>
          </reference>
        </references>
      </pivotArea>
    </format>
    <format dxfId="1814">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813">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x v="4"/>
          </reference>
        </references>
      </pivotArea>
    </format>
    <format dxfId="1812">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58"/>
          </reference>
          <reference field="82" count="1" selected="0">
            <x v="3040"/>
          </reference>
          <reference field="85" count="1">
            <x v="0"/>
          </reference>
        </references>
      </pivotArea>
    </format>
    <format dxfId="1811">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x v="2"/>
          </reference>
        </references>
      </pivotArea>
    </format>
    <format dxfId="1810">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x v="4"/>
          </reference>
        </references>
      </pivotArea>
    </format>
    <format dxfId="1809">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61"/>
          </reference>
          <reference field="82" count="1" selected="0">
            <x v="3043"/>
          </reference>
          <reference field="85" count="1">
            <x v="0"/>
          </reference>
        </references>
      </pivotArea>
    </format>
    <format dxfId="1808">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x v="2"/>
          </reference>
        </references>
      </pivotArea>
    </format>
    <format dxfId="1807">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92"/>
          </reference>
          <reference field="82" count="1" selected="0">
            <x v="3084"/>
          </reference>
          <reference field="85" count="1">
            <x v="7"/>
          </reference>
        </references>
      </pivotArea>
    </format>
    <format dxfId="1806">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507"/>
          </reference>
          <reference field="82" count="1" selected="0">
            <x v="3113"/>
          </reference>
          <reference field="85" count="1">
            <x v="4"/>
          </reference>
        </references>
      </pivotArea>
    </format>
    <format dxfId="1805">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83"/>
          </reference>
          <reference field="82" count="1" selected="0">
            <x v="2948"/>
          </reference>
          <reference field="85" count="1">
            <x v="7"/>
          </reference>
        </references>
      </pivotArea>
    </format>
    <format dxfId="1804">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80"/>
          </reference>
          <reference field="82" count="1" selected="0">
            <x v="3070"/>
          </reference>
          <reference field="85" count="1">
            <x v="2"/>
          </reference>
        </references>
      </pivotArea>
    </format>
    <format dxfId="1803">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50"/>
          </reference>
          <reference field="82" count="1" selected="0">
            <x v="3128"/>
          </reference>
          <reference field="85" count="1">
            <x v="4"/>
          </reference>
        </references>
      </pivotArea>
    </format>
    <format dxfId="1802">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47"/>
          </reference>
          <reference field="82" count="1" selected="0">
            <x v="26"/>
          </reference>
          <reference field="85" count="1">
            <x v="2"/>
          </reference>
        </references>
      </pivotArea>
    </format>
    <format dxfId="1801">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514"/>
          </reference>
          <reference field="82" count="1" selected="0">
            <x v="3131"/>
          </reference>
          <reference field="85" count="1">
            <x v="4"/>
          </reference>
        </references>
      </pivotArea>
    </format>
    <format dxfId="1800">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99">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x v="4"/>
          </reference>
        </references>
      </pivotArea>
    </format>
    <format dxfId="1798">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97">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x v="4"/>
          </reference>
        </references>
      </pivotArea>
    </format>
    <format dxfId="1796">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95">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x v="4"/>
          </reference>
        </references>
      </pivotArea>
    </format>
    <format dxfId="1794">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9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513"/>
          </reference>
          <reference field="82" count="1" selected="0">
            <x v="3124"/>
          </reference>
          <reference field="85" count="1">
            <x v="4"/>
          </reference>
        </references>
      </pivotArea>
    </format>
    <format dxfId="1792">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791">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x v="4"/>
          </reference>
        </references>
      </pivotArea>
    </format>
    <format dxfId="1790">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789">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71"/>
          </reference>
          <reference field="82" count="1" selected="0">
            <x v="2926"/>
          </reference>
          <reference field="85" count="1">
            <x v="3"/>
          </reference>
        </references>
      </pivotArea>
    </format>
    <format dxfId="1788">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515"/>
          </reference>
          <reference field="82" count="1" selected="0">
            <x v="3133"/>
          </reference>
          <reference field="85" count="1">
            <x v="4"/>
          </reference>
        </references>
      </pivotArea>
    </format>
    <format dxfId="1787">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786">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0"/>
          </reference>
          <reference field="85" count="1">
            <x v="7"/>
          </reference>
        </references>
      </pivotArea>
    </format>
    <format dxfId="1785">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72"/>
          </reference>
          <reference field="82" count="1" selected="0">
            <x v="2927"/>
          </reference>
          <reference field="85" count="1">
            <x v="3"/>
          </reference>
        </references>
      </pivotArea>
    </format>
    <format dxfId="1784">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1"/>
          </reference>
          <reference field="85" count="1">
            <x v="7"/>
          </reference>
        </references>
      </pivotArea>
    </format>
    <format dxfId="1783">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45"/>
          </reference>
          <reference field="82" count="1" selected="0">
            <x v="2021"/>
          </reference>
          <reference field="85" count="1">
            <x v="2"/>
          </reference>
        </references>
      </pivotArea>
    </format>
    <format dxfId="1782">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781">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517"/>
          </reference>
          <reference field="82" count="1" selected="0">
            <x v="3135"/>
          </reference>
          <reference field="85" count="1">
            <x v="7"/>
          </reference>
        </references>
      </pivotArea>
    </format>
    <format dxfId="1780">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779">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48"/>
          </reference>
          <reference field="82" count="1" selected="0">
            <x v="2024"/>
          </reference>
          <reference field="85" count="1">
            <x v="2"/>
          </reference>
        </references>
      </pivotArea>
    </format>
    <format dxfId="1778">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518"/>
          </reference>
          <reference field="82" count="1" selected="0">
            <x v="3136"/>
          </reference>
          <reference field="85" count="1">
            <x v="7"/>
          </reference>
        </references>
      </pivotArea>
    </format>
    <format dxfId="1777">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94"/>
          </reference>
          <reference field="82" count="1" selected="0">
            <x v="2953"/>
          </reference>
          <reference field="85" count="1">
            <x v="2"/>
          </reference>
        </references>
      </pivotArea>
    </format>
    <format dxfId="1776">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520"/>
          </reference>
          <reference field="82" count="1" selected="0">
            <x v="3138"/>
          </reference>
          <reference field="85" count="1">
            <x v="8"/>
          </reference>
        </references>
      </pivotArea>
    </format>
    <format dxfId="1775">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 field="85" count="1">
            <x v="7"/>
          </reference>
        </references>
      </pivotArea>
    </format>
    <format dxfId="1774">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 field="85" count="1">
            <x v="2"/>
          </reference>
        </references>
      </pivotArea>
    </format>
    <format dxfId="1773">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772">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771">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47"/>
          </reference>
          <reference field="82" count="1" selected="0">
            <x v="3130"/>
          </reference>
          <reference field="85" count="1">
            <x v="4"/>
          </reference>
        </references>
      </pivotArea>
    </format>
    <format dxfId="1770">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x v="2"/>
          </reference>
        </references>
      </pivotArea>
    </format>
    <format dxfId="1769">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516"/>
          </reference>
          <reference field="82" count="1" selected="0">
            <x v="3134"/>
          </reference>
          <reference field="85" count="1">
            <x v="4"/>
          </reference>
        </references>
      </pivotArea>
    </format>
    <format dxfId="1768">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97"/>
          </reference>
          <reference field="82" count="1" selected="0">
            <x v="2959"/>
          </reference>
          <reference field="85" count="1">
            <x v="2"/>
          </reference>
        </references>
      </pivotArea>
    </format>
    <format dxfId="1767">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7"/>
          </reference>
          <reference field="85" count="1">
            <x v="7"/>
          </reference>
        </references>
      </pivotArea>
    </format>
    <format dxfId="1766">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x v="2"/>
          </reference>
        </references>
      </pivotArea>
    </format>
    <format dxfId="1765">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8"/>
          </reference>
          <reference field="85" count="1">
            <x v="7"/>
          </reference>
        </references>
      </pivotArea>
    </format>
    <format dxfId="1764">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431"/>
          </reference>
          <reference field="82" count="1" selected="0">
            <x v="3123"/>
          </reference>
          <reference field="85" count="1">
            <x v="4"/>
          </reference>
        </references>
      </pivotArea>
    </format>
    <format dxfId="1763">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762">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89"/>
          </reference>
          <reference field="82" count="1" selected="0">
            <x v="3081"/>
          </reference>
          <reference field="85" count="1">
            <x v="7"/>
          </reference>
        </references>
      </pivotArea>
    </format>
    <format dxfId="1761">
      <pivotArea dataOnly="0" labelOnly="1" outline="0" fieldPosition="0">
        <references count="12">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416"/>
          </reference>
          <reference field="82" count="1" selected="0">
            <x v="2979"/>
          </reference>
          <reference field="85" count="1">
            <x v="4"/>
          </reference>
        </references>
      </pivotArea>
    </format>
    <format dxfId="1760">
      <pivotArea dataOnly="0" labelOnly="1" outline="0" fieldPosition="0">
        <references count="12">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759">
      <pivotArea dataOnly="0" labelOnly="1" outline="0" fieldPosition="0">
        <references count="12">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504"/>
          </reference>
          <reference field="82" count="1" selected="0">
            <x v="3110"/>
          </reference>
          <reference field="85" count="1">
            <x v="4"/>
          </reference>
        </references>
      </pivotArea>
    </format>
    <format dxfId="1758">
      <pivotArea field="3" type="button" dataOnly="0" labelOnly="1" outline="0" axis="axisRow" fieldPosition="1"/>
    </format>
    <format dxfId="1757">
      <pivotArea dataOnly="0" labelOnly="1" outline="0" fieldPosition="0">
        <references count="2">
          <reference field="1" count="1" selected="0">
            <x v="0"/>
          </reference>
          <reference field="3" count="9">
            <x v="0"/>
            <x v="3"/>
            <x v="4"/>
            <x v="5"/>
            <x v="7"/>
            <x v="12"/>
            <x v="13"/>
            <x v="14"/>
            <x v="17"/>
          </reference>
        </references>
      </pivotArea>
    </format>
    <format dxfId="1756">
      <pivotArea dataOnly="0" labelOnly="1" outline="0" fieldPosition="0">
        <references count="2">
          <reference field="1" count="1" selected="0">
            <x v="1"/>
          </reference>
          <reference field="3" count="4">
            <x v="0"/>
            <x v="5"/>
            <x v="7"/>
            <x v="14"/>
          </reference>
        </references>
      </pivotArea>
    </format>
    <format dxfId="1755">
      <pivotArea dataOnly="0" labelOnly="1" outline="0" fieldPosition="0">
        <references count="2">
          <reference field="1" count="1" selected="0">
            <x v="2"/>
          </reference>
          <reference field="3" count="2">
            <x v="0"/>
            <x v="7"/>
          </reference>
        </references>
      </pivotArea>
    </format>
    <format dxfId="1754">
      <pivotArea dataOnly="0" labelOnly="1" outline="0" fieldPosition="0">
        <references count="2">
          <reference field="1" count="1" selected="0">
            <x v="3"/>
          </reference>
          <reference field="3" count="2">
            <x v="0"/>
            <x v="7"/>
          </reference>
        </references>
      </pivotArea>
    </format>
    <format dxfId="1753">
      <pivotArea dataOnly="0" labelOnly="1" outline="0" fieldPosition="0">
        <references count="2">
          <reference field="1" count="1" selected="0">
            <x v="4"/>
          </reference>
          <reference field="3" count="3">
            <x v="0"/>
            <x v="7"/>
            <x v="12"/>
          </reference>
        </references>
      </pivotArea>
    </format>
    <format dxfId="1752">
      <pivotArea dataOnly="0" labelOnly="1" outline="0" fieldPosition="0">
        <references count="2">
          <reference field="1" count="1" selected="0">
            <x v="5"/>
          </reference>
          <reference field="3" count="1">
            <x v="5"/>
          </reference>
        </references>
      </pivotArea>
    </format>
    <format dxfId="1751">
      <pivotArea dataOnly="0" labelOnly="1" outline="0" fieldPosition="0">
        <references count="2">
          <reference field="1" count="1" selected="0">
            <x v="6"/>
          </reference>
          <reference field="3" count="1">
            <x v="7"/>
          </reference>
        </references>
      </pivotArea>
    </format>
    <format dxfId="1750">
      <pivotArea dataOnly="0" labelOnly="1" outline="0" fieldPosition="0">
        <references count="2">
          <reference field="1" count="1" selected="0">
            <x v="7"/>
          </reference>
          <reference field="3" count="5">
            <x v="0"/>
            <x v="7"/>
            <x v="14"/>
            <x v="17"/>
            <x v="20"/>
          </reference>
        </references>
      </pivotArea>
    </format>
    <format dxfId="1749">
      <pivotArea dataOnly="0" labelOnly="1" outline="0" fieldPosition="0">
        <references count="2">
          <reference field="1" count="1" selected="0">
            <x v="8"/>
          </reference>
          <reference field="3" count="1">
            <x v="7"/>
          </reference>
        </references>
      </pivotArea>
    </format>
    <format dxfId="1748">
      <pivotArea dataOnly="0" labelOnly="1" outline="0" fieldPosition="0">
        <references count="2">
          <reference field="1" count="1" selected="0">
            <x v="10"/>
          </reference>
          <reference field="3" count="1">
            <x v="4"/>
          </reference>
        </references>
      </pivotArea>
    </format>
    <format dxfId="1747">
      <pivotArea dataOnly="0" labelOnly="1" outline="0" fieldPosition="0">
        <references count="2">
          <reference field="1" count="1" selected="0">
            <x v="11"/>
          </reference>
          <reference field="3" count="1">
            <x v="15"/>
          </reference>
        </references>
      </pivotArea>
    </format>
    <format dxfId="1746">
      <pivotArea dataOnly="0" labelOnly="1" outline="0" fieldPosition="0">
        <references count="2">
          <reference field="1" count="1" selected="0">
            <x v="12"/>
          </reference>
          <reference field="3" count="3">
            <x v="0"/>
            <x v="7"/>
            <x v="14"/>
          </reference>
        </references>
      </pivotArea>
    </format>
    <format dxfId="1745">
      <pivotArea dataOnly="0" labelOnly="1" outline="0" fieldPosition="0">
        <references count="2">
          <reference field="1" count="1" selected="0">
            <x v="13"/>
          </reference>
          <reference field="3" count="1">
            <x v="4"/>
          </reference>
        </references>
      </pivotArea>
    </format>
    <format dxfId="1744">
      <pivotArea dataOnly="0" labelOnly="1" outline="0" fieldPosition="0">
        <references count="2">
          <reference field="1" count="1" selected="0">
            <x v="14"/>
          </reference>
          <reference field="3" count="1">
            <x v="15"/>
          </reference>
        </references>
      </pivotArea>
    </format>
    <format dxfId="1743">
      <pivotArea dataOnly="0" labelOnly="1" outline="0" fieldPosition="0">
        <references count="2">
          <reference field="1" count="1" selected="0">
            <x v="15"/>
          </reference>
          <reference field="3" count="1">
            <x v="5"/>
          </reference>
        </references>
      </pivotArea>
    </format>
    <format dxfId="1742">
      <pivotArea dataOnly="0" labelOnly="1" outline="0" fieldPosition="0">
        <references count="2">
          <reference field="1" count="1" selected="0">
            <x v="16"/>
          </reference>
          <reference field="3" count="1">
            <x v="7"/>
          </reference>
        </references>
      </pivotArea>
    </format>
    <format dxfId="1741">
      <pivotArea dataOnly="0" labelOnly="1" outline="0" fieldPosition="0">
        <references count="2">
          <reference field="1" count="1" selected="0">
            <x v="17"/>
          </reference>
          <reference field="3" count="2">
            <x v="0"/>
            <x v="7"/>
          </reference>
        </references>
      </pivotArea>
    </format>
    <format dxfId="1740">
      <pivotArea dataOnly="0" labelOnly="1" outline="0" fieldPosition="0">
        <references count="2">
          <reference field="1" count="1" selected="0">
            <x v="19"/>
          </reference>
          <reference field="3" count="3">
            <x v="1"/>
            <x v="2"/>
            <x v="15"/>
          </reference>
        </references>
      </pivotArea>
    </format>
    <format dxfId="1739">
      <pivotArea dataOnly="0" labelOnly="1" outline="0" fieldPosition="0">
        <references count="2">
          <reference field="1" count="1" selected="0">
            <x v="20"/>
          </reference>
          <reference field="3" count="1">
            <x v="1"/>
          </reference>
        </references>
      </pivotArea>
    </format>
    <format dxfId="1738">
      <pivotArea dataOnly="0" labelOnly="1" outline="0" fieldPosition="0">
        <references count="2">
          <reference field="1" count="1" selected="0">
            <x v="21"/>
          </reference>
          <reference field="3" count="4">
            <x v="0"/>
            <x v="7"/>
            <x v="12"/>
            <x v="19"/>
          </reference>
        </references>
      </pivotArea>
    </format>
    <format dxfId="1737">
      <pivotArea dataOnly="0" labelOnly="1" outline="0" fieldPosition="0">
        <references count="2">
          <reference field="1" count="1" selected="0">
            <x v="22"/>
          </reference>
          <reference field="3" count="1">
            <x v="7"/>
          </reference>
        </references>
      </pivotArea>
    </format>
    <format dxfId="1736">
      <pivotArea dataOnly="0" labelOnly="1" outline="0" fieldPosition="0">
        <references count="2">
          <reference field="1" count="1" selected="0">
            <x v="23"/>
          </reference>
          <reference field="3" count="1">
            <x v="9"/>
          </reference>
        </references>
      </pivotArea>
    </format>
    <format dxfId="1735">
      <pivotArea dataOnly="0" labelOnly="1" outline="0" fieldPosition="0">
        <references count="2">
          <reference field="1" count="1" selected="0">
            <x v="24"/>
          </reference>
          <reference field="3" count="1">
            <x v="15"/>
          </reference>
        </references>
      </pivotArea>
    </format>
    <format dxfId="1734">
      <pivotArea dataOnly="0" labelOnly="1" outline="0" fieldPosition="0">
        <references count="2">
          <reference field="1" count="1" selected="0">
            <x v="25"/>
          </reference>
          <reference field="3" count="1">
            <x v="4"/>
          </reference>
        </references>
      </pivotArea>
    </format>
    <format dxfId="1733">
      <pivotArea dataOnly="0" labelOnly="1" outline="0" fieldPosition="0">
        <references count="2">
          <reference field="1" count="1" selected="0">
            <x v="27"/>
          </reference>
          <reference field="3" count="1">
            <x v="8"/>
          </reference>
        </references>
      </pivotArea>
    </format>
    <format dxfId="1732">
      <pivotArea dataOnly="0" labelOnly="1" outline="0" fieldPosition="0">
        <references count="2">
          <reference field="1" count="1" selected="0">
            <x v="28"/>
          </reference>
          <reference field="3" count="3">
            <x v="0"/>
            <x v="7"/>
            <x v="11"/>
          </reference>
        </references>
      </pivotArea>
    </format>
    <format dxfId="1731">
      <pivotArea dataOnly="0" labelOnly="1" outline="0" fieldPosition="0">
        <references count="2">
          <reference field="1" count="1" selected="0">
            <x v="29"/>
          </reference>
          <reference field="3" count="2">
            <x v="10"/>
            <x v="18"/>
          </reference>
        </references>
      </pivotArea>
    </format>
    <format dxfId="1730">
      <pivotArea dataOnly="0" labelOnly="1" outline="0" fieldPosition="0">
        <references count="2">
          <reference field="1" count="1" selected="0">
            <x v="30"/>
          </reference>
          <reference field="3" count="2">
            <x v="8"/>
            <x v="22"/>
          </reference>
        </references>
      </pivotArea>
    </format>
    <format dxfId="1729">
      <pivotArea dataOnly="0" labelOnly="1" outline="0" fieldPosition="0">
        <references count="2">
          <reference field="1" count="1" selected="0">
            <x v="31"/>
          </reference>
          <reference field="3" count="1">
            <x v="8"/>
          </reference>
        </references>
      </pivotArea>
    </format>
    <format dxfId="1728">
      <pivotArea dataOnly="0" labelOnly="1" outline="0" fieldPosition="0">
        <references count="2">
          <reference field="1" count="1" selected="0">
            <x v="32"/>
          </reference>
          <reference field="3" count="1">
            <x v="23"/>
          </reference>
        </references>
      </pivotArea>
    </format>
    <format dxfId="1727">
      <pivotArea dataOnly="0" labelOnly="1" outline="0" fieldPosition="0">
        <references count="2">
          <reference field="1" count="1" selected="0">
            <x v="33"/>
          </reference>
          <reference field="3" count="1">
            <x v="8"/>
          </reference>
        </references>
      </pivotArea>
    </format>
    <format dxfId="1726">
      <pivotArea dataOnly="0" labelOnly="1" outline="0" fieldPosition="0">
        <references count="2">
          <reference field="1" count="1" selected="0">
            <x v="35"/>
          </reference>
          <reference field="3" count="1">
            <x v="15"/>
          </reference>
        </references>
      </pivotArea>
    </format>
    <format dxfId="1725">
      <pivotArea dataOnly="0" labelOnly="1" outline="0" fieldPosition="0">
        <references count="2">
          <reference field="1" count="1" selected="0">
            <x v="36"/>
          </reference>
          <reference field="3" count="3">
            <x v="8"/>
            <x v="15"/>
            <x v="16"/>
          </reference>
        </references>
      </pivotArea>
    </format>
    <format dxfId="1724">
      <pivotArea dataOnly="0" labelOnly="1" outline="0" fieldPosition="0">
        <references count="2">
          <reference field="1" count="1" selected="0">
            <x v="37"/>
          </reference>
          <reference field="3" count="1">
            <x v="2"/>
          </reference>
        </references>
      </pivotArea>
    </format>
    <format dxfId="1723">
      <pivotArea dataOnly="0" labelOnly="1" outline="0" fieldPosition="0">
        <references count="2">
          <reference field="1" count="1" selected="0">
            <x v="38"/>
          </reference>
          <reference field="3" count="2">
            <x v="8"/>
            <x v="22"/>
          </reference>
        </references>
      </pivotArea>
    </format>
    <format dxfId="1722">
      <pivotArea dataOnly="0" labelOnly="1" outline="0" fieldPosition="0">
        <references count="2">
          <reference field="1" count="1" selected="0">
            <x v="39"/>
          </reference>
          <reference field="3" count="1">
            <x v="7"/>
          </reference>
        </references>
      </pivotArea>
    </format>
    <format dxfId="1721">
      <pivotArea dataOnly="0" labelOnly="1" outline="0" fieldPosition="0">
        <references count="2">
          <reference field="1" count="1" selected="0">
            <x v="41"/>
          </reference>
          <reference field="3" count="1">
            <x v="0"/>
          </reference>
        </references>
      </pivotArea>
    </format>
    <format dxfId="1720">
      <pivotArea dataOnly="0" labelOnly="1" outline="0" fieldPosition="0">
        <references count="2">
          <reference field="1" count="1" selected="0">
            <x v="43"/>
          </reference>
          <reference field="3" count="1">
            <x v="5"/>
          </reference>
        </references>
      </pivotArea>
    </format>
    <format dxfId="1719">
      <pivotArea dataOnly="0" labelOnly="1" outline="0" fieldPosition="0">
        <references count="2">
          <reference field="1" count="1" selected="0">
            <x v="44"/>
          </reference>
          <reference field="3" count="1">
            <x v="7"/>
          </reference>
        </references>
      </pivotArea>
    </format>
    <format dxfId="1718">
      <pivotArea dataOnly="0" labelOnly="1" outline="0" fieldPosition="0">
        <references count="2">
          <reference field="1" count="1" selected="0">
            <x v="49"/>
          </reference>
          <reference field="3" count="1">
            <x v="4"/>
          </reference>
        </references>
      </pivotArea>
    </format>
    <format dxfId="1717">
      <pivotArea dataOnly="0" labelOnly="1" outline="0" fieldPosition="0">
        <references count="2">
          <reference field="1" count="1" selected="0">
            <x v="50"/>
          </reference>
          <reference field="3" count="1">
            <x v="14"/>
          </reference>
        </references>
      </pivotArea>
    </format>
    <format dxfId="1716">
      <pivotArea dataOnly="0" labelOnly="1" outline="0" fieldPosition="0">
        <references count="2">
          <reference field="1" count="1" selected="0">
            <x v="51"/>
          </reference>
          <reference field="3" count="1">
            <x v="7"/>
          </reference>
        </references>
      </pivotArea>
    </format>
    <format dxfId="1715">
      <pivotArea dataOnly="0" labelOnly="1" outline="0" fieldPosition="0">
        <references count="2">
          <reference field="1" count="1" selected="0">
            <x v="52"/>
          </reference>
          <reference field="3" count="1">
            <x v="14"/>
          </reference>
        </references>
      </pivotArea>
    </format>
    <format dxfId="1714">
      <pivotArea field="2" type="button" dataOnly="0" labelOnly="1" outline="0" axis="axisRow" fieldPosition="2"/>
    </format>
    <format dxfId="1713">
      <pivotArea dataOnly="0" labelOnly="1" outline="0" fieldPosition="0">
        <references count="3">
          <reference field="1" count="1" selected="0">
            <x v="0"/>
          </reference>
          <reference field="2" count="3">
            <x v="5"/>
            <x v="6"/>
            <x v="10"/>
          </reference>
          <reference field="3" count="1" selected="0">
            <x v="0"/>
          </reference>
        </references>
      </pivotArea>
    </format>
    <format dxfId="1712">
      <pivotArea dataOnly="0" labelOnly="1" outline="0" fieldPosition="0">
        <references count="3">
          <reference field="1" count="1" selected="0">
            <x v="0"/>
          </reference>
          <reference field="2" count="2">
            <x v="6"/>
            <x v="10"/>
          </reference>
          <reference field="3" count="1" selected="0">
            <x v="7"/>
          </reference>
        </references>
      </pivotArea>
    </format>
    <format dxfId="1711">
      <pivotArea dataOnly="0" labelOnly="1" outline="0" fieldPosition="0">
        <references count="3">
          <reference field="1" count="1" selected="0">
            <x v="0"/>
          </reference>
          <reference field="2" count="1">
            <x v="6"/>
          </reference>
          <reference field="3" count="1" selected="0">
            <x v="12"/>
          </reference>
        </references>
      </pivotArea>
    </format>
    <format dxfId="1710">
      <pivotArea dataOnly="0" labelOnly="1" outline="0" fieldPosition="0">
        <references count="3">
          <reference field="1" count="1" selected="0">
            <x v="0"/>
          </reference>
          <reference field="2" count="1">
            <x v="10"/>
          </reference>
          <reference field="3" count="1" selected="0">
            <x v="14"/>
          </reference>
        </references>
      </pivotArea>
    </format>
    <format dxfId="1709">
      <pivotArea dataOnly="0" labelOnly="1" outline="0" fieldPosition="0">
        <references count="3">
          <reference field="1" count="1" selected="0">
            <x v="1"/>
          </reference>
          <reference field="2" count="1">
            <x v="3"/>
          </reference>
          <reference field="3" count="1" selected="0">
            <x v="0"/>
          </reference>
        </references>
      </pivotArea>
    </format>
    <format dxfId="1708">
      <pivotArea dataOnly="0" labelOnly="1" outline="0" fieldPosition="0">
        <references count="3">
          <reference field="1" count="1" selected="0">
            <x v="5"/>
          </reference>
          <reference field="2" count="1">
            <x v="8"/>
          </reference>
          <reference field="3" count="1" selected="0">
            <x v="5"/>
          </reference>
        </references>
      </pivotArea>
    </format>
    <format dxfId="1707">
      <pivotArea dataOnly="0" labelOnly="1" outline="0" fieldPosition="0">
        <references count="3">
          <reference field="1" count="1" selected="0">
            <x v="6"/>
          </reference>
          <reference field="2" count="1">
            <x v="5"/>
          </reference>
          <reference field="3" count="1" selected="0">
            <x v="7"/>
          </reference>
        </references>
      </pivotArea>
    </format>
    <format dxfId="1706">
      <pivotArea dataOnly="0" labelOnly="1" outline="0" fieldPosition="0">
        <references count="3">
          <reference field="1" count="1" selected="0">
            <x v="7"/>
          </reference>
          <reference field="2" count="2">
            <x v="4"/>
            <x v="5"/>
          </reference>
          <reference field="3" count="1" selected="0">
            <x v="0"/>
          </reference>
        </references>
      </pivotArea>
    </format>
    <format dxfId="1705">
      <pivotArea dataOnly="0" labelOnly="1" outline="0" fieldPosition="0">
        <references count="3">
          <reference field="1" count="1" selected="0">
            <x v="7"/>
          </reference>
          <reference field="2" count="2">
            <x v="4"/>
            <x v="5"/>
          </reference>
          <reference field="3" count="1" selected="0">
            <x v="7"/>
          </reference>
        </references>
      </pivotArea>
    </format>
    <format dxfId="1704">
      <pivotArea dataOnly="0" labelOnly="1" outline="0" fieldPosition="0">
        <references count="3">
          <reference field="1" count="1" selected="0">
            <x v="7"/>
          </reference>
          <reference field="2" count="2">
            <x v="4"/>
            <x v="5"/>
          </reference>
          <reference field="3" count="1" selected="0">
            <x v="14"/>
          </reference>
        </references>
      </pivotArea>
    </format>
    <format dxfId="1703">
      <pivotArea dataOnly="0" labelOnly="1" outline="0" fieldPosition="0">
        <references count="3">
          <reference field="1" count="1" selected="0">
            <x v="7"/>
          </reference>
          <reference field="2" count="1">
            <x v="4"/>
          </reference>
          <reference field="3" count="1" selected="0">
            <x v="17"/>
          </reference>
        </references>
      </pivotArea>
    </format>
    <format dxfId="1702">
      <pivotArea dataOnly="0" labelOnly="1" outline="0" fieldPosition="0">
        <references count="3">
          <reference field="1" count="1" selected="0">
            <x v="8"/>
          </reference>
          <reference field="2" count="1">
            <x v="3"/>
          </reference>
          <reference field="3" count="1" selected="0">
            <x v="7"/>
          </reference>
        </references>
      </pivotArea>
    </format>
    <format dxfId="1701">
      <pivotArea dataOnly="0" labelOnly="1" outline="0" fieldPosition="0">
        <references count="3">
          <reference field="1" count="1" selected="0">
            <x v="9"/>
          </reference>
          <reference field="2" count="2">
            <x v="5"/>
            <x v="6"/>
          </reference>
          <reference field="3" count="1" selected="0">
            <x v="7"/>
          </reference>
        </references>
      </pivotArea>
    </format>
    <format dxfId="1700">
      <pivotArea dataOnly="0" labelOnly="1" outline="0" fieldPosition="0">
        <references count="3">
          <reference field="1" count="1" selected="0">
            <x v="10"/>
          </reference>
          <reference field="2" count="1">
            <x v="10"/>
          </reference>
          <reference field="3" count="1" selected="0">
            <x v="4"/>
          </reference>
        </references>
      </pivotArea>
    </format>
    <format dxfId="1699">
      <pivotArea dataOnly="0" labelOnly="1" outline="0" fieldPosition="0">
        <references count="3">
          <reference field="1" count="1" selected="0">
            <x v="12"/>
          </reference>
          <reference field="2" count="1">
            <x v="5"/>
          </reference>
          <reference field="3" count="1" selected="0">
            <x v="0"/>
          </reference>
        </references>
      </pivotArea>
    </format>
    <format dxfId="1698">
      <pivotArea dataOnly="0" labelOnly="1" outline="0" fieldPosition="0">
        <references count="3">
          <reference field="1" count="1" selected="0">
            <x v="12"/>
          </reference>
          <reference field="2" count="1">
            <x v="6"/>
          </reference>
          <reference field="3" count="1" selected="0">
            <x v="7"/>
          </reference>
        </references>
      </pivotArea>
    </format>
    <format dxfId="1697">
      <pivotArea dataOnly="0" labelOnly="1" outline="0" fieldPosition="0">
        <references count="3">
          <reference field="1" count="1" selected="0">
            <x v="12"/>
          </reference>
          <reference field="2" count="1">
            <x v="5"/>
          </reference>
          <reference field="3" count="1" selected="0">
            <x v="14"/>
          </reference>
        </references>
      </pivotArea>
    </format>
    <format dxfId="1696">
      <pivotArea dataOnly="0" labelOnly="1" outline="0" fieldPosition="0">
        <references count="3">
          <reference field="1" count="1" selected="0">
            <x v="13"/>
          </reference>
          <reference field="2" count="1">
            <x v="10"/>
          </reference>
          <reference field="3" count="1" selected="0">
            <x v="4"/>
          </reference>
        </references>
      </pivotArea>
    </format>
    <format dxfId="1695">
      <pivotArea dataOnly="0" labelOnly="1" outline="0" fieldPosition="0">
        <references count="3">
          <reference field="1" count="1" selected="0">
            <x v="15"/>
          </reference>
          <reference field="2" count="1">
            <x v="5"/>
          </reference>
          <reference field="3" count="1" selected="0">
            <x v="5"/>
          </reference>
        </references>
      </pivotArea>
    </format>
    <format dxfId="1694">
      <pivotArea dataOnly="0" labelOnly="1" outline="0" fieldPosition="0">
        <references count="3">
          <reference field="1" count="1" selected="0">
            <x v="17"/>
          </reference>
          <reference field="2" count="1">
            <x v="4"/>
          </reference>
          <reference field="3" count="1" selected="0">
            <x v="0"/>
          </reference>
        </references>
      </pivotArea>
    </format>
    <format dxfId="1693">
      <pivotArea dataOnly="0" labelOnly="1" outline="0" fieldPosition="0">
        <references count="3">
          <reference field="1" count="1" selected="0">
            <x v="17"/>
          </reference>
          <reference field="2" count="1">
            <x v="5"/>
          </reference>
          <reference field="3" count="1" selected="0">
            <x v="7"/>
          </reference>
        </references>
      </pivotArea>
    </format>
    <format dxfId="1692">
      <pivotArea dataOnly="0" labelOnly="1" outline="0" fieldPosition="0">
        <references count="3">
          <reference field="1" count="1" selected="0">
            <x v="18"/>
          </reference>
          <reference field="2" count="2">
            <x v="3"/>
            <x v="6"/>
          </reference>
          <reference field="3" count="1" selected="0">
            <x v="7"/>
          </reference>
        </references>
      </pivotArea>
    </format>
    <format dxfId="1691">
      <pivotArea dataOnly="0" labelOnly="1" outline="0" fieldPosition="0">
        <references count="3">
          <reference field="1" count="1" selected="0">
            <x v="19"/>
          </reference>
          <reference field="2" count="2">
            <x v="3"/>
            <x v="10"/>
          </reference>
          <reference field="3" count="1" selected="0">
            <x v="1"/>
          </reference>
        </references>
      </pivotArea>
    </format>
    <format dxfId="1690">
      <pivotArea dataOnly="0" labelOnly="1" outline="0" fieldPosition="0">
        <references count="3">
          <reference field="1" count="1" selected="0">
            <x v="19"/>
          </reference>
          <reference field="2" count="1">
            <x v="6"/>
          </reference>
          <reference field="3" count="1" selected="0">
            <x v="2"/>
          </reference>
        </references>
      </pivotArea>
    </format>
    <format dxfId="1689">
      <pivotArea dataOnly="0" labelOnly="1" outline="0" fieldPosition="0">
        <references count="3">
          <reference field="1" count="1" selected="0">
            <x v="20"/>
          </reference>
          <reference field="2" count="1">
            <x v="10"/>
          </reference>
          <reference field="3" count="1" selected="0">
            <x v="1"/>
          </reference>
        </references>
      </pivotArea>
    </format>
    <format dxfId="1688">
      <pivotArea dataOnly="0" labelOnly="1" outline="0" fieldPosition="0">
        <references count="3">
          <reference field="1" count="1" selected="0">
            <x v="21"/>
          </reference>
          <reference field="2" count="2">
            <x v="5"/>
            <x v="6"/>
          </reference>
          <reference field="3" count="1" selected="0">
            <x v="0"/>
          </reference>
        </references>
      </pivotArea>
    </format>
    <format dxfId="1687">
      <pivotArea dataOnly="0" labelOnly="1" outline="0" fieldPosition="0">
        <references count="3">
          <reference field="1" count="1" selected="0">
            <x v="21"/>
          </reference>
          <reference field="2" count="2">
            <x v="5"/>
            <x v="6"/>
          </reference>
          <reference field="3" count="1" selected="0">
            <x v="7"/>
          </reference>
        </references>
      </pivotArea>
    </format>
    <format dxfId="1686">
      <pivotArea dataOnly="0" labelOnly="1" outline="0" fieldPosition="0">
        <references count="3">
          <reference field="1" count="1" selected="0">
            <x v="21"/>
          </reference>
          <reference field="2" count="2">
            <x v="5"/>
            <x v="6"/>
          </reference>
          <reference field="3" count="1" selected="0">
            <x v="12"/>
          </reference>
        </references>
      </pivotArea>
    </format>
    <format dxfId="1685">
      <pivotArea dataOnly="0" labelOnly="1" outline="0" fieldPosition="0">
        <references count="3">
          <reference field="1" count="1" selected="0">
            <x v="21"/>
          </reference>
          <reference field="2" count="1">
            <x v="5"/>
          </reference>
          <reference field="3" count="1" selected="0">
            <x v="19"/>
          </reference>
        </references>
      </pivotArea>
    </format>
    <format dxfId="1684">
      <pivotArea dataOnly="0" labelOnly="1" outline="0" fieldPosition="0">
        <references count="3">
          <reference field="1" count="1" selected="0">
            <x v="22"/>
          </reference>
          <reference field="2" count="1">
            <x v="8"/>
          </reference>
          <reference field="3" count="1" selected="0">
            <x v="7"/>
          </reference>
        </references>
      </pivotArea>
    </format>
    <format dxfId="1683">
      <pivotArea dataOnly="0" labelOnly="1" outline="0" fieldPosition="0">
        <references count="3">
          <reference field="1" count="1" selected="0">
            <x v="23"/>
          </reference>
          <reference field="2" count="1">
            <x v="6"/>
          </reference>
          <reference field="3" count="1" selected="0">
            <x v="7"/>
          </reference>
        </references>
      </pivotArea>
    </format>
    <format dxfId="1682">
      <pivotArea dataOnly="0" labelOnly="1" outline="0" fieldPosition="0">
        <references count="3">
          <reference field="1" count="1" selected="0">
            <x v="24"/>
          </reference>
          <reference field="2" count="1">
            <x v="12"/>
          </reference>
          <reference field="3" count="1" selected="0">
            <x v="15"/>
          </reference>
        </references>
      </pivotArea>
    </format>
    <format dxfId="1681">
      <pivotArea dataOnly="0" labelOnly="1" outline="0" fieldPosition="0">
        <references count="3">
          <reference field="1" count="1" selected="0">
            <x v="25"/>
          </reference>
          <reference field="2" count="1">
            <x v="10"/>
          </reference>
          <reference field="3" count="1" selected="0">
            <x v="4"/>
          </reference>
        </references>
      </pivotArea>
    </format>
    <format dxfId="1680">
      <pivotArea dataOnly="0" labelOnly="1" outline="0" fieldPosition="0">
        <references count="3">
          <reference field="1" count="1" selected="0">
            <x v="28"/>
          </reference>
          <reference field="2" count="1">
            <x v="5"/>
          </reference>
          <reference field="3" count="1" selected="0">
            <x v="0"/>
          </reference>
        </references>
      </pivotArea>
    </format>
    <format dxfId="1679">
      <pivotArea dataOnly="0" labelOnly="1" outline="0" fieldPosition="0">
        <references count="3">
          <reference field="1" count="1" selected="0">
            <x v="28"/>
          </reference>
          <reference field="2" count="1">
            <x v="7"/>
          </reference>
          <reference field="3" count="1" selected="0">
            <x v="7"/>
          </reference>
        </references>
      </pivotArea>
    </format>
    <format dxfId="1678">
      <pivotArea dataOnly="0" labelOnly="1" outline="0" fieldPosition="0">
        <references count="3">
          <reference field="1" count="1" selected="0">
            <x v="29"/>
          </reference>
          <reference field="2" count="1">
            <x v="2"/>
          </reference>
          <reference field="3" count="1" selected="0">
            <x v="10"/>
          </reference>
        </references>
      </pivotArea>
    </format>
    <format dxfId="1677">
      <pivotArea dataOnly="0" labelOnly="1" outline="0" fieldPosition="0">
        <references count="3">
          <reference field="1" count="1" selected="0">
            <x v="29"/>
          </reference>
          <reference field="2" count="1">
            <x v="16"/>
          </reference>
          <reference field="3" count="1" selected="0">
            <x v="18"/>
          </reference>
        </references>
      </pivotArea>
    </format>
    <format dxfId="1676">
      <pivotArea dataOnly="0" labelOnly="1" outline="0" fieldPosition="0">
        <references count="3">
          <reference field="1" count="1" selected="0">
            <x v="30"/>
          </reference>
          <reference field="2" count="2">
            <x v="0"/>
            <x v="14"/>
          </reference>
          <reference field="3" count="1" selected="0">
            <x v="8"/>
          </reference>
        </references>
      </pivotArea>
    </format>
    <format dxfId="1675">
      <pivotArea dataOnly="0" labelOnly="1" outline="0" fieldPosition="0">
        <references count="3">
          <reference field="1" count="1" selected="0">
            <x v="31"/>
          </reference>
          <reference field="2" count="1">
            <x v="0"/>
          </reference>
          <reference field="3" count="1" selected="0">
            <x v="8"/>
          </reference>
        </references>
      </pivotArea>
    </format>
    <format dxfId="1674">
      <pivotArea dataOnly="0" labelOnly="1" outline="0" fieldPosition="0">
        <references count="3">
          <reference field="1" count="1" selected="0">
            <x v="32"/>
          </reference>
          <reference field="2" count="2">
            <x v="1"/>
            <x v="14"/>
          </reference>
          <reference field="3" count="1" selected="0">
            <x v="8"/>
          </reference>
        </references>
      </pivotArea>
    </format>
    <format dxfId="1673">
      <pivotArea dataOnly="0" labelOnly="1" outline="0" fieldPosition="0">
        <references count="3">
          <reference field="1" count="1" selected="0">
            <x v="32"/>
          </reference>
          <reference field="2" count="1">
            <x v="0"/>
          </reference>
          <reference field="3" count="1" selected="0">
            <x v="23"/>
          </reference>
        </references>
      </pivotArea>
    </format>
    <format dxfId="1672">
      <pivotArea dataOnly="0" labelOnly="1" outline="0" fieldPosition="0">
        <references count="3">
          <reference field="1" count="1" selected="0">
            <x v="33"/>
          </reference>
          <reference field="2" count="1">
            <x v="1"/>
          </reference>
          <reference field="3" count="1" selected="0">
            <x v="8"/>
          </reference>
        </references>
      </pivotArea>
    </format>
    <format dxfId="1671">
      <pivotArea dataOnly="0" labelOnly="1" outline="0" fieldPosition="0">
        <references count="3">
          <reference field="1" count="1" selected="0">
            <x v="34"/>
          </reference>
          <reference field="2" count="1">
            <x v="0"/>
          </reference>
          <reference field="3" count="1" selected="0">
            <x v="8"/>
          </reference>
        </references>
      </pivotArea>
    </format>
    <format dxfId="1670">
      <pivotArea dataOnly="0" labelOnly="1" outline="0" fieldPosition="0">
        <references count="3">
          <reference field="1" count="1" selected="0">
            <x v="35"/>
          </reference>
          <reference field="2" count="1">
            <x v="13"/>
          </reference>
          <reference field="3" count="1" selected="0">
            <x v="15"/>
          </reference>
        </references>
      </pivotArea>
    </format>
    <format dxfId="1669">
      <pivotArea dataOnly="0" labelOnly="1" outline="0" fieldPosition="0">
        <references count="3">
          <reference field="1" count="1" selected="0">
            <x v="36"/>
          </reference>
          <reference field="2" count="1">
            <x v="0"/>
          </reference>
          <reference field="3" count="1" selected="0">
            <x v="8"/>
          </reference>
        </references>
      </pivotArea>
    </format>
    <format dxfId="1668">
      <pivotArea dataOnly="0" labelOnly="1" outline="0" fieldPosition="0">
        <references count="3">
          <reference field="1" count="1" selected="0">
            <x v="36"/>
          </reference>
          <reference field="2" count="1">
            <x v="15"/>
          </reference>
          <reference field="3" count="1" selected="0">
            <x v="15"/>
          </reference>
        </references>
      </pivotArea>
    </format>
    <format dxfId="1667">
      <pivotArea dataOnly="0" labelOnly="1" outline="0" fieldPosition="0">
        <references count="3">
          <reference field="1" count="1" selected="0">
            <x v="36"/>
          </reference>
          <reference field="2" count="1">
            <x v="0"/>
          </reference>
          <reference field="3" count="1" selected="0">
            <x v="16"/>
          </reference>
        </references>
      </pivotArea>
    </format>
    <format dxfId="1666">
      <pivotArea dataOnly="0" labelOnly="1" outline="0" fieldPosition="0">
        <references count="3">
          <reference field="1" count="1" selected="0">
            <x v="37"/>
          </reference>
          <reference field="2" count="1">
            <x v="10"/>
          </reference>
          <reference field="3" count="1" selected="0">
            <x v="2"/>
          </reference>
        </references>
      </pivotArea>
    </format>
    <format dxfId="1665">
      <pivotArea dataOnly="0" labelOnly="1" outline="0" fieldPosition="0">
        <references count="3">
          <reference field="1" count="1" selected="0">
            <x v="38"/>
          </reference>
          <reference field="2" count="2">
            <x v="5"/>
            <x v="6"/>
          </reference>
          <reference field="3" count="1" selected="0">
            <x v="8"/>
          </reference>
        </references>
      </pivotArea>
    </format>
    <format dxfId="1664">
      <pivotArea dataOnly="0" labelOnly="1" outline="0" fieldPosition="0">
        <references count="3">
          <reference field="1" count="1" selected="0">
            <x v="38"/>
          </reference>
          <reference field="2" count="3">
            <x v="3"/>
            <x v="5"/>
            <x v="6"/>
          </reference>
          <reference field="3" count="1" selected="0">
            <x v="22"/>
          </reference>
        </references>
      </pivotArea>
    </format>
    <format dxfId="1663">
      <pivotArea dataOnly="0" labelOnly="1" outline="0" fieldPosition="0">
        <references count="3">
          <reference field="1" count="1" selected="0">
            <x v="41"/>
          </reference>
          <reference field="2" count="1">
            <x v="0"/>
          </reference>
          <reference field="3" count="1" selected="0">
            <x v="0"/>
          </reference>
        </references>
      </pivotArea>
    </format>
    <format dxfId="1662">
      <pivotArea dataOnly="0" labelOnly="1" outline="0" fieldPosition="0">
        <references count="3">
          <reference field="1" count="1" selected="0">
            <x v="43"/>
          </reference>
          <reference field="2" count="1">
            <x v="6"/>
          </reference>
          <reference field="3" count="1" selected="0">
            <x v="5"/>
          </reference>
        </references>
      </pivotArea>
    </format>
    <format dxfId="1661">
      <pivotArea dataOnly="0" labelOnly="1" outline="0" fieldPosition="0">
        <references count="3">
          <reference field="1" count="1" selected="0">
            <x v="48"/>
          </reference>
          <reference field="2" count="1">
            <x v="8"/>
          </reference>
          <reference field="3" count="1" selected="0">
            <x v="7"/>
          </reference>
        </references>
      </pivotArea>
    </format>
    <format dxfId="1660">
      <pivotArea dataOnly="0" labelOnly="1" outline="0" fieldPosition="0">
        <references count="3">
          <reference field="1" count="1" selected="0">
            <x v="49"/>
          </reference>
          <reference field="2" count="1">
            <x v="10"/>
          </reference>
          <reference field="3" count="1" selected="0">
            <x v="4"/>
          </reference>
        </references>
      </pivotArea>
    </format>
    <format dxfId="1659">
      <pivotArea dataOnly="0" labelOnly="1" outline="0" fieldPosition="0">
        <references count="3">
          <reference field="1" count="1" selected="0">
            <x v="50"/>
          </reference>
          <reference field="2" count="1">
            <x v="11"/>
          </reference>
          <reference field="3" count="1" selected="0">
            <x v="4"/>
          </reference>
        </references>
      </pivotArea>
    </format>
    <format dxfId="1658">
      <pivotArea dataOnly="0" labelOnly="1" outline="0" fieldPosition="0">
        <references count="3">
          <reference field="1" count="1" selected="0">
            <x v="51"/>
          </reference>
          <reference field="2" count="1">
            <x v="5"/>
          </reference>
          <reference field="3" count="1" selected="0">
            <x v="7"/>
          </reference>
        </references>
      </pivotArea>
    </format>
    <format dxfId="1657">
      <pivotArea dataOnly="0" labelOnly="1" outline="0" fieldPosition="0">
        <references count="3">
          <reference field="1" count="1" selected="0">
            <x v="52"/>
          </reference>
          <reference field="2" count="1">
            <x v="3"/>
          </reference>
          <reference field="3" count="1" selected="0">
            <x v="7"/>
          </reference>
        </references>
      </pivotArea>
    </format>
    <format dxfId="1656">
      <pivotArea field="72" type="button" dataOnly="0" labelOnly="1" outline="0" axis="axisRow" fieldPosition="5"/>
    </format>
    <format dxfId="1655">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1654">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1653">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1652">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1651">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1650">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1649">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1648">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1647">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1646">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1645">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1644">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1643">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1642">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1641">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1640">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1639">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1638">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1637">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1636">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1635">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1634">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1633">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1632">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1631">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1630">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1629">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1628">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1627">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1626">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1625">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1624">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1623">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1622">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1621">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1620">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1619">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1618">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1617">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1616">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1615">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1614">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1613">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612">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1611">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1610">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1609">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1608">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1607">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1606">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605">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1604">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1603">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1602">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1601">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1600">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1599">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1598">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1597">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1596">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1595">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1594">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1593">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592">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1591">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1590">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1589">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1588">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1587">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1586">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1585">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1584">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1583">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1582">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1581">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1580">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1579">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1578">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577">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576">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1575">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1574">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573">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1572">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1571">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1570">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1569">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1568">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1567">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566">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565">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1564">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1563">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562">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1561">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1560">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1559">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1558">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1557">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1556">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1555">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1554">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1553">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1552">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1551">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1550">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1549">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1548">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1547">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1546">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1545">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1544">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1543">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1542">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1541">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1540">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1539">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1538">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1537">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536">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1535">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1534">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1533">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1532">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1531">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1530">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1529">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1528">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1527">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1526">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1525">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1524">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1523">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1522">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1521">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1520">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519">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1518">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1517">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1516">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1515">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1514">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1513">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1512">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1511">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1510">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1509">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1508">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1507">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506">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1505">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1504">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1503">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1502">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1501">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1500">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499">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1498">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1497">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1496">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1495">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1494">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1493">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1492">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1491">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1490">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1489">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1488">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1487">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1486">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1485">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1484">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1483">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1482">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1481">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1480">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1479">
      <pivotArea dataOnly="0" labelOnly="1" outline="0" fieldPosition="0">
        <references count="6">
          <reference field="1" count="1" selected="0">
            <x v="47"/>
          </reference>
          <reference field="2" count="1" selected="0">
            <x v="6"/>
          </reference>
          <reference field="3" count="1" selected="0">
            <x v="7"/>
          </reference>
          <reference field="5" count="1" selected="0">
            <x v="2"/>
          </reference>
          <reference field="23" count="1" selected="0">
            <x v="2"/>
          </reference>
          <reference field="72" count="4">
            <x v="13"/>
            <x v="17"/>
            <x v="168"/>
            <x v="175"/>
          </reference>
        </references>
      </pivotArea>
    </format>
    <format dxfId="1478">
      <pivotArea dataOnly="0" labelOnly="1" outline="0" fieldPosition="0">
        <references count="6">
          <reference field="1" count="1" selected="0">
            <x v="48"/>
          </reference>
          <reference field="2" count="1" selected="0">
            <x v="8"/>
          </reference>
          <reference field="3" count="1" selected="0">
            <x v="7"/>
          </reference>
          <reference field="5" count="1" selected="0">
            <x v="2"/>
          </reference>
          <reference field="23" count="1" selected="0">
            <x v="2"/>
          </reference>
          <reference field="72" count="4">
            <x v="18"/>
            <x v="20"/>
            <x v="23"/>
            <x v="28"/>
          </reference>
        </references>
      </pivotArea>
    </format>
    <format dxfId="1477">
      <pivotArea dataOnly="0" labelOnly="1" outline="0" fieldPosition="0">
        <references count="6">
          <reference field="1" count="1" selected="0">
            <x v="49"/>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1476">
      <pivotArea dataOnly="0" labelOnly="1" outline="0" fieldPosition="0">
        <references count="6">
          <reference field="1" count="1" selected="0">
            <x v="50"/>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1475">
      <pivotArea dataOnly="0" labelOnly="1" outline="0" fieldPosition="0">
        <references count="6">
          <reference field="1" count="1" selected="0">
            <x v="51"/>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1474">
      <pivotArea dataOnly="0" labelOnly="1" outline="0" fieldPosition="0">
        <references count="6">
          <reference field="1" count="1" selected="0">
            <x v="52"/>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473">
      <pivotArea field="81" type="button" dataOnly="0" labelOnly="1" outline="0" axis="axisRow" fieldPosition="8"/>
    </format>
    <format dxfId="1472">
      <pivotArea field="82" type="button" dataOnly="0" labelOnly="1" outline="0" axis="axisRow" fieldPosition="9"/>
    </format>
    <format dxfId="147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400"/>
          </reference>
        </references>
      </pivotArea>
    </format>
    <format dxfId="147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402"/>
          </reference>
        </references>
      </pivotArea>
    </format>
    <format dxfId="146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403"/>
          </reference>
        </references>
      </pivotArea>
    </format>
    <format dxfId="146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399"/>
          </reference>
        </references>
      </pivotArea>
    </format>
    <format dxfId="146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404"/>
          </reference>
        </references>
      </pivotArea>
    </format>
    <format dxfId="146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405"/>
          </reference>
        </references>
      </pivotArea>
    </format>
    <format dxfId="146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406"/>
          </reference>
        </references>
      </pivotArea>
    </format>
    <format dxfId="146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401"/>
          </reference>
        </references>
      </pivotArea>
    </format>
    <format dxfId="1463">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41"/>
          </reference>
        </references>
      </pivotArea>
    </format>
    <format dxfId="146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42"/>
          </reference>
        </references>
      </pivotArea>
    </format>
    <format dxfId="146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43"/>
          </reference>
        </references>
      </pivotArea>
    </format>
    <format dxfId="146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5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82"/>
          </reference>
        </references>
      </pivotArea>
    </format>
    <format dxfId="145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434"/>
          </reference>
        </references>
      </pivotArea>
    </format>
    <format dxfId="145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507"/>
          </reference>
        </references>
      </pivotArea>
    </format>
    <format dxfId="145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56"/>
          </reference>
        </references>
      </pivotArea>
    </format>
    <format dxfId="145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506"/>
          </reference>
        </references>
      </pivotArea>
    </format>
    <format dxfId="145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5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83"/>
          </reference>
        </references>
      </pivotArea>
    </format>
    <format dxfId="1452">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5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41"/>
          </reference>
        </references>
      </pivotArea>
    </format>
    <format dxfId="145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42"/>
          </reference>
        </references>
      </pivotArea>
    </format>
    <format dxfId="144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43"/>
          </reference>
        </references>
      </pivotArea>
    </format>
    <format dxfId="144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40"/>
          </reference>
        </references>
      </pivotArea>
    </format>
    <format dxfId="144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4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83"/>
          </reference>
        </references>
      </pivotArea>
    </format>
    <format dxfId="144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41"/>
          </reference>
        </references>
      </pivotArea>
    </format>
    <format dxfId="144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42"/>
          </reference>
        </references>
      </pivotArea>
    </format>
    <format dxfId="144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43"/>
          </reference>
        </references>
      </pivotArea>
    </format>
    <format dxfId="144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40"/>
          </reference>
        </references>
      </pivotArea>
    </format>
    <format dxfId="1441">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4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3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83"/>
          </reference>
        </references>
      </pivotArea>
    </format>
    <format dxfId="143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389"/>
          </reference>
        </references>
      </pivotArea>
    </format>
    <format dxfId="143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43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436"/>
          </reference>
        </references>
      </pivotArea>
    </format>
    <format dxfId="143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439"/>
          </reference>
        </references>
      </pivotArea>
    </format>
    <format dxfId="143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437"/>
          </reference>
        </references>
      </pivotArea>
    </format>
    <format dxfId="143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438"/>
          </reference>
        </references>
      </pivotArea>
    </format>
    <format dxfId="1432">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3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3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82"/>
          </reference>
        </references>
      </pivotArea>
    </format>
    <format dxfId="142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434"/>
          </reference>
        </references>
      </pivotArea>
    </format>
    <format dxfId="142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507"/>
          </reference>
        </references>
      </pivotArea>
    </format>
    <format dxfId="142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56"/>
          </reference>
        </references>
      </pivotArea>
    </format>
    <format dxfId="142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506"/>
          </reference>
        </references>
      </pivotArea>
    </format>
    <format dxfId="142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383"/>
          </reference>
        </references>
      </pivotArea>
    </format>
    <format dxfId="1424">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389"/>
          </reference>
        </references>
      </pivotArea>
    </format>
    <format dxfId="142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400"/>
          </reference>
        </references>
      </pivotArea>
    </format>
    <format dxfId="142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402"/>
          </reference>
        </references>
      </pivotArea>
    </format>
    <format dxfId="142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403"/>
          </reference>
        </references>
      </pivotArea>
    </format>
    <format dxfId="142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399"/>
          </reference>
        </references>
      </pivotArea>
    </format>
    <format dxfId="141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404"/>
          </reference>
        </references>
      </pivotArea>
    </format>
    <format dxfId="141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405"/>
          </reference>
        </references>
      </pivotArea>
    </format>
    <format dxfId="14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406"/>
          </reference>
        </references>
      </pivotArea>
    </format>
    <format dxfId="14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401"/>
          </reference>
        </references>
      </pivotArea>
    </format>
    <format dxfId="141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41"/>
          </reference>
        </references>
      </pivotArea>
    </format>
    <format dxfId="141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42"/>
          </reference>
        </references>
      </pivotArea>
    </format>
    <format dxfId="141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43"/>
          </reference>
        </references>
      </pivotArea>
    </format>
    <format dxfId="141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40"/>
          </reference>
        </references>
      </pivotArea>
    </format>
    <format dxfId="141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383"/>
          </reference>
        </references>
      </pivotArea>
    </format>
    <format dxfId="1410">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0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0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82"/>
          </reference>
        </references>
      </pivotArea>
    </format>
    <format dxfId="140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439"/>
          </reference>
        </references>
      </pivotArea>
    </format>
    <format dxfId="140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437"/>
          </reference>
        </references>
      </pivotArea>
    </format>
    <format dxfId="140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438"/>
          </reference>
        </references>
      </pivotArea>
    </format>
    <format dxfId="1404">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40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40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82"/>
          </reference>
        </references>
      </pivotArea>
    </format>
    <format dxfId="140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434"/>
          </reference>
        </references>
      </pivotArea>
    </format>
    <format dxfId="140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507"/>
          </reference>
        </references>
      </pivotArea>
    </format>
    <format dxfId="139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56"/>
          </reference>
        </references>
      </pivotArea>
    </format>
    <format dxfId="139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506"/>
          </reference>
        </references>
      </pivotArea>
    </format>
    <format dxfId="139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81"/>
          </reference>
        </references>
      </pivotArea>
    </format>
    <format dxfId="139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83"/>
          </reference>
        </references>
      </pivotArea>
    </format>
    <format dxfId="139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41"/>
          </reference>
        </references>
      </pivotArea>
    </format>
    <format dxfId="139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447"/>
          </reference>
        </references>
      </pivotArea>
    </format>
    <format dxfId="139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448"/>
          </reference>
        </references>
      </pivotArea>
    </format>
    <format dxfId="139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449"/>
          </reference>
        </references>
      </pivotArea>
    </format>
    <format dxfId="139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385"/>
          </reference>
        </references>
      </pivotArea>
    </format>
    <format dxfId="139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386"/>
          </reference>
        </references>
      </pivotArea>
    </format>
    <format dxfId="138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444"/>
          </reference>
        </references>
      </pivotArea>
    </format>
    <format dxfId="138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445"/>
          </reference>
        </references>
      </pivotArea>
    </format>
    <format dxfId="138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446"/>
          </reference>
        </references>
      </pivotArea>
    </format>
    <format dxfId="138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84"/>
          </reference>
        </references>
      </pivotArea>
    </format>
    <format dxfId="138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485"/>
          </reference>
        </references>
      </pivotArea>
    </format>
    <format dxfId="138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395"/>
          </reference>
        </references>
      </pivotArea>
    </format>
    <format dxfId="138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444"/>
          </reference>
        </references>
      </pivotArea>
    </format>
    <format dxfId="138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445"/>
          </reference>
        </references>
      </pivotArea>
    </format>
    <format dxfId="138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446"/>
          </reference>
        </references>
      </pivotArea>
    </format>
    <format dxfId="138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84"/>
          </reference>
        </references>
      </pivotArea>
    </format>
    <format dxfId="137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453"/>
          </reference>
        </references>
      </pivotArea>
    </format>
    <format dxfId="137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454"/>
          </reference>
        </references>
      </pivotArea>
    </format>
    <format dxfId="137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455"/>
          </reference>
        </references>
      </pivotArea>
    </format>
    <format dxfId="137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381"/>
          </reference>
        </references>
      </pivotArea>
    </format>
    <format dxfId="137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37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399"/>
          </reference>
        </references>
      </pivotArea>
    </format>
    <format dxfId="137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405"/>
          </reference>
        </references>
      </pivotArea>
    </format>
    <format dxfId="137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401"/>
          </reference>
        </references>
      </pivotArea>
    </format>
    <format dxfId="137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423"/>
          </reference>
        </references>
      </pivotArea>
    </format>
    <format dxfId="137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450"/>
          </reference>
        </references>
      </pivotArea>
    </format>
    <format dxfId="136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451"/>
          </reference>
        </references>
      </pivotArea>
    </format>
    <format dxfId="136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452"/>
          </reference>
        </references>
      </pivotArea>
    </format>
    <format dxfId="136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495"/>
          </reference>
        </references>
      </pivotArea>
    </format>
    <format dxfId="136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388"/>
          </reference>
        </references>
      </pivotArea>
    </format>
    <format dxfId="136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432"/>
          </reference>
        </references>
      </pivotArea>
    </format>
    <format dxfId="136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431"/>
          </reference>
        </references>
      </pivotArea>
    </format>
    <format dxfId="136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433"/>
          </reference>
        </references>
      </pivotArea>
    </format>
    <format dxfId="136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393"/>
          </reference>
        </references>
      </pivotArea>
    </format>
    <format dxfId="136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388"/>
          </reference>
        </references>
      </pivotArea>
    </format>
    <format dxfId="136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426"/>
          </reference>
        </references>
      </pivotArea>
    </format>
    <format dxfId="135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427"/>
          </reference>
        </references>
      </pivotArea>
    </format>
    <format dxfId="135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424"/>
          </reference>
        </references>
      </pivotArea>
    </format>
    <format dxfId="135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425"/>
          </reference>
        </references>
      </pivotArea>
    </format>
    <format dxfId="135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429"/>
          </reference>
        </references>
      </pivotArea>
    </format>
    <format dxfId="135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430"/>
          </reference>
        </references>
      </pivotArea>
    </format>
    <format dxfId="135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369"/>
          </reference>
        </references>
      </pivotArea>
    </format>
    <format dxfId="135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35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429"/>
          </reference>
        </references>
      </pivotArea>
    </format>
    <format dxfId="135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430"/>
          </reference>
        </references>
      </pivotArea>
    </format>
    <format dxfId="135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369"/>
          </reference>
        </references>
      </pivotArea>
    </format>
    <format dxfId="134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387"/>
          </reference>
        </references>
      </pivotArea>
    </format>
    <format dxfId="134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34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434"/>
          </reference>
        </references>
      </pivotArea>
    </format>
    <format dxfId="134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435"/>
          </reference>
        </references>
      </pivotArea>
    </format>
    <format dxfId="134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379"/>
          </reference>
        </references>
      </pivotArea>
    </format>
    <format dxfId="134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460"/>
          </reference>
        </references>
      </pivotArea>
    </format>
    <format dxfId="134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465"/>
          </reference>
        </references>
      </pivotArea>
    </format>
    <format dxfId="134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469"/>
          </reference>
        </references>
      </pivotArea>
    </format>
    <format dxfId="134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434"/>
          </reference>
        </references>
      </pivotArea>
    </format>
    <format dxfId="134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435"/>
          </reference>
        </references>
      </pivotArea>
    </format>
    <format dxfId="133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379"/>
          </reference>
        </references>
      </pivotArea>
    </format>
    <format dxfId="133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386"/>
          </reference>
        </references>
      </pivotArea>
    </format>
    <format dxfId="133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504"/>
          </reference>
        </references>
      </pivotArea>
    </format>
    <format dxfId="133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366"/>
          </reference>
        </references>
      </pivotArea>
    </format>
    <format dxfId="133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365"/>
          </reference>
        </references>
      </pivotArea>
    </format>
    <format dxfId="133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503"/>
          </reference>
        </references>
      </pivotArea>
    </format>
    <format dxfId="1333">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3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96"/>
          </reference>
        </references>
      </pivotArea>
    </format>
    <format dxfId="133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97"/>
          </reference>
        </references>
      </pivotArea>
    </format>
    <format dxfId="133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98"/>
          </reference>
        </references>
      </pivotArea>
    </format>
    <format dxfId="132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99"/>
          </reference>
        </references>
      </pivotArea>
    </format>
    <format dxfId="1328">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2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366"/>
          </reference>
        </references>
      </pivotArea>
    </format>
    <format dxfId="132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365"/>
          </reference>
        </references>
      </pivotArea>
    </format>
    <format dxfId="132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96"/>
          </reference>
        </references>
      </pivotArea>
    </format>
    <format dxfId="132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97"/>
          </reference>
        </references>
      </pivotArea>
    </format>
    <format dxfId="132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98"/>
          </reference>
        </references>
      </pivotArea>
    </format>
    <format dxfId="132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99"/>
          </reference>
        </references>
      </pivotArea>
    </format>
    <format dxfId="1321">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2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96"/>
          </reference>
        </references>
      </pivotArea>
    </format>
    <format dxfId="131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97"/>
          </reference>
        </references>
      </pivotArea>
    </format>
    <format dxfId="131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98"/>
          </reference>
        </references>
      </pivotArea>
    </format>
    <format dxfId="131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99"/>
          </reference>
        </references>
      </pivotArea>
    </format>
    <format dxfId="1316">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1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379"/>
          </reference>
        </references>
      </pivotArea>
    </format>
    <format dxfId="131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457"/>
          </reference>
        </references>
      </pivotArea>
    </format>
    <format dxfId="131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456"/>
          </reference>
        </references>
      </pivotArea>
    </format>
    <format dxfId="131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83"/>
          </reference>
        </references>
      </pivotArea>
    </format>
    <format dxfId="131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384"/>
          </reference>
        </references>
      </pivotArea>
    </format>
    <format dxfId="131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30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420"/>
          </reference>
        </references>
      </pivotArea>
    </format>
    <format dxfId="130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410"/>
          </reference>
        </references>
      </pivotArea>
    </format>
    <format dxfId="130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421"/>
          </reference>
        </references>
      </pivotArea>
    </format>
    <format dxfId="130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422"/>
          </reference>
        </references>
      </pivotArea>
    </format>
    <format dxfId="130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445"/>
          </reference>
        </references>
      </pivotArea>
    </format>
    <format dxfId="130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464"/>
          </reference>
        </references>
      </pivotArea>
    </format>
    <format dxfId="130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465"/>
          </reference>
        </references>
      </pivotArea>
    </format>
    <format dxfId="130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494"/>
          </reference>
        </references>
      </pivotArea>
    </format>
    <format dxfId="130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386"/>
          </reference>
        </references>
      </pivotArea>
    </format>
    <format dxfId="130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375"/>
          </reference>
        </references>
      </pivotArea>
    </format>
    <format dxfId="129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377"/>
          </reference>
        </references>
      </pivotArea>
    </format>
    <format dxfId="129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378"/>
          </reference>
        </references>
      </pivotArea>
    </format>
    <format dxfId="129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379"/>
          </reference>
        </references>
      </pivotArea>
    </format>
    <format dxfId="129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376"/>
          </reference>
        </references>
      </pivotArea>
    </format>
    <format dxfId="1295">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294">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29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83"/>
          </reference>
        </references>
      </pivotArea>
    </format>
    <format dxfId="129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384"/>
          </reference>
        </references>
      </pivotArea>
    </format>
    <format dxfId="129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83"/>
          </reference>
        </references>
      </pivotArea>
    </format>
    <format dxfId="129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384"/>
          </reference>
        </references>
      </pivotArea>
    </format>
    <format dxfId="128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82"/>
          </reference>
        </references>
      </pivotArea>
    </format>
    <format dxfId="128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418"/>
          </reference>
        </references>
      </pivotArea>
    </format>
    <format dxfId="12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416"/>
          </reference>
        </references>
      </pivotArea>
    </format>
    <format dxfId="128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419"/>
          </reference>
        </references>
      </pivotArea>
    </format>
    <format dxfId="128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411"/>
          </reference>
        </references>
      </pivotArea>
    </format>
    <format dxfId="12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377"/>
          </reference>
        </references>
      </pivotArea>
    </format>
    <format dxfId="128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443"/>
          </reference>
        </references>
      </pivotArea>
    </format>
    <format dxfId="128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463"/>
          </reference>
        </references>
      </pivotArea>
    </format>
    <format dxfId="128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494"/>
          </reference>
        </references>
      </pivotArea>
    </format>
    <format dxfId="128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380"/>
          </reference>
        </references>
      </pivotArea>
    </format>
    <format dxfId="1279">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379"/>
          </reference>
        </references>
      </pivotArea>
    </format>
    <format dxfId="127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376"/>
          </reference>
        </references>
      </pivotArea>
    </format>
    <format dxfId="127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83"/>
          </reference>
        </references>
      </pivotArea>
    </format>
    <format dxfId="127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384"/>
          </reference>
        </references>
      </pivotArea>
    </format>
    <format dxfId="12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365"/>
          </reference>
        </references>
      </pivotArea>
    </format>
    <format dxfId="12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369"/>
          </reference>
        </references>
      </pivotArea>
    </format>
    <format dxfId="127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367"/>
          </reference>
        </references>
      </pivotArea>
    </format>
    <format dxfId="127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368"/>
          </reference>
        </references>
      </pivotArea>
    </format>
    <format dxfId="1271">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270">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26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428"/>
          </reference>
        </references>
      </pivotArea>
    </format>
    <format dxfId="126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458"/>
          </reference>
        </references>
      </pivotArea>
    </format>
    <format dxfId="126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459"/>
          </reference>
        </references>
      </pivotArea>
    </format>
    <format dxfId="126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460"/>
          </reference>
        </references>
      </pivotArea>
    </format>
    <format dxfId="126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466"/>
          </reference>
        </references>
      </pivotArea>
    </format>
    <format dxfId="126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444"/>
          </reference>
        </references>
      </pivotArea>
    </format>
    <format dxfId="126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376"/>
          </reference>
        </references>
      </pivotArea>
    </format>
    <format dxfId="126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428"/>
          </reference>
        </references>
      </pivotArea>
    </format>
    <format dxfId="126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461"/>
          </reference>
        </references>
      </pivotArea>
    </format>
    <format dxfId="126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462"/>
          </reference>
        </references>
      </pivotArea>
    </format>
    <format dxfId="125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445"/>
          </reference>
        </references>
      </pivotArea>
    </format>
    <format dxfId="12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466"/>
          </reference>
        </references>
      </pivotArea>
    </format>
    <format dxfId="125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444"/>
          </reference>
        </references>
      </pivotArea>
    </format>
    <format dxfId="125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467"/>
          </reference>
        </references>
      </pivotArea>
    </format>
    <format dxfId="125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376"/>
          </reference>
        </references>
      </pivotArea>
    </format>
    <format dxfId="125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468"/>
          </reference>
        </references>
      </pivotArea>
    </format>
    <format dxfId="1253">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25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492"/>
          </reference>
        </references>
      </pivotArea>
    </format>
    <format dxfId="1251">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493"/>
          </reference>
        </references>
      </pivotArea>
    </format>
    <format dxfId="125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507"/>
          </reference>
        </references>
      </pivotArea>
    </format>
    <format dxfId="124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508"/>
          </reference>
        </references>
      </pivotArea>
    </format>
    <format dxfId="124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509"/>
          </reference>
        </references>
      </pivotArea>
    </format>
    <format dxfId="124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498"/>
          </reference>
        </references>
      </pivotArea>
    </format>
    <format dxfId="124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429"/>
          </reference>
        </references>
      </pivotArea>
    </format>
    <format dxfId="124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511"/>
          </reference>
        </references>
      </pivotArea>
    </format>
    <format dxfId="124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512"/>
          </reference>
        </references>
      </pivotArea>
    </format>
    <format dxfId="124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470"/>
          </reference>
        </references>
      </pivotArea>
    </format>
    <format dxfId="124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429"/>
          </reference>
        </references>
      </pivotArea>
    </format>
    <format dxfId="124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511"/>
          </reference>
        </references>
      </pivotArea>
    </format>
    <format dxfId="124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471"/>
          </reference>
        </references>
      </pivotArea>
    </format>
    <format dxfId="123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510"/>
          </reference>
        </references>
      </pivotArea>
    </format>
    <format dxfId="123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383"/>
          </reference>
        </references>
      </pivotArea>
    </format>
    <format dxfId="1237">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390"/>
          </reference>
        </references>
      </pivotArea>
    </format>
    <format dxfId="1236">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480"/>
          </reference>
        </references>
      </pivotArea>
    </format>
    <format dxfId="1235">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450"/>
          </reference>
        </references>
      </pivotArea>
    </format>
    <format dxfId="1234">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448"/>
          </reference>
        </references>
      </pivotArea>
    </format>
    <format dxfId="1233">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1547"/>
          </reference>
        </references>
      </pivotArea>
    </format>
    <format dxfId="1232">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514"/>
          </reference>
        </references>
      </pivotArea>
    </format>
    <format dxfId="123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407"/>
          </reference>
        </references>
      </pivotArea>
    </format>
    <format dxfId="123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402"/>
          </reference>
        </references>
      </pivotArea>
    </format>
    <format dxfId="122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408"/>
          </reference>
        </references>
      </pivotArea>
    </format>
    <format dxfId="122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409"/>
          </reference>
        </references>
      </pivotArea>
    </format>
    <format dxfId="1227">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2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75"/>
          </reference>
        </references>
      </pivotArea>
    </format>
    <format dxfId="122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69"/>
          </reference>
        </references>
      </pivotArea>
    </format>
    <format dxfId="122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434"/>
          </reference>
        </references>
      </pivotArea>
    </format>
    <format dxfId="122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67"/>
          </reference>
        </references>
      </pivotArea>
    </format>
    <format dxfId="122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56"/>
          </reference>
        </references>
      </pivotArea>
    </format>
    <format dxfId="122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407"/>
          </reference>
        </references>
      </pivotArea>
    </format>
    <format dxfId="122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402"/>
          </reference>
        </references>
      </pivotArea>
    </format>
    <format dxfId="121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408"/>
          </reference>
        </references>
      </pivotArea>
    </format>
    <format dxfId="121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409"/>
          </reference>
        </references>
      </pivotArea>
    </format>
    <format dxfId="1217">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1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75"/>
          </reference>
        </references>
      </pivotArea>
    </format>
    <format dxfId="121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69"/>
          </reference>
        </references>
      </pivotArea>
    </format>
    <format dxfId="121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434"/>
          </reference>
        </references>
      </pivotArea>
    </format>
    <format dxfId="121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67"/>
          </reference>
        </references>
      </pivotArea>
    </format>
    <format dxfId="121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56"/>
          </reference>
        </references>
      </pivotArea>
    </format>
    <format dxfId="121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407"/>
          </reference>
        </references>
      </pivotArea>
    </format>
    <format dxfId="121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402"/>
          </reference>
        </references>
      </pivotArea>
    </format>
    <format dxfId="120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408"/>
          </reference>
        </references>
      </pivotArea>
    </format>
    <format dxfId="120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409"/>
          </reference>
        </references>
      </pivotArea>
    </format>
    <format dxfId="1207">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0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75"/>
          </reference>
        </references>
      </pivotArea>
    </format>
    <format dxfId="120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69"/>
          </reference>
        </references>
      </pivotArea>
    </format>
    <format dxfId="120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434"/>
          </reference>
        </references>
      </pivotArea>
    </format>
    <format dxfId="120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67"/>
          </reference>
        </references>
      </pivotArea>
    </format>
    <format dxfId="120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56"/>
          </reference>
        </references>
      </pivotArea>
    </format>
    <format dxfId="1201">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20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513"/>
          </reference>
        </references>
      </pivotArea>
    </format>
    <format dxfId="119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507"/>
          </reference>
        </references>
      </pivotArea>
    </format>
    <format dxfId="119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56"/>
          </reference>
        </references>
      </pivotArea>
    </format>
    <format dxfId="119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506"/>
          </reference>
        </references>
      </pivotArea>
    </format>
    <format dxfId="119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379"/>
          </reference>
        </references>
      </pivotArea>
    </format>
    <format dxfId="119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66"/>
          </reference>
        </references>
      </pivotArea>
    </format>
    <format dxfId="119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505"/>
          </reference>
        </references>
      </pivotArea>
    </format>
    <format dxfId="119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430"/>
          </reference>
        </references>
      </pivotArea>
    </format>
    <format dxfId="119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379"/>
          </reference>
        </references>
      </pivotArea>
    </format>
    <format dxfId="119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66"/>
          </reference>
        </references>
      </pivotArea>
    </format>
    <format dxfId="119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505"/>
          </reference>
        </references>
      </pivotArea>
    </format>
    <format dxfId="118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430"/>
          </reference>
        </references>
      </pivotArea>
    </format>
    <format dxfId="118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374"/>
          </reference>
        </references>
      </pivotArea>
    </format>
    <format dxfId="118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501"/>
          </reference>
        </references>
      </pivotArea>
    </format>
    <format dxfId="118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500"/>
          </reference>
        </references>
      </pivotArea>
    </format>
    <format dxfId="118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502"/>
          </reference>
        </references>
      </pivotArea>
    </format>
    <format dxfId="1184">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183">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18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478"/>
          </reference>
        </references>
      </pivotArea>
    </format>
    <format dxfId="118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479"/>
          </reference>
        </references>
      </pivotArea>
    </format>
    <format dxfId="118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477"/>
          </reference>
        </references>
      </pivotArea>
    </format>
    <format dxfId="117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407"/>
          </reference>
        </references>
      </pivotArea>
    </format>
    <format dxfId="117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402"/>
          </reference>
        </references>
      </pivotArea>
    </format>
    <format dxfId="117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408"/>
          </reference>
        </references>
      </pivotArea>
    </format>
    <format dxfId="117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409"/>
          </reference>
        </references>
      </pivotArea>
    </format>
    <format dxfId="117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453"/>
          </reference>
        </references>
      </pivotArea>
    </format>
    <format dxfId="117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504"/>
          </reference>
        </references>
      </pivotArea>
    </format>
    <format dxfId="117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457"/>
          </reference>
        </references>
      </pivotArea>
    </format>
    <format dxfId="117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503"/>
          </reference>
        </references>
      </pivotArea>
    </format>
    <format dxfId="117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453"/>
          </reference>
        </references>
      </pivotArea>
    </format>
    <format dxfId="117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504"/>
          </reference>
        </references>
      </pivotArea>
    </format>
    <format dxfId="116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457"/>
          </reference>
        </references>
      </pivotArea>
    </format>
    <format dxfId="116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503"/>
          </reference>
        </references>
      </pivotArea>
    </format>
    <format dxfId="1167">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166">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371"/>
          </reference>
        </references>
      </pivotArea>
    </format>
    <format dxfId="1165">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515"/>
          </reference>
        </references>
      </pivotArea>
    </format>
    <format dxfId="1164">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16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398"/>
          </reference>
        </references>
      </pivotArea>
    </format>
    <format dxfId="116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372"/>
          </reference>
        </references>
      </pivotArea>
    </format>
    <format dxfId="1161">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398"/>
          </reference>
        </references>
      </pivotArea>
    </format>
    <format dxfId="1160">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3545"/>
          </reference>
        </references>
      </pivotArea>
    </format>
    <format dxfId="1159">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158">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517"/>
          </reference>
        </references>
      </pivotArea>
    </format>
    <format dxfId="1157">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519"/>
          </reference>
        </references>
      </pivotArea>
    </format>
    <format dxfId="1156">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55">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3548"/>
          </reference>
        </references>
      </pivotArea>
    </format>
    <format dxfId="1154">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546"/>
          </reference>
        </references>
      </pivotArea>
    </format>
    <format dxfId="1153">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518"/>
          </reference>
        </references>
      </pivotArea>
    </format>
    <format dxfId="1152">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394"/>
          </reference>
        </references>
      </pivotArea>
    </format>
    <format dxfId="1151">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4520"/>
          </reference>
        </references>
      </pivotArea>
    </format>
    <format dxfId="115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519"/>
          </reference>
        </references>
      </pivotArea>
    </format>
    <format dxfId="1149">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546"/>
          </reference>
        </references>
      </pivotArea>
    </format>
    <format dxfId="1148">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3549"/>
          </reference>
        </references>
      </pivotArea>
    </format>
    <format dxfId="1147">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3547"/>
          </reference>
        </references>
      </pivotArea>
    </format>
    <format dxfId="1146">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145">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144">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43">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142">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370"/>
          </reference>
        </references>
      </pivotArea>
    </format>
    <format dxfId="1141">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447"/>
          </reference>
        </references>
      </pivotArea>
    </format>
    <format dxfId="114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471"/>
          </reference>
        </references>
      </pivotArea>
    </format>
    <format dxfId="113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472"/>
          </reference>
        </references>
      </pivotArea>
    </format>
    <format dxfId="113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477"/>
          </reference>
        </references>
      </pivotArea>
    </format>
    <format dxfId="113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475"/>
          </reference>
        </references>
      </pivotArea>
    </format>
    <format dxfId="113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474"/>
          </reference>
        </references>
      </pivotArea>
    </format>
    <format dxfId="113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473"/>
          </reference>
        </references>
      </pivotArea>
    </format>
    <format dxfId="113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470"/>
          </reference>
        </references>
      </pivotArea>
    </format>
    <format dxfId="113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476"/>
          </reference>
        </references>
      </pivotArea>
    </format>
    <format dxfId="1132">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516"/>
          </reference>
        </references>
      </pivotArea>
    </format>
    <format dxfId="1131">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397"/>
          </reference>
        </references>
      </pivotArea>
    </format>
    <format dxfId="1130">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396"/>
          </reference>
        </references>
      </pivotArea>
    </format>
    <format dxfId="112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471"/>
          </reference>
        </references>
      </pivotArea>
    </format>
    <format dxfId="112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470"/>
          </reference>
        </references>
      </pivotArea>
    </format>
    <format dxfId="1127">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396"/>
          </reference>
        </references>
      </pivotArea>
    </format>
    <format dxfId="1126">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431"/>
          </reference>
        </references>
      </pivotArea>
    </format>
    <format dxfId="1125">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124">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489"/>
          </reference>
        </references>
      </pivotArea>
    </format>
    <format dxfId="112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491"/>
          </reference>
        </references>
      </pivotArea>
    </format>
    <format dxfId="112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392"/>
          </reference>
        </references>
      </pivotArea>
    </format>
    <format dxfId="112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391"/>
          </reference>
        </references>
      </pivotArea>
    </format>
    <format dxfId="1120">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x v="4416"/>
          </reference>
        </references>
      </pivotArea>
    </format>
    <format dxfId="1119">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x v="4417"/>
          </reference>
        </references>
      </pivotArea>
    </format>
    <format dxfId="1118">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x v="4414"/>
          </reference>
        </references>
      </pivotArea>
    </format>
    <format dxfId="1117">
      <pivotArea dataOnly="0" labelOnly="1" outline="0" fieldPosition="0">
        <references count="9">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x v="4415"/>
          </reference>
        </references>
      </pivotArea>
    </format>
    <format dxfId="1116">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x v="4410"/>
          </reference>
        </references>
      </pivotArea>
    </format>
    <format dxfId="1115">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x v="4411"/>
          </reference>
        </references>
      </pivotArea>
    </format>
    <format dxfId="1114">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x v="4412"/>
          </reference>
        </references>
      </pivotArea>
    </format>
    <format dxfId="1113">
      <pivotArea dataOnly="0" labelOnly="1" outline="0" fieldPosition="0">
        <references count="9">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x v="4413"/>
          </reference>
        </references>
      </pivotArea>
    </format>
    <format dxfId="1112">
      <pivotArea dataOnly="0" labelOnly="1" outline="0" fieldPosition="0">
        <references count="9">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111">
      <pivotArea dataOnly="0" labelOnly="1" outline="0" fieldPosition="0">
        <references count="9">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110">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504"/>
          </reference>
        </references>
      </pivotArea>
    </format>
    <format dxfId="1109">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66"/>
          </reference>
        </references>
      </pivotArea>
    </format>
    <format dxfId="1108">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505"/>
          </reference>
        </references>
      </pivotArea>
    </format>
    <format dxfId="1107">
      <pivotArea dataOnly="0" labelOnly="1" outline="0" fieldPosition="0">
        <references count="9">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430"/>
          </reference>
        </references>
      </pivotArea>
    </format>
    <format dxfId="1106">
      <pivotArea dataOnly="0" labelOnly="1" outline="0" fieldPosition="0">
        <references count="9">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84"/>
          </reference>
        </references>
      </pivotArea>
    </format>
    <format dxfId="110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x v="2963"/>
          </reference>
        </references>
      </pivotArea>
    </format>
    <format dxfId="110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x v="2965"/>
          </reference>
        </references>
      </pivotArea>
    </format>
    <format dxfId="110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x v="2966"/>
          </reference>
        </references>
      </pivotArea>
    </format>
    <format dxfId="110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x v="2962"/>
          </reference>
        </references>
      </pivotArea>
    </format>
    <format dxfId="110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x v="2967"/>
          </reference>
        </references>
      </pivotArea>
    </format>
    <format dxfId="110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x v="2968"/>
          </reference>
        </references>
      </pivotArea>
    </format>
    <format dxfId="109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x v="2969"/>
          </reference>
        </references>
      </pivotArea>
    </format>
    <format dxfId="109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x v="2964"/>
          </reference>
        </references>
      </pivotArea>
    </format>
    <format dxfId="1097">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x v="3023"/>
          </reference>
        </references>
      </pivotArea>
    </format>
    <format dxfId="1096">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x v="3024"/>
          </reference>
        </references>
      </pivotArea>
    </format>
    <format dxfId="1095">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x v="3025"/>
          </reference>
        </references>
      </pivotArea>
    </format>
    <format dxfId="109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1"/>
          </reference>
        </references>
      </pivotArea>
    </format>
    <format dxfId="109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x v="3072"/>
          </reference>
        </references>
      </pivotArea>
    </format>
    <format dxfId="109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x v="3098"/>
          </reference>
        </references>
      </pivotArea>
    </format>
    <format dxfId="109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x v="3109"/>
          </reference>
        </references>
      </pivotArea>
    </format>
    <format dxfId="109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x v="3099"/>
          </reference>
        </references>
      </pivotArea>
    </format>
    <format dxfId="108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x v="3108"/>
          </reference>
        </references>
      </pivotArea>
    </format>
    <format dxfId="1088">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3"/>
          </reference>
        </references>
      </pivotArea>
    </format>
    <format dxfId="108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x v="3074"/>
          </reference>
        </references>
      </pivotArea>
    </format>
    <format dxfId="1086">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08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x v="3020"/>
          </reference>
        </references>
      </pivotArea>
    </format>
    <format dxfId="108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x v="3021"/>
          </reference>
        </references>
      </pivotArea>
    </format>
    <format dxfId="108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x v="3022"/>
          </reference>
        </references>
      </pivotArea>
    </format>
    <format dxfId="108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x v="3019"/>
          </reference>
        </references>
      </pivotArea>
    </format>
    <format dxfId="1081">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3"/>
          </reference>
        </references>
      </pivotArea>
    </format>
    <format dxfId="108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x v="3074"/>
          </reference>
        </references>
      </pivotArea>
    </format>
    <format dxfId="107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x v="3020"/>
          </reference>
        </references>
      </pivotArea>
    </format>
    <format dxfId="107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x v="3021"/>
          </reference>
        </references>
      </pivotArea>
    </format>
    <format dxfId="107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x v="3022"/>
          </reference>
        </references>
      </pivotArea>
    </format>
    <format dxfId="107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x v="3019"/>
          </reference>
        </references>
      </pivotArea>
    </format>
    <format dxfId="1075">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07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3"/>
          </reference>
        </references>
      </pivotArea>
    </format>
    <format dxfId="107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x v="3074"/>
          </reference>
        </references>
      </pivotArea>
    </format>
    <format dxfId="107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x v="2945"/>
          </reference>
        </references>
      </pivotArea>
    </format>
    <format dxfId="107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47"/>
          </reference>
        </references>
      </pivotArea>
    </format>
    <format dxfId="107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436"/>
          </reference>
          <reference field="82" count="1">
            <x v="3015"/>
          </reference>
        </references>
      </pivotArea>
    </format>
    <format dxfId="106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x v="3018"/>
          </reference>
        </references>
      </pivotArea>
    </format>
    <format dxfId="106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x v="3016"/>
          </reference>
        </references>
      </pivotArea>
    </format>
    <format dxfId="106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x v="3017"/>
          </reference>
        </references>
      </pivotArea>
    </format>
    <format dxfId="1066">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6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1"/>
          </reference>
        </references>
      </pivotArea>
    </format>
    <format dxfId="106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x v="3072"/>
          </reference>
        </references>
      </pivotArea>
    </format>
    <format dxfId="106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x v="3098"/>
          </reference>
        </references>
      </pivotArea>
    </format>
    <format dxfId="106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x v="3109"/>
          </reference>
        </references>
      </pivotArea>
    </format>
    <format dxfId="106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x v="3099"/>
          </reference>
        </references>
      </pivotArea>
    </format>
    <format dxfId="106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x v="3108"/>
          </reference>
        </references>
      </pivotArea>
    </format>
    <format dxfId="105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x v="2955"/>
          </reference>
        </references>
      </pivotArea>
    </format>
    <format dxfId="105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x v="2946"/>
          </reference>
        </references>
      </pivotArea>
    </format>
    <format dxfId="105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x v="2999"/>
          </reference>
        </references>
      </pivotArea>
    </format>
    <format dxfId="105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x v="3001"/>
          </reference>
        </references>
      </pivotArea>
    </format>
    <format dxfId="105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x v="3002"/>
          </reference>
        </references>
      </pivotArea>
    </format>
    <format dxfId="105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x v="2998"/>
          </reference>
        </references>
      </pivotArea>
    </format>
    <format dxfId="105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x v="3003"/>
          </reference>
        </references>
      </pivotArea>
    </format>
    <format dxfId="105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x v="3004"/>
          </reference>
        </references>
      </pivotArea>
    </format>
    <format dxfId="105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x v="3005"/>
          </reference>
        </references>
      </pivotArea>
    </format>
    <format dxfId="105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x v="3000"/>
          </reference>
        </references>
      </pivotArea>
    </format>
    <format dxfId="104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x v="3020"/>
          </reference>
        </references>
      </pivotArea>
    </format>
    <format dxfId="104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x v="3021"/>
          </reference>
        </references>
      </pivotArea>
    </format>
    <format dxfId="104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x v="3022"/>
          </reference>
        </references>
      </pivotArea>
    </format>
    <format dxfId="104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x v="3019"/>
          </reference>
        </references>
      </pivotArea>
    </format>
    <format dxfId="1045">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x v="2954"/>
          </reference>
        </references>
      </pivotArea>
    </format>
    <format dxfId="1044">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4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1"/>
          </reference>
        </references>
      </pivotArea>
    </format>
    <format dxfId="104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x v="3072"/>
          </reference>
        </references>
      </pivotArea>
    </format>
    <format dxfId="104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x v="3018"/>
          </reference>
        </references>
      </pivotArea>
    </format>
    <format dxfId="104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x v="3016"/>
          </reference>
        </references>
      </pivotArea>
    </format>
    <format dxfId="103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x v="3017"/>
          </reference>
        </references>
      </pivotArea>
    </format>
    <format dxfId="1038">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3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1"/>
          </reference>
        </references>
      </pivotArea>
    </format>
    <format dxfId="103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x v="3072"/>
          </reference>
        </references>
      </pivotArea>
    </format>
    <format dxfId="103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x v="3098"/>
          </reference>
        </references>
      </pivotArea>
    </format>
    <format dxfId="103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x v="3109"/>
          </reference>
        </references>
      </pivotArea>
    </format>
    <format dxfId="103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x v="3099"/>
          </reference>
        </references>
      </pivotArea>
    </format>
    <format dxfId="103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x v="3108"/>
          </reference>
        </references>
      </pivotArea>
    </format>
    <format dxfId="103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x v="3073"/>
          </reference>
        </references>
      </pivotArea>
    </format>
    <format dxfId="103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x v="3074"/>
          </reference>
        </references>
      </pivotArea>
    </format>
    <format dxfId="1029">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x v="3020"/>
          </reference>
        </references>
      </pivotArea>
    </format>
    <format dxfId="102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447"/>
          </reference>
          <reference field="82" count="1">
            <x v="3029"/>
          </reference>
        </references>
      </pivotArea>
    </format>
    <format dxfId="102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448"/>
          </reference>
          <reference field="82" count="1">
            <x v="3030"/>
          </reference>
        </references>
      </pivotArea>
    </format>
    <format dxfId="102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449"/>
          </reference>
          <reference field="82" count="1">
            <x v="3031"/>
          </reference>
        </references>
      </pivotArea>
    </format>
    <format dxfId="1025">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385"/>
          </reference>
          <reference field="82" count="1">
            <x v="2941"/>
          </reference>
        </references>
      </pivotArea>
    </format>
    <format dxfId="102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x v="2942"/>
          </reference>
        </references>
      </pivotArea>
    </format>
    <format dxfId="102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x v="3026"/>
          </reference>
        </references>
      </pivotArea>
    </format>
    <format dxfId="102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x v="3027"/>
          </reference>
        </references>
      </pivotArea>
    </format>
    <format dxfId="102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x v="3028"/>
          </reference>
        </references>
      </pivotArea>
    </format>
    <format dxfId="102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x v="3075"/>
          </reference>
        </references>
      </pivotArea>
    </format>
    <format dxfId="101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485"/>
          </reference>
          <reference field="82" count="1">
            <x v="3076"/>
          </reference>
        </references>
      </pivotArea>
    </format>
    <format dxfId="101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395"/>
          </reference>
          <reference field="82" count="1">
            <x v="2956"/>
          </reference>
        </references>
      </pivotArea>
    </format>
    <format dxfId="101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x v="3026"/>
          </reference>
        </references>
      </pivotArea>
    </format>
    <format dxfId="101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x v="3027"/>
          </reference>
        </references>
      </pivotArea>
    </format>
    <format dxfId="101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x v="3028"/>
          </reference>
        </references>
      </pivotArea>
    </format>
    <format dxfId="1014">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x v="3075"/>
          </reference>
        </references>
      </pivotArea>
    </format>
    <format dxfId="101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453"/>
          </reference>
          <reference field="82" count="1">
            <x v="3035"/>
          </reference>
        </references>
      </pivotArea>
    </format>
    <format dxfId="101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454"/>
          </reference>
          <reference field="82" count="1">
            <x v="3036"/>
          </reference>
        </references>
      </pivotArea>
    </format>
    <format dxfId="101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455"/>
          </reference>
          <reference field="82" count="1">
            <x v="3037"/>
          </reference>
        </references>
      </pivotArea>
    </format>
    <format dxfId="101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381"/>
          </reference>
          <reference field="82" count="1">
            <x v="2936"/>
          </reference>
        </references>
      </pivotArea>
    </format>
    <format dxfId="100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37"/>
          </reference>
        </references>
      </pivotArea>
    </format>
    <format dxfId="100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399"/>
          </reference>
          <reference field="82" count="1">
            <x v="2991"/>
          </reference>
        </references>
      </pivotArea>
    </format>
    <format dxfId="100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405"/>
          </reference>
          <reference field="82" count="1">
            <x v="2992"/>
          </reference>
        </references>
      </pivotArea>
    </format>
    <format dxfId="100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401"/>
          </reference>
          <reference field="82" count="1">
            <x v="2989"/>
          </reference>
        </references>
      </pivotArea>
    </format>
    <format dxfId="100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423"/>
          </reference>
          <reference field="82" count="1">
            <x v="2990"/>
          </reference>
        </references>
      </pivotArea>
    </format>
    <format dxfId="100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450"/>
          </reference>
          <reference field="82" count="1">
            <x v="3032"/>
          </reference>
        </references>
      </pivotArea>
    </format>
    <format dxfId="100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451"/>
          </reference>
          <reference field="82" count="1">
            <x v="3033"/>
          </reference>
        </references>
      </pivotArea>
    </format>
    <format dxfId="100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452"/>
          </reference>
          <reference field="82" count="1">
            <x v="3034"/>
          </reference>
        </references>
      </pivotArea>
    </format>
    <format dxfId="100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495"/>
          </reference>
          <reference field="82" count="1">
            <x v="3088"/>
          </reference>
        </references>
      </pivotArea>
    </format>
    <format dxfId="100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x v="2944"/>
          </reference>
        </references>
      </pivotArea>
    </format>
    <format dxfId="99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432"/>
          </reference>
          <reference field="82" count="1">
            <x v="3010"/>
          </reference>
        </references>
      </pivotArea>
    </format>
    <format dxfId="99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431"/>
          </reference>
          <reference field="82" count="1">
            <x v="3009"/>
          </reference>
        </references>
      </pivotArea>
    </format>
    <format dxfId="99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433"/>
          </reference>
          <reference field="82" count="1">
            <x v="3011"/>
          </reference>
        </references>
      </pivotArea>
    </format>
    <format dxfId="99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393"/>
          </reference>
          <reference field="82" count="1">
            <x v="2952"/>
          </reference>
        </references>
      </pivotArea>
    </format>
    <format dxfId="99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x v="2944"/>
          </reference>
        </references>
      </pivotArea>
    </format>
    <format dxfId="99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426"/>
          </reference>
          <reference field="82" count="1">
            <x v="2995"/>
          </reference>
        </references>
      </pivotArea>
    </format>
    <format dxfId="99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427"/>
          </reference>
          <reference field="82" count="1">
            <x v="2996"/>
          </reference>
        </references>
      </pivotArea>
    </format>
    <format dxfId="99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424"/>
          </reference>
          <reference field="82" count="1">
            <x v="2993"/>
          </reference>
        </references>
      </pivotArea>
    </format>
    <format dxfId="99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425"/>
          </reference>
          <reference field="82" count="1">
            <x v="2994"/>
          </reference>
        </references>
      </pivotArea>
    </format>
    <format dxfId="99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x v="3006"/>
          </reference>
        </references>
      </pivotArea>
    </format>
    <format dxfId="98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x v="3007"/>
          </reference>
        </references>
      </pivotArea>
    </format>
    <format dxfId="98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x v="3008"/>
          </reference>
        </references>
      </pivotArea>
    </format>
    <format dxfId="98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37"/>
          </reference>
        </references>
      </pivotArea>
    </format>
    <format dxfId="98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x v="3006"/>
          </reference>
        </references>
      </pivotArea>
    </format>
    <format dxfId="98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x v="3007"/>
          </reference>
        </references>
      </pivotArea>
    </format>
    <format dxfId="98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x v="3008"/>
          </reference>
        </references>
      </pivotArea>
    </format>
    <format dxfId="98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387"/>
          </reference>
          <reference field="82" count="1">
            <x v="2943"/>
          </reference>
        </references>
      </pivotArea>
    </format>
    <format dxfId="98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37"/>
          </reference>
        </references>
      </pivotArea>
    </format>
    <format dxfId="98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x v="3012"/>
          </reference>
        </references>
      </pivotArea>
    </format>
    <format dxfId="98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x v="3013"/>
          </reference>
        </references>
      </pivotArea>
    </format>
    <format dxfId="97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x v="3014"/>
          </reference>
        </references>
      </pivotArea>
    </format>
    <format dxfId="97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460"/>
          </reference>
          <reference field="82" count="1">
            <x v="3057"/>
          </reference>
        </references>
      </pivotArea>
    </format>
    <format dxfId="97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465"/>
          </reference>
          <reference field="82" count="1">
            <x v="3056"/>
          </reference>
        </references>
      </pivotArea>
    </format>
    <format dxfId="97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469"/>
          </reference>
          <reference field="82" count="1">
            <x v="3058"/>
          </reference>
        </references>
      </pivotArea>
    </format>
    <format dxfId="97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x v="3012"/>
          </reference>
        </references>
      </pivotArea>
    </format>
    <format dxfId="97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x v="3013"/>
          </reference>
        </references>
      </pivotArea>
    </format>
    <format dxfId="97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x v="3014"/>
          </reference>
        </references>
      </pivotArea>
    </format>
    <format dxfId="97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x v="3079"/>
          </reference>
        </references>
      </pivotArea>
    </format>
    <format dxfId="97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504"/>
          </reference>
          <reference field="82" count="1">
            <x v="3110"/>
          </reference>
        </references>
      </pivotArea>
    </format>
    <format dxfId="97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366"/>
          </reference>
          <reference field="82" count="1">
            <x v="2920"/>
          </reference>
        </references>
      </pivotArea>
    </format>
    <format dxfId="96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365"/>
          </reference>
          <reference field="82" count="1">
            <x v="2919"/>
          </reference>
        </references>
      </pivotArea>
    </format>
    <format dxfId="96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503"/>
          </reference>
          <reference field="82" count="1">
            <x v="3132"/>
          </reference>
        </references>
      </pivotArea>
    </format>
    <format dxfId="967">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6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x v="3089"/>
          </reference>
        </references>
      </pivotArea>
    </format>
    <format dxfId="96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x v="3090"/>
          </reference>
        </references>
      </pivotArea>
    </format>
    <format dxfId="96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x v="3091"/>
          </reference>
        </references>
      </pivotArea>
    </format>
    <format dxfId="96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x v="3092"/>
          </reference>
        </references>
      </pivotArea>
    </format>
    <format dxfId="962">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6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366"/>
          </reference>
          <reference field="82" count="1">
            <x v="2920"/>
          </reference>
        </references>
      </pivotArea>
    </format>
    <format dxfId="96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365"/>
          </reference>
          <reference field="82" count="1">
            <x v="2919"/>
          </reference>
        </references>
      </pivotArea>
    </format>
    <format dxfId="95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x v="3089"/>
          </reference>
        </references>
      </pivotArea>
    </format>
    <format dxfId="95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x v="3090"/>
          </reference>
        </references>
      </pivotArea>
    </format>
    <format dxfId="95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x v="3091"/>
          </reference>
        </references>
      </pivotArea>
    </format>
    <format dxfId="95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x v="3092"/>
          </reference>
        </references>
      </pivotArea>
    </format>
    <format dxfId="955">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5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x v="3089"/>
          </reference>
        </references>
      </pivotArea>
    </format>
    <format dxfId="95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x v="3090"/>
          </reference>
        </references>
      </pivotArea>
    </format>
    <format dxfId="95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x v="3091"/>
          </reference>
        </references>
      </pivotArea>
    </format>
    <format dxfId="95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x v="3092"/>
          </reference>
        </references>
      </pivotArea>
    </format>
    <format dxfId="950">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4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379"/>
          </reference>
          <reference field="82" count="1">
            <x v="3014"/>
          </reference>
        </references>
      </pivotArea>
    </format>
    <format dxfId="94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457"/>
          </reference>
          <reference field="82" count="1">
            <x v="3039"/>
          </reference>
        </references>
      </pivotArea>
    </format>
    <format dxfId="94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456"/>
          </reference>
          <reference field="82" count="1">
            <x v="3038"/>
          </reference>
        </references>
      </pivotArea>
    </format>
    <format dxfId="94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x v="2938"/>
          </reference>
        </references>
      </pivotArea>
    </format>
    <format dxfId="94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x v="2939"/>
          </reference>
        </references>
      </pivotArea>
    </format>
    <format dxfId="94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40"/>
          </reference>
        </references>
      </pivotArea>
    </format>
    <format dxfId="94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420"/>
          </reference>
          <reference field="82" count="1">
            <x v="2985"/>
          </reference>
        </references>
      </pivotArea>
    </format>
    <format dxfId="94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410"/>
          </reference>
          <reference field="82" count="1">
            <x v="2986"/>
          </reference>
        </references>
      </pivotArea>
    </format>
    <format dxfId="94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421"/>
          </reference>
          <reference field="82" count="1">
            <x v="2987"/>
          </reference>
        </references>
      </pivotArea>
    </format>
    <format dxfId="94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422"/>
          </reference>
          <reference field="82" count="1">
            <x v="2988"/>
          </reference>
        </references>
      </pivotArea>
    </format>
    <format dxfId="93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445"/>
          </reference>
          <reference field="82" count="1">
            <x v="3045"/>
          </reference>
        </references>
      </pivotArea>
    </format>
    <format dxfId="93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464"/>
          </reference>
          <reference field="82" count="1">
            <x v="3049"/>
          </reference>
        </references>
      </pivotArea>
    </format>
    <format dxfId="93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465"/>
          </reference>
          <reference field="82" count="1">
            <x v="3050"/>
          </reference>
        </references>
      </pivotArea>
    </format>
    <format dxfId="93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x v="3086"/>
          </reference>
        </references>
      </pivotArea>
    </format>
    <format dxfId="93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x v="3087"/>
          </reference>
        </references>
      </pivotArea>
    </format>
    <format dxfId="93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375"/>
          </reference>
          <reference field="82" count="1">
            <x v="2930"/>
          </reference>
        </references>
      </pivotArea>
    </format>
    <format dxfId="93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377"/>
          </reference>
          <reference field="82" count="1">
            <x v="2932"/>
          </reference>
        </references>
      </pivotArea>
    </format>
    <format dxfId="93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378"/>
          </reference>
          <reference field="82" count="1">
            <x v="2933"/>
          </reference>
        </references>
      </pivotArea>
    </format>
    <format dxfId="93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x v="2934"/>
          </reference>
        </references>
      </pivotArea>
    </format>
    <format dxfId="93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376"/>
          </reference>
          <reference field="82" count="1">
            <x v="2931"/>
          </reference>
        </references>
      </pivotArea>
    </format>
    <format dxfId="929">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928">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92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x v="2938"/>
          </reference>
        </references>
      </pivotArea>
    </format>
    <format dxfId="92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x v="2939"/>
          </reference>
        </references>
      </pivotArea>
    </format>
    <format dxfId="92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x v="2938"/>
          </reference>
        </references>
      </pivotArea>
    </format>
    <format dxfId="92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x v="2939"/>
          </reference>
        </references>
      </pivotArea>
    </format>
    <format dxfId="92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x v="2940"/>
          </reference>
        </references>
      </pivotArea>
    </format>
    <format dxfId="92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418"/>
          </reference>
          <reference field="82" count="1">
            <x v="2981"/>
          </reference>
        </references>
      </pivotArea>
    </format>
    <format dxfId="92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416"/>
          </reference>
          <reference field="82" count="1">
            <x v="2982"/>
          </reference>
        </references>
      </pivotArea>
    </format>
    <format dxfId="92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419"/>
          </reference>
          <reference field="82" count="1">
            <x v="2983"/>
          </reference>
        </references>
      </pivotArea>
    </format>
    <format dxfId="91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411"/>
          </reference>
          <reference field="82" count="1">
            <x v="2984"/>
          </reference>
        </references>
      </pivotArea>
    </format>
    <format dxfId="91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377"/>
          </reference>
          <reference field="82" count="1">
            <x v="3046"/>
          </reference>
        </references>
      </pivotArea>
    </format>
    <format dxfId="91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443"/>
          </reference>
          <reference field="82" count="1">
            <x v="3047"/>
          </reference>
        </references>
      </pivotArea>
    </format>
    <format dxfId="91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463"/>
          </reference>
          <reference field="82" count="1">
            <x v="3048"/>
          </reference>
        </references>
      </pivotArea>
    </format>
    <format dxfId="91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x v="3086"/>
          </reference>
        </references>
      </pivotArea>
    </format>
    <format dxfId="91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380"/>
          </reference>
          <reference field="82" count="1">
            <x v="2935"/>
          </reference>
        </references>
      </pivotArea>
    </format>
    <format dxfId="913">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x v="2934"/>
          </reference>
        </references>
      </pivotArea>
    </format>
    <format dxfId="91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x v="2931"/>
          </reference>
        </references>
      </pivotArea>
    </format>
    <format dxfId="911">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x v="2938"/>
          </reference>
        </references>
      </pivotArea>
    </format>
    <format dxfId="91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x v="2939"/>
          </reference>
        </references>
      </pivotArea>
    </format>
    <format dxfId="90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365"/>
          </reference>
          <reference field="82" count="1">
            <x v="2924"/>
          </reference>
        </references>
      </pivotArea>
    </format>
    <format dxfId="90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369"/>
          </reference>
          <reference field="82" count="1">
            <x v="2923"/>
          </reference>
        </references>
      </pivotArea>
    </format>
    <format dxfId="90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367"/>
          </reference>
          <reference field="82" count="1">
            <x v="2921"/>
          </reference>
        </references>
      </pivotArea>
    </format>
    <format dxfId="90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368"/>
          </reference>
          <reference field="82" count="1">
            <x v="2922"/>
          </reference>
        </references>
      </pivotArea>
    </format>
    <format dxfId="905">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904">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90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x v="2997"/>
          </reference>
        </references>
      </pivotArea>
    </format>
    <format dxfId="90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458"/>
          </reference>
          <reference field="82" count="1">
            <x v="3040"/>
          </reference>
        </references>
      </pivotArea>
    </format>
    <format dxfId="90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459"/>
          </reference>
          <reference field="82" count="1">
            <x v="3041"/>
          </reference>
        </references>
      </pivotArea>
    </format>
    <format dxfId="90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460"/>
          </reference>
          <reference field="82" count="1">
            <x v="3042"/>
          </reference>
        </references>
      </pivotArea>
    </format>
    <format dxfId="89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x v="3052"/>
          </reference>
        </references>
      </pivotArea>
    </format>
    <format dxfId="89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x v="3053"/>
          </reference>
        </references>
      </pivotArea>
    </format>
    <format dxfId="89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x v="3051"/>
          </reference>
        </references>
      </pivotArea>
    </format>
    <format dxfId="89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x v="2997"/>
          </reference>
        </references>
      </pivotArea>
    </format>
    <format dxfId="89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461"/>
          </reference>
          <reference field="82" count="1">
            <x v="3043"/>
          </reference>
        </references>
      </pivotArea>
    </format>
    <format dxfId="89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462"/>
          </reference>
          <reference field="82" count="1">
            <x v="3044"/>
          </reference>
        </references>
      </pivotArea>
    </format>
    <format dxfId="89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445"/>
          </reference>
          <reference field="82" count="1">
            <x v="3045"/>
          </reference>
        </references>
      </pivotArea>
    </format>
    <format dxfId="89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x v="3052"/>
          </reference>
        </references>
      </pivotArea>
    </format>
    <format dxfId="89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x v="3053"/>
          </reference>
        </references>
      </pivotArea>
    </format>
    <format dxfId="89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467"/>
          </reference>
          <reference field="82" count="1">
            <x v="3054"/>
          </reference>
        </references>
      </pivotArea>
    </format>
    <format dxfId="88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x v="3051"/>
          </reference>
        </references>
      </pivotArea>
    </format>
    <format dxfId="88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468"/>
          </reference>
          <reference field="82" count="1">
            <x v="3055"/>
          </reference>
        </references>
      </pivotArea>
    </format>
    <format dxfId="887">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88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492"/>
          </reference>
          <reference field="82" count="1">
            <x v="3084"/>
          </reference>
        </references>
      </pivotArea>
    </format>
    <format dxfId="88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493"/>
          </reference>
          <reference field="82" count="1">
            <x v="3085"/>
          </reference>
        </references>
      </pivotArea>
    </format>
    <format dxfId="88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507"/>
          </reference>
          <reference field="82" count="1">
            <x v="3113"/>
          </reference>
        </references>
      </pivotArea>
    </format>
    <format dxfId="88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508"/>
          </reference>
          <reference field="82" count="1">
            <x v="3114"/>
          </reference>
        </references>
      </pivotArea>
    </format>
    <format dxfId="88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509"/>
          </reference>
          <reference field="82" count="1">
            <x v="3115"/>
          </reference>
        </references>
      </pivotArea>
    </format>
    <format dxfId="88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498"/>
          </reference>
          <reference field="82" count="1">
            <x v="3091"/>
          </reference>
        </references>
      </pivotArea>
    </format>
    <format dxfId="88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429"/>
          </reference>
          <reference field="82" count="1">
            <x v="3006"/>
          </reference>
        </references>
      </pivotArea>
    </format>
    <format dxfId="87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511"/>
          </reference>
          <reference field="82" count="1">
            <x v="3120"/>
          </reference>
        </references>
      </pivotArea>
    </format>
    <format dxfId="87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512"/>
          </reference>
          <reference field="82" count="1">
            <x v="3121"/>
          </reference>
        </references>
      </pivotArea>
    </format>
    <format dxfId="87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470"/>
          </reference>
          <reference field="82" count="1">
            <x v="3122"/>
          </reference>
        </references>
      </pivotArea>
    </format>
    <format dxfId="87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429"/>
          </reference>
          <reference field="82" count="1">
            <x v="3117"/>
          </reference>
        </references>
      </pivotArea>
    </format>
    <format dxfId="87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511"/>
          </reference>
          <reference field="82" count="1">
            <x v="3118"/>
          </reference>
        </references>
      </pivotArea>
    </format>
    <format dxfId="87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471"/>
          </reference>
          <reference field="82" count="1">
            <x v="3119"/>
          </reference>
        </references>
      </pivotArea>
    </format>
    <format dxfId="87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510"/>
          </reference>
          <reference field="82" count="1">
            <x v="3116"/>
          </reference>
        </references>
      </pivotArea>
    </format>
    <format dxfId="87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383"/>
          </reference>
          <reference field="82" count="1">
            <x v="2948"/>
          </reference>
        </references>
      </pivotArea>
    </format>
    <format dxfId="87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390"/>
          </reference>
          <reference field="82" count="1">
            <x v="2949"/>
          </reference>
        </references>
      </pivotArea>
    </format>
    <format dxfId="870">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480"/>
          </reference>
          <reference field="82" count="1">
            <x v="3070"/>
          </reference>
        </references>
      </pivotArea>
    </format>
    <format dxfId="869">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450"/>
          </reference>
          <reference field="82" count="1">
            <x v="3128"/>
          </reference>
        </references>
      </pivotArea>
    </format>
    <format dxfId="868">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448"/>
          </reference>
          <reference field="82" count="1">
            <x v="3129"/>
          </reference>
        </references>
      </pivotArea>
    </format>
    <format dxfId="867">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1547"/>
          </reference>
          <reference field="82" count="1">
            <x v="26"/>
          </reference>
        </references>
      </pivotArea>
    </format>
    <format dxfId="86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514"/>
          </reference>
          <reference field="82" count="1">
            <x v="3131"/>
          </reference>
        </references>
      </pivotArea>
    </format>
    <format dxfId="86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x v="2970"/>
          </reference>
        </references>
      </pivotArea>
    </format>
    <format dxfId="86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x v="2965"/>
          </reference>
        </references>
      </pivotArea>
    </format>
    <format dxfId="86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x v="2971"/>
          </reference>
        </references>
      </pivotArea>
    </format>
    <format dxfId="86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x v="2972"/>
          </reference>
        </references>
      </pivotArea>
    </format>
    <format dxfId="861">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6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x v="2930"/>
          </reference>
        </references>
      </pivotArea>
    </format>
    <format dxfId="85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x v="3097"/>
          </reference>
        </references>
      </pivotArea>
    </format>
    <format dxfId="85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x v="3098"/>
          </reference>
        </references>
      </pivotArea>
    </format>
    <format dxfId="85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x v="3100"/>
          </reference>
        </references>
      </pivotArea>
    </format>
    <format dxfId="85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x v="3099"/>
          </reference>
        </references>
      </pivotArea>
    </format>
    <format dxfId="85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x v="2970"/>
          </reference>
        </references>
      </pivotArea>
    </format>
    <format dxfId="85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x v="2965"/>
          </reference>
        </references>
      </pivotArea>
    </format>
    <format dxfId="85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x v="2971"/>
          </reference>
        </references>
      </pivotArea>
    </format>
    <format dxfId="85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x v="2972"/>
          </reference>
        </references>
      </pivotArea>
    </format>
    <format dxfId="851">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5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x v="2930"/>
          </reference>
        </references>
      </pivotArea>
    </format>
    <format dxfId="84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x v="3097"/>
          </reference>
        </references>
      </pivotArea>
    </format>
    <format dxfId="84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x v="3098"/>
          </reference>
        </references>
      </pivotArea>
    </format>
    <format dxfId="84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x v="3100"/>
          </reference>
        </references>
      </pivotArea>
    </format>
    <format dxfId="84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x v="3099"/>
          </reference>
        </references>
      </pivotArea>
    </format>
    <format dxfId="84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x v="2970"/>
          </reference>
        </references>
      </pivotArea>
    </format>
    <format dxfId="84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x v="2965"/>
          </reference>
        </references>
      </pivotArea>
    </format>
    <format dxfId="84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x v="2971"/>
          </reference>
        </references>
      </pivotArea>
    </format>
    <format dxfId="84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x v="2972"/>
          </reference>
        </references>
      </pivotArea>
    </format>
    <format dxfId="841">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4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x v="2930"/>
          </reference>
        </references>
      </pivotArea>
    </format>
    <format dxfId="83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x v="3097"/>
          </reference>
        </references>
      </pivotArea>
    </format>
    <format dxfId="83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x v="3098"/>
          </reference>
        </references>
      </pivotArea>
    </format>
    <format dxfId="83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x v="3100"/>
          </reference>
        </references>
      </pivotArea>
    </format>
    <format dxfId="83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x v="3099"/>
          </reference>
        </references>
      </pivotArea>
    </format>
    <format dxfId="835">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3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513"/>
          </reference>
          <reference field="82" count="1">
            <x v="3124"/>
          </reference>
        </references>
      </pivotArea>
    </format>
    <format dxfId="83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x v="3127"/>
          </reference>
        </references>
      </pivotArea>
    </format>
    <format dxfId="83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x v="3125"/>
          </reference>
        </references>
      </pivotArea>
    </format>
    <format dxfId="83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x v="3126"/>
          </reference>
        </references>
      </pivotArea>
    </format>
    <format dxfId="83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x v="2934"/>
          </reference>
        </references>
      </pivotArea>
    </format>
    <format dxfId="82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x v="3105"/>
          </reference>
        </references>
      </pivotArea>
    </format>
    <format dxfId="82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x v="3106"/>
          </reference>
        </references>
      </pivotArea>
    </format>
    <format dxfId="82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x v="3107"/>
          </reference>
        </references>
      </pivotArea>
    </format>
    <format dxfId="82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x v="2934"/>
          </reference>
        </references>
      </pivotArea>
    </format>
    <format dxfId="82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x v="3105"/>
          </reference>
        </references>
      </pivotArea>
    </format>
    <format dxfId="82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x v="3106"/>
          </reference>
        </references>
      </pivotArea>
    </format>
    <format dxfId="82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x v="3107"/>
          </reference>
        </references>
      </pivotArea>
    </format>
    <format dxfId="82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374"/>
          </reference>
          <reference field="82" count="1">
            <x v="3094"/>
          </reference>
        </references>
      </pivotArea>
    </format>
    <format dxfId="82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501"/>
          </reference>
          <reference field="82" count="1">
            <x v="3095"/>
          </reference>
        </references>
      </pivotArea>
    </format>
    <format dxfId="82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500"/>
          </reference>
          <reference field="82" count="1">
            <x v="3093"/>
          </reference>
        </references>
      </pivotArea>
    </format>
    <format dxfId="81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502"/>
          </reference>
          <reference field="82" count="1">
            <x v="3096"/>
          </reference>
        </references>
      </pivotArea>
    </format>
    <format dxfId="818">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817">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81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478"/>
          </reference>
          <reference field="82" count="1">
            <x v="3068"/>
          </reference>
        </references>
      </pivotArea>
    </format>
    <format dxfId="81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479"/>
          </reference>
          <reference field="82" count="1">
            <x v="3069"/>
          </reference>
        </references>
      </pivotArea>
    </format>
    <format dxfId="81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477"/>
          </reference>
          <reference field="82" count="1">
            <x v="3067"/>
          </reference>
        </references>
      </pivotArea>
    </format>
    <format dxfId="81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x v="2970"/>
          </reference>
        </references>
      </pivotArea>
    </format>
    <format dxfId="81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x v="2965"/>
          </reference>
        </references>
      </pivotArea>
    </format>
    <format dxfId="81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x v="2971"/>
          </reference>
        </references>
      </pivotArea>
    </format>
    <format dxfId="81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x v="2972"/>
          </reference>
        </references>
      </pivotArea>
    </format>
    <format dxfId="80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x v="3101"/>
          </reference>
        </references>
      </pivotArea>
    </format>
    <format dxfId="80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x v="3103"/>
          </reference>
        </references>
      </pivotArea>
    </format>
    <format dxfId="80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x v="3104"/>
          </reference>
        </references>
      </pivotArea>
    </format>
    <format dxfId="80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x v="3102"/>
          </reference>
        </references>
      </pivotArea>
    </format>
    <format dxfId="80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x v="3101"/>
          </reference>
        </references>
      </pivotArea>
    </format>
    <format dxfId="80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x v="3103"/>
          </reference>
        </references>
      </pivotArea>
    </format>
    <format dxfId="80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x v="3104"/>
          </reference>
        </references>
      </pivotArea>
    </format>
    <format dxfId="80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x v="3102"/>
          </reference>
        </references>
      </pivotArea>
    </format>
    <format dxfId="801">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800">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371"/>
          </reference>
          <reference field="82" count="1">
            <x v="2926"/>
          </reference>
        </references>
      </pivotArea>
    </format>
    <format dxfId="799">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515"/>
          </reference>
          <reference field="82" count="1">
            <x v="3133"/>
          </reference>
        </references>
      </pivotArea>
    </format>
    <format dxfId="798">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79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x v="2960"/>
          </reference>
        </references>
      </pivotArea>
    </format>
    <format dxfId="79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372"/>
          </reference>
          <reference field="82" count="1">
            <x v="2927"/>
          </reference>
        </references>
      </pivotArea>
    </format>
    <format dxfId="79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x v="2961"/>
          </reference>
        </references>
      </pivotArea>
    </format>
    <format dxfId="794">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3545"/>
          </reference>
          <reference field="82" count="1">
            <x v="2021"/>
          </reference>
        </references>
      </pivotArea>
    </format>
    <format dxfId="793">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79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517"/>
          </reference>
          <reference field="82" count="1">
            <x v="3135"/>
          </reference>
        </references>
      </pivotArea>
    </format>
    <format dxfId="791">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x v="3137"/>
          </reference>
        </references>
      </pivotArea>
    </format>
    <format dxfId="790">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789">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3548"/>
          </reference>
          <reference field="82" count="1">
            <x v="2024"/>
          </reference>
        </references>
      </pivotArea>
    </format>
    <format dxfId="788">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x v="2022"/>
          </reference>
        </references>
      </pivotArea>
    </format>
    <format dxfId="787">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518"/>
          </reference>
          <reference field="82" count="1">
            <x v="3136"/>
          </reference>
        </references>
      </pivotArea>
    </format>
    <format dxfId="786">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394"/>
          </reference>
          <reference field="82" count="1">
            <x v="2953"/>
          </reference>
        </references>
      </pivotArea>
    </format>
    <format dxfId="785">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4520"/>
          </reference>
          <reference field="82" count="1">
            <x v="3138"/>
          </reference>
        </references>
      </pivotArea>
    </format>
    <format dxfId="784">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x v="3137"/>
          </reference>
        </references>
      </pivotArea>
    </format>
    <format dxfId="783">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x v="2022"/>
          </reference>
        </references>
      </pivotArea>
    </format>
    <format dxfId="782">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3549"/>
          </reference>
          <reference field="82" count="1">
            <x v="2025"/>
          </reference>
        </references>
      </pivotArea>
    </format>
    <format dxfId="781">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3547"/>
          </reference>
          <reference field="82" count="1">
            <x v="2023"/>
          </reference>
        </references>
      </pivotArea>
    </format>
    <format dxfId="780">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779">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78">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777">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7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370"/>
          </reference>
          <reference field="82" count="1">
            <x v="2925"/>
          </reference>
        </references>
      </pivotArea>
    </format>
    <format dxfId="77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447"/>
          </reference>
          <reference field="82" count="1">
            <x v="3130"/>
          </reference>
        </references>
      </pivotArea>
    </format>
    <format dxfId="77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x v="3060"/>
          </reference>
        </references>
      </pivotArea>
    </format>
    <format dxfId="77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472"/>
          </reference>
          <reference field="82" count="1">
            <x v="3061"/>
          </reference>
        </references>
      </pivotArea>
    </format>
    <format dxfId="77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477"/>
          </reference>
          <reference field="82" count="1">
            <x v="3066"/>
          </reference>
        </references>
      </pivotArea>
    </format>
    <format dxfId="77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475"/>
          </reference>
          <reference field="82" count="1">
            <x v="3064"/>
          </reference>
        </references>
      </pivotArea>
    </format>
    <format dxfId="77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474"/>
          </reference>
          <reference field="82" count="1">
            <x v="3063"/>
          </reference>
        </references>
      </pivotArea>
    </format>
    <format dxfId="76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473"/>
          </reference>
          <reference field="82" count="1">
            <x v="3062"/>
          </reference>
        </references>
      </pivotArea>
    </format>
    <format dxfId="76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x v="3059"/>
          </reference>
        </references>
      </pivotArea>
    </format>
    <format dxfId="76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476"/>
          </reference>
          <reference field="82" count="1">
            <x v="3065"/>
          </reference>
        </references>
      </pivotArea>
    </format>
    <format dxfId="76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516"/>
          </reference>
          <reference field="82" count="1">
            <x v="3134"/>
          </reference>
        </references>
      </pivotArea>
    </format>
    <format dxfId="76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397"/>
          </reference>
          <reference field="82" count="1">
            <x v="2959"/>
          </reference>
        </references>
      </pivotArea>
    </format>
    <format dxfId="76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x v="2957"/>
          </reference>
        </references>
      </pivotArea>
    </format>
    <format dxfId="76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x v="3060"/>
          </reference>
        </references>
      </pivotArea>
    </format>
    <format dxfId="76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x v="3059"/>
          </reference>
        </references>
      </pivotArea>
    </format>
    <format dxfId="76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x v="2958"/>
          </reference>
        </references>
      </pivotArea>
    </format>
    <format dxfId="76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431"/>
          </reference>
          <reference field="82" count="1">
            <x v="3123"/>
          </reference>
        </references>
      </pivotArea>
    </format>
    <format dxfId="759">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758">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489"/>
          </reference>
          <reference field="82" count="1">
            <x v="3081"/>
          </reference>
        </references>
      </pivotArea>
    </format>
    <format dxfId="757">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491"/>
          </reference>
          <reference field="82" count="1">
            <x v="3083"/>
          </reference>
        </references>
      </pivotArea>
    </format>
    <format dxfId="75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392"/>
          </reference>
          <reference field="82" count="1">
            <x v="2951"/>
          </reference>
        </references>
      </pivotArea>
    </format>
    <format dxfId="75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391"/>
          </reference>
          <reference field="82" count="1">
            <x v="2950"/>
          </reference>
        </references>
      </pivotArea>
    </format>
    <format dxfId="754">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3"/>
          </reference>
          <reference field="81" count="1" selected="0">
            <x v="4416"/>
          </reference>
          <reference field="82" count="1">
            <x v="2979"/>
          </reference>
        </references>
      </pivotArea>
    </format>
    <format dxfId="753">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17"/>
          </reference>
          <reference field="81" count="1" selected="0">
            <x v="4417"/>
          </reference>
          <reference field="82" count="1">
            <x v="2980"/>
          </reference>
        </references>
      </pivotArea>
    </format>
    <format dxfId="752">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8"/>
          </reference>
          <reference field="81" count="1" selected="0">
            <x v="4414"/>
          </reference>
          <reference field="82" count="1">
            <x v="2977"/>
          </reference>
        </references>
      </pivotArea>
    </format>
    <format dxfId="751">
      <pivotArea dataOnly="0" labelOnly="1" outline="0" fieldPosition="0">
        <references count="10">
          <reference field="1" count="1" selected="0">
            <x v="47"/>
          </reference>
          <reference field="2" count="1" selected="0">
            <x v="6"/>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5"/>
          </reference>
          <reference field="81" count="1" selected="0">
            <x v="4415"/>
          </reference>
          <reference field="82" count="1">
            <x v="2978"/>
          </reference>
        </references>
      </pivotArea>
    </format>
    <format dxfId="750">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8"/>
          </reference>
          <reference field="81" count="1" selected="0">
            <x v="4410"/>
          </reference>
          <reference field="82" count="1">
            <x v="2973"/>
          </reference>
        </references>
      </pivotArea>
    </format>
    <format dxfId="749">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20"/>
          </reference>
          <reference field="81" count="1" selected="0">
            <x v="4411"/>
          </reference>
          <reference field="82" count="1">
            <x v="2974"/>
          </reference>
        </references>
      </pivotArea>
    </format>
    <format dxfId="748">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3"/>
          </reference>
          <reference field="81" count="1" selected="0">
            <x v="4412"/>
          </reference>
          <reference field="82" count="1">
            <x v="2975"/>
          </reference>
        </references>
      </pivotArea>
    </format>
    <format dxfId="747">
      <pivotArea dataOnly="0" labelOnly="1" outline="0" fieldPosition="0">
        <references count="10">
          <reference field="1" count="1" selected="0">
            <x v="48"/>
          </reference>
          <reference field="2" count="1" selected="0">
            <x v="8"/>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8"/>
          </reference>
          <reference field="81" count="1" selected="0">
            <x v="4413"/>
          </reference>
          <reference field="82" count="1">
            <x v="2976"/>
          </reference>
        </references>
      </pivotArea>
    </format>
    <format dxfId="746">
      <pivotArea dataOnly="0" labelOnly="1" outline="0" fieldPosition="0">
        <references count="10">
          <reference field="1" count="1" selected="0">
            <x v="49"/>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745">
      <pivotArea dataOnly="0" labelOnly="1" outline="0" fieldPosition="0">
        <references count="10">
          <reference field="1" count="1" selected="0">
            <x v="50"/>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744">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504"/>
          </reference>
          <reference field="82" count="1">
            <x v="3110"/>
          </reference>
        </references>
      </pivotArea>
    </format>
    <format dxfId="743">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x v="2920"/>
          </reference>
        </references>
      </pivotArea>
    </format>
    <format dxfId="742">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x v="3111"/>
          </reference>
        </references>
      </pivotArea>
    </format>
    <format dxfId="741">
      <pivotArea dataOnly="0" labelOnly="1" outline="0" fieldPosition="0">
        <references count="10">
          <reference field="1" count="1" selected="0">
            <x v="51"/>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x v="3112"/>
          </reference>
        </references>
      </pivotArea>
    </format>
    <format dxfId="740">
      <pivotArea dataOnly="0" labelOnly="1" outline="0" fieldPosition="0">
        <references count="10">
          <reference field="1" count="1" selected="0">
            <x v="5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x v="3075"/>
          </reference>
        </references>
      </pivotArea>
    </format>
    <format dxfId="739">
      <pivotArea field="87" type="button" dataOnly="0" labelOnly="1" outline="0" axis="axisRow" fieldPosition="12"/>
    </format>
    <format dxfId="738">
      <pivotArea field="88" type="button" dataOnly="0" labelOnly="1" outline="0" axis="axisRow" fieldPosition="13"/>
    </format>
    <format dxfId="73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63"/>
          </reference>
          <reference field="85" count="1" selected="0">
            <x v="4"/>
          </reference>
          <reference field="87" count="1">
            <x v="3812"/>
          </reference>
        </references>
      </pivotArea>
    </format>
    <format dxfId="73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x v="3814"/>
          </reference>
        </references>
      </pivotArea>
    </format>
    <format dxfId="73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selected="0">
            <x v="2966"/>
          </reference>
          <reference field="85" count="1" selected="0">
            <x v="4"/>
          </reference>
          <reference field="87" count="1">
            <x v="3815"/>
          </reference>
        </references>
      </pivotArea>
    </format>
    <format dxfId="73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selected="0">
            <x v="2962"/>
          </reference>
          <reference field="85" count="1" selected="0">
            <x v="4"/>
          </reference>
          <reference field="87" count="1">
            <x v="3811"/>
          </reference>
        </references>
      </pivotArea>
    </format>
    <format dxfId="73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selected="0">
            <x v="2967"/>
          </reference>
          <reference field="85" count="1" selected="0">
            <x v="4"/>
          </reference>
          <reference field="87" count="1">
            <x v="3816"/>
          </reference>
        </references>
      </pivotArea>
    </format>
    <format dxfId="73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selected="0">
            <x v="2968"/>
          </reference>
          <reference field="85" count="1" selected="0">
            <x v="4"/>
          </reference>
          <reference field="87" count="1">
            <x v="3817"/>
          </reference>
        </references>
      </pivotArea>
    </format>
    <format dxfId="73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selected="0">
            <x v="2969"/>
          </reference>
          <reference field="85" count="1" selected="0">
            <x v="4"/>
          </reference>
          <reference field="87" count="1">
            <x v="3818"/>
          </reference>
        </references>
      </pivotArea>
    </format>
    <format dxfId="73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selected="0">
            <x v="2964"/>
          </reference>
          <reference field="85" count="1" selected="0">
            <x v="4"/>
          </reference>
          <reference field="87" count="1">
            <x v="3813"/>
          </reference>
        </references>
      </pivotArea>
    </format>
    <format dxfId="729">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3"/>
          </reference>
          <reference field="85" count="1" selected="0">
            <x v="0"/>
          </reference>
          <reference field="87" count="1">
            <x v="3855"/>
          </reference>
        </references>
      </pivotArea>
    </format>
    <format dxfId="728">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4"/>
          </reference>
          <reference field="85" count="1" selected="0">
            <x v="0"/>
          </reference>
          <reference field="87" count="1">
            <x v="3856"/>
          </reference>
        </references>
      </pivotArea>
    </format>
    <format dxfId="727">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5"/>
          </reference>
          <reference field="85" count="1" selected="0">
            <x v="0"/>
          </reference>
          <reference field="87" count="1">
            <x v="3857"/>
          </reference>
        </references>
      </pivotArea>
    </format>
    <format dxfId="726">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x v="3900"/>
          </reference>
        </references>
      </pivotArea>
    </format>
    <format dxfId="725">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x v="3901"/>
          </reference>
        </references>
      </pivotArea>
    </format>
    <format dxfId="72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723">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x v="3937"/>
          </reference>
        </references>
      </pivotArea>
    </format>
    <format dxfId="72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72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x v="3936"/>
          </reference>
        </references>
      </pivotArea>
    </format>
    <format dxfId="720">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x v="3900"/>
          </reference>
        </references>
      </pivotArea>
    </format>
    <format dxfId="719">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x v="3902"/>
          </reference>
        </references>
      </pivotArea>
    </format>
    <format dxfId="718">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1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x v="3855"/>
          </reference>
        </references>
      </pivotArea>
    </format>
    <format dxfId="71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x v="3856"/>
          </reference>
        </references>
      </pivotArea>
    </format>
    <format dxfId="71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x v="3857"/>
          </reference>
        </references>
      </pivotArea>
    </format>
    <format dxfId="71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x v="3854"/>
          </reference>
        </references>
      </pivotArea>
    </format>
    <format dxfId="713">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x v="3900"/>
          </reference>
        </references>
      </pivotArea>
    </format>
    <format dxfId="71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x v="3902"/>
          </reference>
        </references>
      </pivotArea>
    </format>
    <format dxfId="711">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x v="3855"/>
          </reference>
        </references>
      </pivotArea>
    </format>
    <format dxfId="71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x v="3856"/>
          </reference>
        </references>
      </pivotArea>
    </format>
    <format dxfId="70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x v="3857"/>
          </reference>
        </references>
      </pivotArea>
    </format>
    <format dxfId="70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x v="3854"/>
          </reference>
        </references>
      </pivotArea>
    </format>
    <format dxfId="707">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0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x v="3900"/>
          </reference>
        </references>
      </pivotArea>
    </format>
    <format dxfId="70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x v="3902"/>
          </reference>
        </references>
      </pivotArea>
    </format>
    <format dxfId="704">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selected="0">
            <x v="2945"/>
          </reference>
          <reference field="85" count="1" selected="0">
            <x v="7"/>
          </reference>
          <reference field="87" count="1">
            <x v="3801"/>
          </reference>
        </references>
      </pivotArea>
    </format>
    <format dxfId="70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7"/>
          </reference>
          <reference field="85" count="1" selected="0">
            <x v="7"/>
          </reference>
          <reference field="87" count="1">
            <x v="3794"/>
          </reference>
        </references>
      </pivotArea>
    </format>
    <format dxfId="70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36"/>
          </reference>
          <reference field="82" count="1" selected="0">
            <x v="3015"/>
          </reference>
          <reference field="85" count="1" selected="0">
            <x v="0"/>
          </reference>
          <reference field="87" count="1">
            <x v="3850"/>
          </reference>
        </references>
      </pivotArea>
    </format>
    <format dxfId="70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 field="85" count="1" selected="0">
            <x v="0"/>
          </reference>
          <reference field="87" count="1">
            <x v="3853"/>
          </reference>
        </references>
      </pivotArea>
    </format>
    <format dxfId="70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selected="0">
            <x v="3016"/>
          </reference>
          <reference field="85" count="1" selected="0">
            <x v="0"/>
          </reference>
          <reference field="87" count="1">
            <x v="3851"/>
          </reference>
        </references>
      </pivotArea>
    </format>
    <format dxfId="69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selected="0">
            <x v="3017"/>
          </reference>
          <reference field="85" count="1" selected="0">
            <x v="0"/>
          </reference>
          <reference field="87" count="1">
            <x v="3852"/>
          </reference>
        </references>
      </pivotArea>
    </format>
    <format dxfId="698">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9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x v="3900"/>
          </reference>
        </references>
      </pivotArea>
    </format>
    <format dxfId="69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x v="3901"/>
          </reference>
        </references>
      </pivotArea>
    </format>
    <format dxfId="69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69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x v="3937"/>
          </reference>
        </references>
      </pivotArea>
    </format>
    <format dxfId="69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69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x v="3936"/>
          </reference>
        </references>
      </pivotArea>
    </format>
    <format dxfId="691">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5"/>
          </reference>
          <reference field="85" count="1" selected="0">
            <x v="7"/>
          </reference>
          <reference field="87" count="1">
            <x v="3795"/>
          </reference>
        </references>
      </pivotArea>
    </format>
    <format dxfId="690">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selected="0">
            <x v="2946"/>
          </reference>
          <reference field="85" count="1" selected="0">
            <x v="7"/>
          </reference>
          <reference field="87" count="1">
            <x v="3801"/>
          </reference>
        </references>
      </pivotArea>
    </format>
    <format dxfId="68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99"/>
          </reference>
          <reference field="85" count="1" selected="0">
            <x v="4"/>
          </reference>
          <reference field="87" count="1">
            <x v="3812"/>
          </reference>
        </references>
      </pivotArea>
    </format>
    <format dxfId="68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selected="0">
            <x v="3001"/>
          </reference>
          <reference field="85" count="1" selected="0">
            <x v="4"/>
          </reference>
          <reference field="87" count="1">
            <x v="3814"/>
          </reference>
        </references>
      </pivotArea>
    </format>
    <format dxfId="68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selected="0">
            <x v="3002"/>
          </reference>
          <reference field="85" count="1" selected="0">
            <x v="4"/>
          </reference>
          <reference field="87" count="1">
            <x v="3815"/>
          </reference>
        </references>
      </pivotArea>
    </format>
    <format dxfId="68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selected="0">
            <x v="2998"/>
          </reference>
          <reference field="85" count="1" selected="0">
            <x v="4"/>
          </reference>
          <reference field="87" count="1">
            <x v="3811"/>
          </reference>
        </references>
      </pivotArea>
    </format>
    <format dxfId="68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selected="0">
            <x v="3003"/>
          </reference>
          <reference field="85" count="1" selected="0">
            <x v="4"/>
          </reference>
          <reference field="87" count="1">
            <x v="3816"/>
          </reference>
        </references>
      </pivotArea>
    </format>
    <format dxfId="68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selected="0">
            <x v="3004"/>
          </reference>
          <reference field="85" count="1" selected="0">
            <x v="4"/>
          </reference>
          <reference field="87" count="1">
            <x v="3817"/>
          </reference>
        </references>
      </pivotArea>
    </format>
    <format dxfId="68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selected="0">
            <x v="3005"/>
          </reference>
          <reference field="85" count="1" selected="0">
            <x v="4"/>
          </reference>
          <reference field="87" count="1">
            <x v="3818"/>
          </reference>
        </references>
      </pivotArea>
    </format>
    <format dxfId="68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selected="0">
            <x v="3000"/>
          </reference>
          <reference field="85" count="1" selected="0">
            <x v="4"/>
          </reference>
          <reference field="87" count="1">
            <x v="3813"/>
          </reference>
        </references>
      </pivotArea>
    </format>
    <format dxfId="68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x v="3855"/>
          </reference>
        </references>
      </pivotArea>
    </format>
    <format dxfId="68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x v="3856"/>
          </reference>
        </references>
      </pivotArea>
    </format>
    <format dxfId="67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x v="3857"/>
          </reference>
        </references>
      </pivotArea>
    </format>
    <format dxfId="67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x v="3854"/>
          </reference>
        </references>
      </pivotArea>
    </format>
    <format dxfId="677">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4"/>
          </reference>
          <reference field="85" count="1" selected="0">
            <x v="7"/>
          </reference>
          <reference field="87" count="1">
            <x v="3795"/>
          </reference>
        </references>
      </pivotArea>
    </format>
    <format dxfId="676">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7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x v="3900"/>
          </reference>
        </references>
      </pivotArea>
    </format>
    <format dxfId="674">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x v="3901"/>
          </reference>
        </references>
      </pivotArea>
    </format>
    <format dxfId="67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 field="85" count="1" selected="0">
            <x v="0"/>
          </reference>
          <reference field="87" count="1">
            <x v="3853"/>
          </reference>
        </references>
      </pivotArea>
    </format>
    <format dxfId="67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selected="0">
            <x v="3016"/>
          </reference>
          <reference field="85" count="1" selected="0">
            <x v="0"/>
          </reference>
          <reference field="87" count="1">
            <x v="3851"/>
          </reference>
        </references>
      </pivotArea>
    </format>
    <format dxfId="67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selected="0">
            <x v="3017"/>
          </reference>
          <reference field="85" count="1" selected="0">
            <x v="0"/>
          </reference>
          <reference field="87" count="1">
            <x v="3852"/>
          </reference>
        </references>
      </pivotArea>
    </format>
    <format dxfId="670">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69">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x v="3900"/>
          </reference>
        </references>
      </pivotArea>
    </format>
    <format dxfId="668">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x v="3901"/>
          </reference>
        </references>
      </pivotArea>
    </format>
    <format dxfId="66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66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x v="3937"/>
          </reference>
        </references>
      </pivotArea>
    </format>
    <format dxfId="66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66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x v="3936"/>
          </reference>
        </references>
      </pivotArea>
    </format>
    <format dxfId="663">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x v="3900"/>
          </reference>
        </references>
      </pivotArea>
    </format>
    <format dxfId="662">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x v="3902"/>
          </reference>
        </references>
      </pivotArea>
    </format>
    <format dxfId="661">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x v="3855"/>
          </reference>
        </references>
      </pivotArea>
    </format>
    <format dxfId="66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447"/>
          </reference>
          <reference field="82" count="1" selected="0">
            <x v="3029"/>
          </reference>
          <reference field="85" count="1" selected="0">
            <x v="0"/>
          </reference>
          <reference field="87" count="1">
            <x v="3861"/>
          </reference>
        </references>
      </pivotArea>
    </format>
    <format dxfId="659">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448"/>
          </reference>
          <reference field="82" count="1" selected="0">
            <x v="3030"/>
          </reference>
          <reference field="85" count="1" selected="0">
            <x v="0"/>
          </reference>
          <reference field="87" count="1">
            <x v="3862"/>
          </reference>
        </references>
      </pivotArea>
    </format>
    <format dxfId="65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449"/>
          </reference>
          <reference field="82" count="1" selected="0">
            <x v="3031"/>
          </reference>
          <reference field="85" count="1" selected="0">
            <x v="0"/>
          </reference>
          <reference field="87" count="1">
            <x v="3863"/>
          </reference>
        </references>
      </pivotArea>
    </format>
    <format dxfId="657">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85"/>
          </reference>
          <reference field="82" count="1" selected="0">
            <x v="2941"/>
          </reference>
          <reference field="85" count="1" selected="0">
            <x v="7"/>
          </reference>
          <reference field="87" count="1">
            <x v="3797"/>
          </reference>
        </references>
      </pivotArea>
    </format>
    <format dxfId="656">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2942"/>
          </reference>
          <reference field="85" count="1" selected="0">
            <x v="7"/>
          </reference>
          <reference field="87" count="1">
            <x v="3798"/>
          </reference>
        </references>
      </pivotArea>
    </format>
    <format dxfId="65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selected="0">
            <x v="0"/>
          </reference>
          <reference field="87" count="1">
            <x v="3858"/>
          </reference>
        </references>
      </pivotArea>
    </format>
    <format dxfId="654">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selected="0">
            <x v="3027"/>
          </reference>
          <reference field="85" count="1" selected="0">
            <x v="0"/>
          </reference>
          <reference field="87" count="1">
            <x v="3859"/>
          </reference>
        </references>
      </pivotArea>
    </format>
    <format dxfId="65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selected="0">
            <x v="3028"/>
          </reference>
          <reference field="85" count="1" selected="0">
            <x v="0"/>
          </reference>
          <reference field="87" count="1">
            <x v="3860"/>
          </reference>
        </references>
      </pivotArea>
    </format>
    <format dxfId="652">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x v="3903"/>
          </reference>
        </references>
      </pivotArea>
    </format>
    <format dxfId="651">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485"/>
          </reference>
          <reference field="82" count="1" selected="0">
            <x v="3076"/>
          </reference>
          <reference field="85" count="1" selected="0">
            <x v="7"/>
          </reference>
          <reference field="87" count="1">
            <x v="3904"/>
          </reference>
        </references>
      </pivotArea>
    </format>
    <format dxfId="650">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395"/>
          </reference>
          <reference field="82" count="1" selected="0">
            <x v="2956"/>
          </reference>
          <reference field="85" count="1" selected="0">
            <x v="7"/>
          </reference>
          <reference field="87" count="1">
            <x v="3807"/>
          </reference>
        </references>
      </pivotArea>
    </format>
    <format dxfId="64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selected="0">
            <x v="0"/>
          </reference>
          <reference field="87" count="1">
            <x v="3858"/>
          </reference>
        </references>
      </pivotArea>
    </format>
    <format dxfId="648">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selected="0">
            <x v="3027"/>
          </reference>
          <reference field="85" count="1" selected="0">
            <x v="0"/>
          </reference>
          <reference field="87" count="1">
            <x v="3859"/>
          </reference>
        </references>
      </pivotArea>
    </format>
    <format dxfId="64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selected="0">
            <x v="3028"/>
          </reference>
          <reference field="85" count="1" selected="0">
            <x v="0"/>
          </reference>
          <reference field="87" count="1">
            <x v="3860"/>
          </reference>
        </references>
      </pivotArea>
    </format>
    <format dxfId="646">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x v="3903"/>
          </reference>
        </references>
      </pivotArea>
    </format>
    <format dxfId="64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53"/>
          </reference>
          <reference field="82" count="1" selected="0">
            <x v="3035"/>
          </reference>
          <reference field="85" count="1" selected="0">
            <x v="0"/>
          </reference>
          <reference field="87" count="1">
            <x v="3867"/>
          </reference>
        </references>
      </pivotArea>
    </format>
    <format dxfId="64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454"/>
          </reference>
          <reference field="82" count="1" selected="0">
            <x v="3036"/>
          </reference>
          <reference field="85" count="1" selected="0">
            <x v="0"/>
          </reference>
          <reference field="87" count="1">
            <x v="3868"/>
          </reference>
        </references>
      </pivotArea>
    </format>
    <format dxfId="64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455"/>
          </reference>
          <reference field="82" count="1" selected="0">
            <x v="3037"/>
          </reference>
          <reference field="85" count="1" selected="0">
            <x v="0"/>
          </reference>
          <reference field="87" count="1">
            <x v="3869"/>
          </reference>
        </references>
      </pivotArea>
    </format>
    <format dxfId="642">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81"/>
          </reference>
          <reference field="82" count="1" selected="0">
            <x v="2936"/>
          </reference>
          <reference field="85" count="1" selected="0">
            <x v="7"/>
          </reference>
          <reference field="87" count="1">
            <x v="3793"/>
          </reference>
        </references>
      </pivotArea>
    </format>
    <format dxfId="64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x v="3794"/>
          </reference>
        </references>
      </pivotArea>
    </format>
    <format dxfId="64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99"/>
          </reference>
          <reference field="82" count="1" selected="0">
            <x v="2991"/>
          </reference>
          <reference field="85" count="1" selected="0">
            <x v="4"/>
          </reference>
          <reference field="87" count="1">
            <x v="3811"/>
          </reference>
        </references>
      </pivotArea>
    </format>
    <format dxfId="63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405"/>
          </reference>
          <reference field="82" count="1" selected="0">
            <x v="2992"/>
          </reference>
          <reference field="85" count="1" selected="0">
            <x v="4"/>
          </reference>
          <reference field="87" count="1">
            <x v="3817"/>
          </reference>
        </references>
      </pivotArea>
    </format>
    <format dxfId="63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401"/>
          </reference>
          <reference field="82" count="1" selected="0">
            <x v="2989"/>
          </reference>
          <reference field="85" count="1" selected="0">
            <x v="4"/>
          </reference>
          <reference field="87" count="1">
            <x v="3813"/>
          </reference>
        </references>
      </pivotArea>
    </format>
    <format dxfId="63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423"/>
          </reference>
          <reference field="82" count="1" selected="0">
            <x v="2990"/>
          </reference>
          <reference field="85" count="1" selected="0">
            <x v="4"/>
          </reference>
          <reference field="87" count="1">
            <x v="3835"/>
          </reference>
        </references>
      </pivotArea>
    </format>
    <format dxfId="63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50"/>
          </reference>
          <reference field="82" count="1" selected="0">
            <x v="3032"/>
          </reference>
          <reference field="85" count="1" selected="0">
            <x v="0"/>
          </reference>
          <reference field="87" count="1">
            <x v="3864"/>
          </reference>
        </references>
      </pivotArea>
    </format>
    <format dxfId="63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451"/>
          </reference>
          <reference field="82" count="1" selected="0">
            <x v="3033"/>
          </reference>
          <reference field="85" count="1" selected="0">
            <x v="0"/>
          </reference>
          <reference field="87" count="1">
            <x v="3865"/>
          </reference>
        </references>
      </pivotArea>
    </format>
    <format dxfId="63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452"/>
          </reference>
          <reference field="82" count="1" selected="0">
            <x v="3034"/>
          </reference>
          <reference field="85" count="1" selected="0">
            <x v="0"/>
          </reference>
          <reference field="87" count="1">
            <x v="3866"/>
          </reference>
        </references>
      </pivotArea>
    </format>
    <format dxfId="633">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95"/>
          </reference>
          <reference field="82" count="1" selected="0">
            <x v="3088"/>
          </reference>
          <reference field="85" count="1" selected="0">
            <x v="7"/>
          </reference>
          <reference field="87" count="1">
            <x v="3914"/>
          </reference>
        </references>
      </pivotArea>
    </format>
    <format dxfId="632">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selected="0">
            <x v="2944"/>
          </reference>
          <reference field="85" count="1" selected="0">
            <x v="7"/>
          </reference>
          <reference field="87" count="1">
            <x v="3800"/>
          </reference>
        </references>
      </pivotArea>
    </format>
    <format dxfId="63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432"/>
          </reference>
          <reference field="82" count="1" selected="0">
            <x v="3010"/>
          </reference>
          <reference field="85" count="1" selected="0">
            <x v="0"/>
          </reference>
          <reference field="87" count="1">
            <x v="3845"/>
          </reference>
        </references>
      </pivotArea>
    </format>
    <format dxfId="63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431"/>
          </reference>
          <reference field="82" count="1" selected="0">
            <x v="3009"/>
          </reference>
          <reference field="85" count="1" selected="0">
            <x v="0"/>
          </reference>
          <reference field="87" count="1">
            <x v="3844"/>
          </reference>
        </references>
      </pivotArea>
    </format>
    <format dxfId="62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433"/>
          </reference>
          <reference field="82" count="1" selected="0">
            <x v="3011"/>
          </reference>
          <reference field="85" count="1" selected="0">
            <x v="0"/>
          </reference>
          <reference field="87" count="1">
            <x v="3846"/>
          </reference>
        </references>
      </pivotArea>
    </format>
    <format dxfId="62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93"/>
          </reference>
          <reference field="82" count="1" selected="0">
            <x v="2952"/>
          </reference>
          <reference field="85" count="1" selected="0">
            <x v="7"/>
          </reference>
          <reference field="87" count="1">
            <x v="3805"/>
          </reference>
        </references>
      </pivotArea>
    </format>
    <format dxfId="62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selected="0">
            <x v="2944"/>
          </reference>
          <reference field="85" count="1" selected="0">
            <x v="7"/>
          </reference>
          <reference field="87" count="1">
            <x v="3800"/>
          </reference>
        </references>
      </pivotArea>
    </format>
    <format dxfId="62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426"/>
          </reference>
          <reference field="82" count="1" selected="0">
            <x v="2995"/>
          </reference>
          <reference field="85" count="1" selected="0">
            <x v="4"/>
          </reference>
          <reference field="87" count="1">
            <x v="3838"/>
          </reference>
        </references>
      </pivotArea>
    </format>
    <format dxfId="62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427"/>
          </reference>
          <reference field="82" count="1" selected="0">
            <x v="2996"/>
          </reference>
          <reference field="85" count="1" selected="0">
            <x v="4"/>
          </reference>
          <reference field="87" count="1">
            <x v="3839"/>
          </reference>
        </references>
      </pivotArea>
    </format>
    <format dxfId="62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424"/>
          </reference>
          <reference field="82" count="1" selected="0">
            <x v="2993"/>
          </reference>
          <reference field="85" count="1" selected="0">
            <x v="4"/>
          </reference>
          <reference field="87" count="1">
            <x v="3836"/>
          </reference>
        </references>
      </pivotArea>
    </format>
    <format dxfId="62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425"/>
          </reference>
          <reference field="82" count="1" selected="0">
            <x v="2994"/>
          </reference>
          <reference field="85" count="1" selected="0">
            <x v="4"/>
          </reference>
          <reference field="87" count="1">
            <x v="3837"/>
          </reference>
        </references>
      </pivotArea>
    </format>
    <format dxfId="62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selected="0">
            <x v="0"/>
          </reference>
          <reference field="87" count="1">
            <x v="3841"/>
          </reference>
        </references>
      </pivotArea>
    </format>
    <format dxfId="62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selected="0">
            <x v="3007"/>
          </reference>
          <reference field="85" count="1" selected="0">
            <x v="0"/>
          </reference>
          <reference field="87" count="1">
            <x v="3842"/>
          </reference>
        </references>
      </pivotArea>
    </format>
    <format dxfId="62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selected="0">
            <x v="3008"/>
          </reference>
          <reference field="85" count="1" selected="0">
            <x v="0"/>
          </reference>
          <reference field="87" count="1">
            <x v="3843"/>
          </reference>
        </references>
      </pivotArea>
    </format>
    <format dxfId="619">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x v="3794"/>
          </reference>
        </references>
      </pivotArea>
    </format>
    <format dxfId="61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selected="0">
            <x v="0"/>
          </reference>
          <reference field="87" count="1">
            <x v="3841"/>
          </reference>
        </references>
      </pivotArea>
    </format>
    <format dxfId="61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selected="0">
            <x v="3007"/>
          </reference>
          <reference field="85" count="1" selected="0">
            <x v="0"/>
          </reference>
          <reference field="87" count="1">
            <x v="3842"/>
          </reference>
        </references>
      </pivotArea>
    </format>
    <format dxfId="61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selected="0">
            <x v="3008"/>
          </reference>
          <reference field="85" count="1" selected="0">
            <x v="0"/>
          </reference>
          <reference field="87" count="1">
            <x v="3843"/>
          </reference>
        </references>
      </pivotArea>
    </format>
    <format dxfId="61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87"/>
          </reference>
          <reference field="82" count="1" selected="0">
            <x v="2943"/>
          </reference>
          <reference field="85" count="1" selected="0">
            <x v="7"/>
          </reference>
          <reference field="87" count="1">
            <x v="3799"/>
          </reference>
        </references>
      </pivotArea>
    </format>
    <format dxfId="614">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x v="3794"/>
          </reference>
        </references>
      </pivotArea>
    </format>
    <format dxfId="61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selected="0">
            <x v="0"/>
          </reference>
          <reference field="87" count="1">
            <x v="3847"/>
          </reference>
        </references>
      </pivotArea>
    </format>
    <format dxfId="61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selected="0">
            <x v="3013"/>
          </reference>
          <reference field="85" count="1" selected="0">
            <x v="0"/>
          </reference>
          <reference field="87" count="1">
            <x v="3848"/>
          </reference>
        </references>
      </pivotArea>
    </format>
    <format dxfId="61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x v="3849"/>
          </reference>
        </references>
      </pivotArea>
    </format>
    <format dxfId="61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60"/>
          </reference>
          <reference field="82" count="1" selected="0">
            <x v="3057"/>
          </reference>
          <reference field="85" count="1" selected="0">
            <x v="2"/>
          </reference>
          <reference field="87" count="1">
            <x v="3887"/>
          </reference>
        </references>
      </pivotArea>
    </format>
    <format dxfId="609">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465"/>
          </reference>
          <reference field="82" count="1" selected="0">
            <x v="3056"/>
          </reference>
          <reference field="85" count="1" selected="0">
            <x v="2"/>
          </reference>
          <reference field="87" count="1">
            <x v="3886"/>
          </reference>
        </references>
      </pivotArea>
    </format>
    <format dxfId="60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469"/>
          </reference>
          <reference field="82" count="1" selected="0">
            <x v="3058"/>
          </reference>
          <reference field="85" count="1" selected="0">
            <x v="2"/>
          </reference>
          <reference field="87" count="1">
            <x v="3888"/>
          </reference>
        </references>
      </pivotArea>
    </format>
    <format dxfId="60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selected="0">
            <x v="0"/>
          </reference>
          <reference field="87" count="1">
            <x v="3847"/>
          </reference>
        </references>
      </pivotArea>
    </format>
    <format dxfId="606">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selected="0">
            <x v="3013"/>
          </reference>
          <reference field="85" count="1" selected="0">
            <x v="0"/>
          </reference>
          <reference field="87" count="1">
            <x v="3848"/>
          </reference>
        </references>
      </pivotArea>
    </format>
    <format dxfId="60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x v="3849"/>
          </reference>
        </references>
      </pivotArea>
    </format>
    <format dxfId="604">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79"/>
          </reference>
          <reference field="85" count="1" selected="0">
            <x v="7"/>
          </reference>
          <reference field="87" count="1">
            <x v="3798"/>
          </reference>
        </references>
      </pivotArea>
    </format>
    <format dxfId="60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504"/>
          </reference>
          <reference field="82" count="1" selected="0">
            <x v="3110"/>
          </reference>
          <reference field="85" count="1" selected="0">
            <x v="4"/>
          </reference>
          <reference field="87" count="1">
            <x v="3930"/>
          </reference>
        </references>
      </pivotArea>
    </format>
    <format dxfId="60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366"/>
          </reference>
          <reference field="82" count="1" selected="0">
            <x v="2920"/>
          </reference>
          <reference field="85" count="1" selected="0">
            <x v="4"/>
          </reference>
          <reference field="87" count="1">
            <x v="3933"/>
          </reference>
        </references>
      </pivotArea>
    </format>
    <format dxfId="60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365"/>
          </reference>
          <reference field="82" count="1" selected="0">
            <x v="2919"/>
          </reference>
          <reference field="85" count="1" selected="0">
            <x v="4"/>
          </reference>
          <reference field="87" count="1">
            <x v="3952"/>
          </reference>
        </references>
      </pivotArea>
    </format>
    <format dxfId="60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503"/>
          </reference>
          <reference field="82" count="1" selected="0">
            <x v="3132"/>
          </reference>
          <reference field="85" count="1" selected="0">
            <x v="4"/>
          </reference>
          <reference field="87" count="1">
            <x v="3929"/>
          </reference>
        </references>
      </pivotArea>
    </format>
    <format dxfId="599">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9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x v="3915"/>
          </reference>
        </references>
      </pivotArea>
    </format>
    <format dxfId="59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x v="3916"/>
          </reference>
        </references>
      </pivotArea>
    </format>
    <format dxfId="59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x v="3917"/>
          </reference>
        </references>
      </pivotArea>
    </format>
    <format dxfId="59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x v="3918"/>
          </reference>
        </references>
      </pivotArea>
    </format>
    <format dxfId="594">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9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66"/>
          </reference>
          <reference field="82" count="1" selected="0">
            <x v="2920"/>
          </reference>
          <reference field="85" count="1" selected="0">
            <x v="3"/>
          </reference>
          <reference field="87" count="1">
            <x v="3778"/>
          </reference>
        </references>
      </pivotArea>
    </format>
    <format dxfId="59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365"/>
          </reference>
          <reference field="82" count="1" selected="0">
            <x v="2919"/>
          </reference>
          <reference field="85" count="1" selected="0">
            <x v="3"/>
          </reference>
          <reference field="87" count="1">
            <x v="3777"/>
          </reference>
        </references>
      </pivotArea>
    </format>
    <format dxfId="59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x v="3915"/>
          </reference>
        </references>
      </pivotArea>
    </format>
    <format dxfId="59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x v="3916"/>
          </reference>
        </references>
      </pivotArea>
    </format>
    <format dxfId="58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x v="3917"/>
          </reference>
        </references>
      </pivotArea>
    </format>
    <format dxfId="58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x v="3918"/>
          </reference>
        </references>
      </pivotArea>
    </format>
    <format dxfId="587">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8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x v="3915"/>
          </reference>
        </references>
      </pivotArea>
    </format>
    <format dxfId="58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x v="3916"/>
          </reference>
        </references>
      </pivotArea>
    </format>
    <format dxfId="58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x v="3917"/>
          </reference>
        </references>
      </pivotArea>
    </format>
    <format dxfId="58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x v="3918"/>
          </reference>
        </references>
      </pivotArea>
    </format>
    <format dxfId="582">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8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x v="3849"/>
          </reference>
        </references>
      </pivotArea>
    </format>
    <format dxfId="58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457"/>
          </reference>
          <reference field="82" count="1" selected="0">
            <x v="3039"/>
          </reference>
          <reference field="85" count="1" selected="0">
            <x v="0"/>
          </reference>
          <reference field="87" count="1">
            <x v="3871"/>
          </reference>
        </references>
      </pivotArea>
    </format>
    <format dxfId="57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456"/>
          </reference>
          <reference field="82" count="1" selected="0">
            <x v="3038"/>
          </reference>
          <reference field="85" count="1" selected="0">
            <x v="0"/>
          </reference>
          <reference field="87" count="1">
            <x v="3870"/>
          </reference>
        </references>
      </pivotArea>
    </format>
    <format dxfId="57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x v="3795"/>
          </reference>
        </references>
      </pivotArea>
    </format>
    <format dxfId="57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x v="3796"/>
          </reference>
        </references>
      </pivotArea>
    </format>
    <format dxfId="57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0"/>
          </reference>
          <reference field="85" count="1" selected="0">
            <x v="7"/>
          </reference>
          <reference field="87" count="1">
            <x v="3794"/>
          </reference>
        </references>
      </pivotArea>
    </format>
    <format dxfId="57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420"/>
          </reference>
          <reference field="82" count="1" selected="0">
            <x v="2985"/>
          </reference>
          <reference field="85" count="1" selected="0">
            <x v="4"/>
          </reference>
          <reference field="87" count="1">
            <x v="3832"/>
          </reference>
        </references>
      </pivotArea>
    </format>
    <format dxfId="57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410"/>
          </reference>
          <reference field="82" count="1" selected="0">
            <x v="2986"/>
          </reference>
          <reference field="85" count="1" selected="0">
            <x v="4"/>
          </reference>
          <reference field="87" count="1">
            <x v="3822"/>
          </reference>
        </references>
      </pivotArea>
    </format>
    <format dxfId="57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421"/>
          </reference>
          <reference field="82" count="1" selected="0">
            <x v="2987"/>
          </reference>
          <reference field="85" count="1" selected="0">
            <x v="4"/>
          </reference>
          <reference field="87" count="1">
            <x v="3833"/>
          </reference>
        </references>
      </pivotArea>
    </format>
    <format dxfId="57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422"/>
          </reference>
          <reference field="82" count="1" selected="0">
            <x v="2988"/>
          </reference>
          <reference field="85" count="1" selected="0">
            <x v="4"/>
          </reference>
          <reference field="87" count="1">
            <x v="3834"/>
          </reference>
        </references>
      </pivotArea>
    </format>
    <format dxfId="57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45"/>
          </reference>
          <reference field="82" count="1" selected="0">
            <x v="3045"/>
          </reference>
          <reference field="85" count="1" selected="0">
            <x v="0"/>
          </reference>
          <reference field="87" count="1">
            <x v="3859"/>
          </reference>
        </references>
      </pivotArea>
    </format>
    <format dxfId="57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464"/>
          </reference>
          <reference field="82" count="1" selected="0">
            <x v="3049"/>
          </reference>
          <reference field="85" count="1" selected="0">
            <x v="0"/>
          </reference>
          <reference field="87" count="1">
            <x v="3879"/>
          </reference>
        </references>
      </pivotArea>
    </format>
    <format dxfId="56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465"/>
          </reference>
          <reference field="82" count="1" selected="0">
            <x v="3050"/>
          </reference>
          <reference field="85" count="1" selected="0">
            <x v="0"/>
          </reference>
          <reference field="87" count="1">
            <x v="3880"/>
          </reference>
        </references>
      </pivotArea>
    </format>
    <format dxfId="56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selected="0">
            <x v="7"/>
          </reference>
          <reference field="87" count="1">
            <x v="3913"/>
          </reference>
        </references>
      </pivotArea>
    </format>
    <format dxfId="56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87"/>
          </reference>
          <reference field="85" count="1" selected="0">
            <x v="7"/>
          </reference>
          <reference field="87" count="1">
            <x v="3798"/>
          </reference>
        </references>
      </pivotArea>
    </format>
    <format dxfId="56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75"/>
          </reference>
          <reference field="82" count="1" selected="0">
            <x v="2930"/>
          </reference>
          <reference field="85" count="1" selected="0">
            <x v="3"/>
          </reference>
          <reference field="87" count="1">
            <x v="3787"/>
          </reference>
        </references>
      </pivotArea>
    </format>
    <format dxfId="56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377"/>
          </reference>
          <reference field="82" count="1" selected="0">
            <x v="2932"/>
          </reference>
          <reference field="85" count="1" selected="0">
            <x v="3"/>
          </reference>
          <reference field="87" count="1">
            <x v="3789"/>
          </reference>
        </references>
      </pivotArea>
    </format>
    <format dxfId="56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378"/>
          </reference>
          <reference field="82" count="1" selected="0">
            <x v="2933"/>
          </reference>
          <reference field="85" count="1" selected="0">
            <x v="3"/>
          </reference>
          <reference field="87" count="1">
            <x v="3790"/>
          </reference>
        </references>
      </pivotArea>
    </format>
    <format dxfId="563">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selected="0">
            <x v="2934"/>
          </reference>
          <reference field="85" count="1" selected="0">
            <x v="3"/>
          </reference>
          <reference field="87" count="1">
            <x v="3791"/>
          </reference>
        </references>
      </pivotArea>
    </format>
    <format dxfId="56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376"/>
          </reference>
          <reference field="82" count="1" selected="0">
            <x v="2931"/>
          </reference>
          <reference field="85" count="1" selected="0">
            <x v="3"/>
          </reference>
          <reference field="87" count="1">
            <x v="3788"/>
          </reference>
        </references>
      </pivotArea>
    </format>
    <format dxfId="561">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560">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559">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x v="3795"/>
          </reference>
        </references>
      </pivotArea>
    </format>
    <format dxfId="558">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x v="3796"/>
          </reference>
        </references>
      </pivotArea>
    </format>
    <format dxfId="557">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x v="3795"/>
          </reference>
        </references>
      </pivotArea>
    </format>
    <format dxfId="556">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x v="3796"/>
          </reference>
        </references>
      </pivotArea>
    </format>
    <format dxfId="55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0"/>
          </reference>
          <reference field="85" count="1" selected="0">
            <x v="7"/>
          </reference>
          <reference field="87" count="1">
            <x v="3794"/>
          </reference>
        </references>
      </pivotArea>
    </format>
    <format dxfId="554">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418"/>
          </reference>
          <reference field="82" count="1" selected="0">
            <x v="2981"/>
          </reference>
          <reference field="85" count="1" selected="0">
            <x v="4"/>
          </reference>
          <reference field="87" count="1">
            <x v="3830"/>
          </reference>
        </references>
      </pivotArea>
    </format>
    <format dxfId="553">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416"/>
          </reference>
          <reference field="82" count="1" selected="0">
            <x v="2982"/>
          </reference>
          <reference field="85" count="1" selected="0">
            <x v="4"/>
          </reference>
          <reference field="87" count="1">
            <x v="3828"/>
          </reference>
        </references>
      </pivotArea>
    </format>
    <format dxfId="55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419"/>
          </reference>
          <reference field="82" count="1" selected="0">
            <x v="2983"/>
          </reference>
          <reference field="85" count="1" selected="0">
            <x v="4"/>
          </reference>
          <reference field="87" count="1">
            <x v="3831"/>
          </reference>
        </references>
      </pivotArea>
    </format>
    <format dxfId="55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411"/>
          </reference>
          <reference field="82" count="1" selected="0">
            <x v="2984"/>
          </reference>
          <reference field="85" count="1" selected="0">
            <x v="4"/>
          </reference>
          <reference field="87" count="1">
            <x v="3823"/>
          </reference>
        </references>
      </pivotArea>
    </format>
    <format dxfId="550">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77"/>
          </reference>
          <reference field="82" count="1" selected="0">
            <x v="3046"/>
          </reference>
          <reference field="85" count="1" selected="0">
            <x v="0"/>
          </reference>
          <reference field="87" count="1">
            <x v="3877"/>
          </reference>
        </references>
      </pivotArea>
    </format>
    <format dxfId="549">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443"/>
          </reference>
          <reference field="82" count="1" selected="0">
            <x v="3047"/>
          </reference>
          <reference field="85" count="1" selected="0">
            <x v="0"/>
          </reference>
          <reference field="87" count="1">
            <x v="3857"/>
          </reference>
        </references>
      </pivotArea>
    </format>
    <format dxfId="54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463"/>
          </reference>
          <reference field="82" count="1" selected="0">
            <x v="3048"/>
          </reference>
          <reference field="85" count="1" selected="0">
            <x v="0"/>
          </reference>
          <reference field="87" count="1">
            <x v="3878"/>
          </reference>
        </references>
      </pivotArea>
    </format>
    <format dxfId="547">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selected="0">
            <x v="7"/>
          </reference>
          <reference field="87" count="1">
            <x v="3913"/>
          </reference>
        </references>
      </pivotArea>
    </format>
    <format dxfId="546">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80"/>
          </reference>
          <reference field="82" count="1" selected="0">
            <x v="2935"/>
          </reference>
          <reference field="85" count="1" selected="0">
            <x v="3"/>
          </reference>
          <reference field="87" count="1">
            <x v="3792"/>
          </reference>
        </references>
      </pivotArea>
    </format>
    <format dxfId="545">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selected="0">
            <x v="2934"/>
          </reference>
          <reference field="85" count="1" selected="0">
            <x v="3"/>
          </reference>
          <reference field="87" count="1">
            <x v="3791"/>
          </reference>
        </references>
      </pivotArea>
    </format>
    <format dxfId="544">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2931"/>
          </reference>
          <reference field="85" count="1" selected="0">
            <x v="3"/>
          </reference>
          <reference field="87" count="1">
            <x v="3788"/>
          </reference>
        </references>
      </pivotArea>
    </format>
    <format dxfId="543">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x v="3795"/>
          </reference>
        </references>
      </pivotArea>
    </format>
    <format dxfId="54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x v="3796"/>
          </reference>
        </references>
      </pivotArea>
    </format>
    <format dxfId="54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65"/>
          </reference>
          <reference field="82" count="1" selected="0">
            <x v="2924"/>
          </reference>
          <reference field="85" count="1" selected="0">
            <x v="3"/>
          </reference>
          <reference field="87" count="1">
            <x v="3777"/>
          </reference>
        </references>
      </pivotArea>
    </format>
    <format dxfId="54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369"/>
          </reference>
          <reference field="82" count="1" selected="0">
            <x v="2923"/>
          </reference>
          <reference field="85" count="1" selected="0">
            <x v="3"/>
          </reference>
          <reference field="87" count="1">
            <x v="3781"/>
          </reference>
        </references>
      </pivotArea>
    </format>
    <format dxfId="53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367"/>
          </reference>
          <reference field="82" count="1" selected="0">
            <x v="2921"/>
          </reference>
          <reference field="85" count="1" selected="0">
            <x v="3"/>
          </reference>
          <reference field="87" count="1">
            <x v="3779"/>
          </reference>
        </references>
      </pivotArea>
    </format>
    <format dxfId="53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368"/>
          </reference>
          <reference field="82" count="1" selected="0">
            <x v="2922"/>
          </reference>
          <reference field="85" count="1" selected="0">
            <x v="3"/>
          </reference>
          <reference field="87" count="1">
            <x v="3780"/>
          </reference>
        </references>
      </pivotArea>
    </format>
    <format dxfId="537">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536">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535">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selected="0">
            <x v="4"/>
          </reference>
          <reference field="87" count="1">
            <x v="3840"/>
          </reference>
        </references>
      </pivotArea>
    </format>
    <format dxfId="53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58"/>
          </reference>
          <reference field="82" count="1" selected="0">
            <x v="3040"/>
          </reference>
          <reference field="85" count="1" selected="0">
            <x v="0"/>
          </reference>
          <reference field="87" count="1">
            <x v="3872"/>
          </reference>
        </references>
      </pivotArea>
    </format>
    <format dxfId="53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459"/>
          </reference>
          <reference field="82" count="1" selected="0">
            <x v="3041"/>
          </reference>
          <reference field="85" count="1" selected="0">
            <x v="0"/>
          </reference>
          <reference field="87" count="1">
            <x v="3873"/>
          </reference>
        </references>
      </pivotArea>
    </format>
    <format dxfId="53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460"/>
          </reference>
          <reference field="82" count="1" selected="0">
            <x v="3042"/>
          </reference>
          <reference field="85" count="1" selected="0">
            <x v="0"/>
          </reference>
          <reference field="87" count="1">
            <x v="3874"/>
          </reference>
        </references>
      </pivotArea>
    </format>
    <format dxfId="53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selected="0">
            <x v="2"/>
          </reference>
          <reference field="87" count="1">
            <x v="3882"/>
          </reference>
        </references>
      </pivotArea>
    </format>
    <format dxfId="53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selected="0">
            <x v="3053"/>
          </reference>
          <reference field="85" count="1" selected="0">
            <x v="2"/>
          </reference>
          <reference field="87" count="1">
            <x v="3883"/>
          </reference>
        </references>
      </pivotArea>
    </format>
    <format dxfId="52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3051"/>
          </reference>
          <reference field="85" count="1" selected="0">
            <x v="2"/>
          </reference>
          <reference field="87" count="1">
            <x v="3881"/>
          </reference>
        </references>
      </pivotArea>
    </format>
    <format dxfId="528">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selected="0">
            <x v="4"/>
          </reference>
          <reference field="87" count="1">
            <x v="3840"/>
          </reference>
        </references>
      </pivotArea>
    </format>
    <format dxfId="52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61"/>
          </reference>
          <reference field="82" count="1" selected="0">
            <x v="3043"/>
          </reference>
          <reference field="85" count="1" selected="0">
            <x v="0"/>
          </reference>
          <reference field="87" count="1">
            <x v="3875"/>
          </reference>
        </references>
      </pivotArea>
    </format>
    <format dxfId="52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462"/>
          </reference>
          <reference field="82" count="1" selected="0">
            <x v="3044"/>
          </reference>
          <reference field="85" count="1" selected="0">
            <x v="0"/>
          </reference>
          <reference field="87" count="1">
            <x v="3876"/>
          </reference>
        </references>
      </pivotArea>
    </format>
    <format dxfId="52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445"/>
          </reference>
          <reference field="82" count="1" selected="0">
            <x v="3045"/>
          </reference>
          <reference field="85" count="1" selected="0">
            <x v="0"/>
          </reference>
          <reference field="87" count="1">
            <x v="3859"/>
          </reference>
        </references>
      </pivotArea>
    </format>
    <format dxfId="52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selected="0">
            <x v="2"/>
          </reference>
          <reference field="87" count="1">
            <x v="3882"/>
          </reference>
        </references>
      </pivotArea>
    </format>
    <format dxfId="52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selected="0">
            <x v="3053"/>
          </reference>
          <reference field="85" count="1" selected="0">
            <x v="2"/>
          </reference>
          <reference field="87" count="1">
            <x v="3883"/>
          </reference>
        </references>
      </pivotArea>
    </format>
    <format dxfId="52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467"/>
          </reference>
          <reference field="82" count="1" selected="0">
            <x v="3054"/>
          </reference>
          <reference field="85" count="1" selected="0">
            <x v="2"/>
          </reference>
          <reference field="87" count="1">
            <x v="3884"/>
          </reference>
        </references>
      </pivotArea>
    </format>
    <format dxfId="52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3051"/>
          </reference>
          <reference field="85" count="1" selected="0">
            <x v="2"/>
          </reference>
          <reference field="87" count="1">
            <x v="3881"/>
          </reference>
        </references>
      </pivotArea>
    </format>
    <format dxfId="52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468"/>
          </reference>
          <reference field="82" count="1" selected="0">
            <x v="3055"/>
          </reference>
          <reference field="85" count="1" selected="0">
            <x v="2"/>
          </reference>
          <reference field="87" count="1">
            <x v="3885"/>
          </reference>
        </references>
      </pivotArea>
    </format>
    <format dxfId="519">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518">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92"/>
          </reference>
          <reference field="82" count="1" selected="0">
            <x v="3084"/>
          </reference>
          <reference field="85" count="1" selected="0">
            <x v="7"/>
          </reference>
          <reference field="87" count="1">
            <x v="3911"/>
          </reference>
        </references>
      </pivotArea>
    </format>
    <format dxfId="51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493"/>
          </reference>
          <reference field="82" count="1" selected="0">
            <x v="3085"/>
          </reference>
          <reference field="85" count="1" selected="0">
            <x v="7"/>
          </reference>
          <reference field="87" count="1">
            <x v="3912"/>
          </reference>
        </references>
      </pivotArea>
    </format>
    <format dxfId="51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507"/>
          </reference>
          <reference field="82" count="1" selected="0">
            <x v="3113"/>
          </reference>
          <reference field="85" count="1" selected="0">
            <x v="4"/>
          </reference>
          <reference field="87" count="1">
            <x v="3937"/>
          </reference>
        </references>
      </pivotArea>
    </format>
    <format dxfId="51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508"/>
          </reference>
          <reference field="82" count="1" selected="0">
            <x v="3114"/>
          </reference>
          <reference field="85" count="1" selected="0">
            <x v="4"/>
          </reference>
          <reference field="87" count="1">
            <x v="3938"/>
          </reference>
        </references>
      </pivotArea>
    </format>
    <format dxfId="51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509"/>
          </reference>
          <reference field="82" count="1" selected="0">
            <x v="3115"/>
          </reference>
          <reference field="85" count="1" selected="0">
            <x v="4"/>
          </reference>
          <reference field="87" count="1">
            <x v="3939"/>
          </reference>
        </references>
      </pivotArea>
    </format>
    <format dxfId="51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x v="3917"/>
          </reference>
        </references>
      </pivotArea>
    </format>
    <format dxfId="51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429"/>
          </reference>
          <reference field="82" count="1" selected="0">
            <x v="3006"/>
          </reference>
          <reference field="85" count="1" selected="0">
            <x v="4"/>
          </reference>
          <reference field="87" count="1">
            <x v="3941"/>
          </reference>
        </references>
      </pivotArea>
    </format>
    <format dxfId="51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511"/>
          </reference>
          <reference field="82" count="1" selected="0">
            <x v="3120"/>
          </reference>
          <reference field="85" count="1" selected="0">
            <x v="4"/>
          </reference>
          <reference field="87" count="1">
            <x v="3942"/>
          </reference>
        </references>
      </pivotArea>
    </format>
    <format dxfId="51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512"/>
          </reference>
          <reference field="82" count="1" selected="0">
            <x v="3121"/>
          </reference>
          <reference field="85" count="1" selected="0">
            <x v="4"/>
          </reference>
          <reference field="87" count="1">
            <x v="3944"/>
          </reference>
        </references>
      </pivotArea>
    </format>
    <format dxfId="50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470"/>
          </reference>
          <reference field="82" count="1" selected="0">
            <x v="3122"/>
          </reference>
          <reference field="85" count="1" selected="0">
            <x v="4"/>
          </reference>
          <reference field="87" count="1">
            <x v="3945"/>
          </reference>
        </references>
      </pivotArea>
    </format>
    <format dxfId="50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429"/>
          </reference>
          <reference field="82" count="1" selected="0">
            <x v="3117"/>
          </reference>
          <reference field="85" count="1" selected="0">
            <x v="4"/>
          </reference>
          <reference field="87" count="1">
            <x v="3941"/>
          </reference>
        </references>
      </pivotArea>
    </format>
    <format dxfId="50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511"/>
          </reference>
          <reference field="82" count="1" selected="0">
            <x v="3118"/>
          </reference>
          <reference field="85" count="1" selected="0">
            <x v="4"/>
          </reference>
          <reference field="87" count="1">
            <x v="3942"/>
          </reference>
        </references>
      </pivotArea>
    </format>
    <format dxfId="50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471"/>
          </reference>
          <reference field="82" count="1" selected="0">
            <x v="3119"/>
          </reference>
          <reference field="85" count="1" selected="0">
            <x v="4"/>
          </reference>
          <reference field="87" count="1">
            <x v="3943"/>
          </reference>
        </references>
      </pivotArea>
    </format>
    <format dxfId="50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510"/>
          </reference>
          <reference field="82" count="1" selected="0">
            <x v="3116"/>
          </reference>
          <reference field="85" count="1" selected="0">
            <x v="4"/>
          </reference>
          <reference field="87" count="1">
            <x v="3940"/>
          </reference>
        </references>
      </pivotArea>
    </format>
    <format dxfId="50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83"/>
          </reference>
          <reference field="82" count="1" selected="0">
            <x v="2948"/>
          </reference>
          <reference field="85" count="1" selected="0">
            <x v="7"/>
          </reference>
          <reference field="87" count="1">
            <x v="3795"/>
          </reference>
        </references>
      </pivotArea>
    </format>
    <format dxfId="50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390"/>
          </reference>
          <reference field="82" count="1" selected="0">
            <x v="2949"/>
          </reference>
          <reference field="85" count="1" selected="0">
            <x v="7"/>
          </reference>
          <reference field="87" count="1">
            <x v="3802"/>
          </reference>
        </references>
      </pivotArea>
    </format>
    <format dxfId="50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80"/>
          </reference>
          <reference field="82" count="1" selected="0">
            <x v="3070"/>
          </reference>
          <reference field="85" count="1" selected="0">
            <x v="2"/>
          </reference>
          <reference field="87" count="1">
            <x v="3899"/>
          </reference>
        </references>
      </pivotArea>
    </format>
    <format dxfId="501">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50"/>
          </reference>
          <reference field="82" count="1" selected="0">
            <x v="3128"/>
          </reference>
          <reference field="85" count="1" selected="0">
            <x v="4"/>
          </reference>
          <reference field="87" count="1">
            <x v="3948"/>
          </reference>
        </references>
      </pivotArea>
    </format>
    <format dxfId="500">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448"/>
          </reference>
          <reference field="82" count="1" selected="0">
            <x v="3129"/>
          </reference>
          <reference field="85" count="1" selected="0">
            <x v="4"/>
          </reference>
          <reference field="87" count="1">
            <x v="3949"/>
          </reference>
        </references>
      </pivotArea>
    </format>
    <format dxfId="499">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47"/>
          </reference>
          <reference field="82" count="1" selected="0">
            <x v="26"/>
          </reference>
          <reference field="85" count="1" selected="0">
            <x v="2"/>
          </reference>
          <reference field="87" count="1">
            <x v="804"/>
          </reference>
        </references>
      </pivotArea>
    </format>
    <format dxfId="498">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514"/>
          </reference>
          <reference field="82" count="1" selected="0">
            <x v="3131"/>
          </reference>
          <reference field="85" count="1" selected="0">
            <x v="4"/>
          </reference>
          <reference field="87" count="1">
            <x v="3951"/>
          </reference>
        </references>
      </pivotArea>
    </format>
    <format dxfId="49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x v="3819"/>
          </reference>
        </references>
      </pivotArea>
    </format>
    <format dxfId="49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x v="3814"/>
          </reference>
        </references>
      </pivotArea>
    </format>
    <format dxfId="49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x v="3820"/>
          </reference>
        </references>
      </pivotArea>
    </format>
    <format dxfId="49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x v="3821"/>
          </reference>
        </references>
      </pivotArea>
    </format>
    <format dxfId="493">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9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x v="3927"/>
          </reference>
        </references>
      </pivotArea>
    </format>
    <format dxfId="49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x v="3923"/>
          </reference>
        </references>
      </pivotArea>
    </format>
    <format dxfId="49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48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x v="3926"/>
          </reference>
        </references>
      </pivotArea>
    </format>
    <format dxfId="48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48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x v="3819"/>
          </reference>
        </references>
      </pivotArea>
    </format>
    <format dxfId="48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x v="3814"/>
          </reference>
        </references>
      </pivotArea>
    </format>
    <format dxfId="48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x v="3820"/>
          </reference>
        </references>
      </pivotArea>
    </format>
    <format dxfId="48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x v="3821"/>
          </reference>
        </references>
      </pivotArea>
    </format>
    <format dxfId="483">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8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x v="3927"/>
          </reference>
        </references>
      </pivotArea>
    </format>
    <format dxfId="48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x v="3923"/>
          </reference>
        </references>
      </pivotArea>
    </format>
    <format dxfId="48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47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x v="3926"/>
          </reference>
        </references>
      </pivotArea>
    </format>
    <format dxfId="47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47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x v="3819"/>
          </reference>
        </references>
      </pivotArea>
    </format>
    <format dxfId="47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x v="3814"/>
          </reference>
        </references>
      </pivotArea>
    </format>
    <format dxfId="47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x v="3820"/>
          </reference>
        </references>
      </pivotArea>
    </format>
    <format dxfId="47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x v="3821"/>
          </reference>
        </references>
      </pivotArea>
    </format>
    <format dxfId="473">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7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x v="3927"/>
          </reference>
        </references>
      </pivotArea>
    </format>
    <format dxfId="47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x v="3923"/>
          </reference>
        </references>
      </pivotArea>
    </format>
    <format dxfId="47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x v="3924"/>
          </reference>
        </references>
      </pivotArea>
    </format>
    <format dxfId="46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x v="3926"/>
          </reference>
        </references>
      </pivotArea>
    </format>
    <format dxfId="46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x v="3925"/>
          </reference>
        </references>
      </pivotArea>
    </format>
    <format dxfId="467">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6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513"/>
          </reference>
          <reference field="82" count="1" selected="0">
            <x v="3124"/>
          </reference>
          <reference field="85" count="1" selected="0">
            <x v="4"/>
          </reference>
          <reference field="87" count="1">
            <x v="3947"/>
          </reference>
        </references>
      </pivotArea>
    </format>
    <format dxfId="46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27"/>
          </reference>
          <reference field="85" count="1" selected="0">
            <x v="4"/>
          </reference>
          <reference field="87" count="1">
            <x v="3937"/>
          </reference>
        </references>
      </pivotArea>
    </format>
    <format dxfId="46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125"/>
          </reference>
          <reference field="85" count="1" selected="0">
            <x v="4"/>
          </reference>
          <reference field="87" count="1">
            <x v="3925"/>
          </reference>
        </references>
      </pivotArea>
    </format>
    <format dxfId="46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26"/>
          </reference>
          <reference field="85" count="1" selected="0">
            <x v="4"/>
          </reference>
          <reference field="87" count="1">
            <x v="3936"/>
          </reference>
        </references>
      </pivotArea>
    </format>
    <format dxfId="46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selected="0">
            <x v="2934"/>
          </reference>
          <reference field="85" count="1" selected="0">
            <x v="4"/>
          </reference>
          <reference field="87" count="1">
            <x v="3932"/>
          </reference>
        </references>
      </pivotArea>
    </format>
    <format dxfId="46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3105"/>
          </reference>
          <reference field="85" count="1" selected="0">
            <x v="4"/>
          </reference>
          <reference field="87" count="1">
            <x v="3933"/>
          </reference>
        </references>
      </pivotArea>
    </format>
    <format dxfId="46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06"/>
          </reference>
          <reference field="85" count="1" selected="0">
            <x v="4"/>
          </reference>
          <reference field="87" count="1">
            <x v="3934"/>
          </reference>
        </references>
      </pivotArea>
    </format>
    <format dxfId="45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07"/>
          </reference>
          <reference field="85" count="1" selected="0">
            <x v="4"/>
          </reference>
          <reference field="87" count="1">
            <x v="3935"/>
          </reference>
        </references>
      </pivotArea>
    </format>
    <format dxfId="45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selected="0">
            <x v="2934"/>
          </reference>
          <reference field="85" count="1" selected="0">
            <x v="4"/>
          </reference>
          <reference field="87" count="1">
            <x v="3932"/>
          </reference>
        </references>
      </pivotArea>
    </format>
    <format dxfId="45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3105"/>
          </reference>
          <reference field="85" count="1" selected="0">
            <x v="4"/>
          </reference>
          <reference field="87" count="1">
            <x v="3933"/>
          </reference>
        </references>
      </pivotArea>
    </format>
    <format dxfId="45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06"/>
          </reference>
          <reference field="85" count="1" selected="0">
            <x v="4"/>
          </reference>
          <reference field="87" count="1">
            <x v="3934"/>
          </reference>
        </references>
      </pivotArea>
    </format>
    <format dxfId="45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07"/>
          </reference>
          <reference field="85" count="1" selected="0">
            <x v="4"/>
          </reference>
          <reference field="87" count="1">
            <x v="3935"/>
          </reference>
        </references>
      </pivotArea>
    </format>
    <format dxfId="45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374"/>
          </reference>
          <reference field="82" count="1" selected="0">
            <x v="3094"/>
          </reference>
          <reference field="85" count="1" selected="0">
            <x v="4"/>
          </reference>
          <reference field="87" count="1">
            <x v="3920"/>
          </reference>
        </references>
      </pivotArea>
    </format>
    <format dxfId="45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501"/>
          </reference>
          <reference field="82" count="1" selected="0">
            <x v="3095"/>
          </reference>
          <reference field="85" count="1" selected="0">
            <x v="4"/>
          </reference>
          <reference field="87" count="1">
            <x v="3921"/>
          </reference>
        </references>
      </pivotArea>
    </format>
    <format dxfId="45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500"/>
          </reference>
          <reference field="82" count="1" selected="0">
            <x v="3093"/>
          </reference>
          <reference field="85" count="1" selected="0">
            <x v="4"/>
          </reference>
          <reference field="87" count="1">
            <x v="3919"/>
          </reference>
        </references>
      </pivotArea>
    </format>
    <format dxfId="45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502"/>
          </reference>
          <reference field="82" count="1" selected="0">
            <x v="3096"/>
          </reference>
          <reference field="85" count="1" selected="0">
            <x v="4"/>
          </reference>
          <reference field="87" count="1">
            <x v="3922"/>
          </reference>
        </references>
      </pivotArea>
    </format>
    <format dxfId="450">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449">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448">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478"/>
          </reference>
          <reference field="82" count="1" selected="0">
            <x v="3068"/>
          </reference>
          <reference field="85" count="1" selected="0">
            <x v="2"/>
          </reference>
          <reference field="87" count="1">
            <x v="3897"/>
          </reference>
        </references>
      </pivotArea>
    </format>
    <format dxfId="44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479"/>
          </reference>
          <reference field="82" count="1" selected="0">
            <x v="3069"/>
          </reference>
          <reference field="85" count="1" selected="0">
            <x v="2"/>
          </reference>
          <reference field="87" count="1">
            <x v="3898"/>
          </reference>
        </references>
      </pivotArea>
    </format>
    <format dxfId="44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477"/>
          </reference>
          <reference field="82" count="1" selected="0">
            <x v="3067"/>
          </reference>
          <reference field="85" count="1" selected="0">
            <x v="2"/>
          </reference>
          <reference field="87" count="1">
            <x v="3896"/>
          </reference>
        </references>
      </pivotArea>
    </format>
    <format dxfId="44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x v="3819"/>
          </reference>
        </references>
      </pivotArea>
    </format>
    <format dxfId="44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x v="3814"/>
          </reference>
        </references>
      </pivotArea>
    </format>
    <format dxfId="44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x v="3820"/>
          </reference>
        </references>
      </pivotArea>
    </format>
    <format dxfId="44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x v="3821"/>
          </reference>
        </references>
      </pivotArea>
    </format>
    <format dxfId="441">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selected="0">
            <x v="3101"/>
          </reference>
          <reference field="85" count="1" selected="0">
            <x v="4"/>
          </reference>
          <reference field="87" count="1">
            <x v="3928"/>
          </reference>
        </references>
      </pivotArea>
    </format>
    <format dxfId="44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selected="0">
            <x v="3103"/>
          </reference>
          <reference field="85" count="1" selected="0">
            <x v="4"/>
          </reference>
          <reference field="87" count="1">
            <x v="3930"/>
          </reference>
        </references>
      </pivotArea>
    </format>
    <format dxfId="43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selected="0">
            <x v="3104"/>
          </reference>
          <reference field="85" count="1" selected="0">
            <x v="4"/>
          </reference>
          <reference field="87" count="1">
            <x v="3931"/>
          </reference>
        </references>
      </pivotArea>
    </format>
    <format dxfId="43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selected="0">
            <x v="3102"/>
          </reference>
          <reference field="85" count="1" selected="0">
            <x v="4"/>
          </reference>
          <reference field="87" count="1">
            <x v="3929"/>
          </reference>
        </references>
      </pivotArea>
    </format>
    <format dxfId="437">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selected="0">
            <x v="3101"/>
          </reference>
          <reference field="85" count="1" selected="0">
            <x v="4"/>
          </reference>
          <reference field="87" count="1">
            <x v="3928"/>
          </reference>
        </references>
      </pivotArea>
    </format>
    <format dxfId="43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selected="0">
            <x v="3103"/>
          </reference>
          <reference field="85" count="1" selected="0">
            <x v="4"/>
          </reference>
          <reference field="87" count="1">
            <x v="3930"/>
          </reference>
        </references>
      </pivotArea>
    </format>
    <format dxfId="43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selected="0">
            <x v="3104"/>
          </reference>
          <reference field="85" count="1" selected="0">
            <x v="4"/>
          </reference>
          <reference field="87" count="1">
            <x v="3931"/>
          </reference>
        </references>
      </pivotArea>
    </format>
    <format dxfId="43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selected="0">
            <x v="3102"/>
          </reference>
          <reference field="85" count="1" selected="0">
            <x v="4"/>
          </reference>
          <reference field="87" count="1">
            <x v="3929"/>
          </reference>
        </references>
      </pivotArea>
    </format>
    <format dxfId="433">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43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71"/>
          </reference>
          <reference field="82" count="1" selected="0">
            <x v="2926"/>
          </reference>
          <reference field="85" count="1" selected="0">
            <x v="3"/>
          </reference>
          <reference field="87" count="1">
            <x v="3783"/>
          </reference>
        </references>
      </pivotArea>
    </format>
    <format dxfId="43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515"/>
          </reference>
          <reference field="82" count="1" selected="0">
            <x v="3133"/>
          </reference>
          <reference field="85" count="1" selected="0">
            <x v="4"/>
          </reference>
          <reference field="87" count="1">
            <x v="3953"/>
          </reference>
        </references>
      </pivotArea>
    </format>
    <format dxfId="430">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429">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0"/>
          </reference>
          <reference field="85" count="1" selected="0">
            <x v="7"/>
          </reference>
          <reference field="87" count="1">
            <x v="3810"/>
          </reference>
        </references>
      </pivotArea>
    </format>
    <format dxfId="428">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72"/>
          </reference>
          <reference field="82" count="1" selected="0">
            <x v="2927"/>
          </reference>
          <reference field="85" count="1" selected="0">
            <x v="3"/>
          </reference>
          <reference field="87" count="1">
            <x v="3784"/>
          </reference>
        </references>
      </pivotArea>
    </format>
    <format dxfId="427">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1"/>
          </reference>
          <reference field="85" count="1" selected="0">
            <x v="7"/>
          </reference>
          <reference field="87" count="1">
            <x v="3810"/>
          </reference>
        </references>
      </pivotArea>
    </format>
    <format dxfId="426">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45"/>
          </reference>
          <reference field="82" count="1" selected="0">
            <x v="2021"/>
          </reference>
          <reference field="85" count="1" selected="0">
            <x v="2"/>
          </reference>
          <reference field="87" count="1">
            <x v="2929"/>
          </reference>
        </references>
      </pivotArea>
    </format>
    <format dxfId="425">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424">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517"/>
          </reference>
          <reference field="82" count="1" selected="0">
            <x v="3135"/>
          </reference>
          <reference field="85" count="1" selected="0">
            <x v="7"/>
          </reference>
          <reference field="87" count="1">
            <x v="3955"/>
          </reference>
        </references>
      </pivotArea>
    </format>
    <format dxfId="423">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 field="85" count="1" selected="0">
            <x v="7"/>
          </reference>
          <reference field="87" count="1">
            <x v="3957"/>
          </reference>
        </references>
      </pivotArea>
    </format>
    <format dxfId="422">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421">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48"/>
          </reference>
          <reference field="82" count="1" selected="0">
            <x v="2024"/>
          </reference>
          <reference field="85" count="1" selected="0">
            <x v="2"/>
          </reference>
          <reference field="87" count="1">
            <x v="2932"/>
          </reference>
        </references>
      </pivotArea>
    </format>
    <format dxfId="420">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 field="85" count="1" selected="0">
            <x v="2"/>
          </reference>
          <reference field="87" count="1">
            <x v="2930"/>
          </reference>
        </references>
      </pivotArea>
    </format>
    <format dxfId="419">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518"/>
          </reference>
          <reference field="82" count="1" selected="0">
            <x v="3136"/>
          </reference>
          <reference field="85" count="1" selected="0">
            <x v="7"/>
          </reference>
          <reference field="87" count="1">
            <x v="3956"/>
          </reference>
        </references>
      </pivotArea>
    </format>
    <format dxfId="418">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94"/>
          </reference>
          <reference field="82" count="1" selected="0">
            <x v="2953"/>
          </reference>
          <reference field="85" count="1" selected="0">
            <x v="2"/>
          </reference>
          <reference field="87" count="1">
            <x v="3806"/>
          </reference>
        </references>
      </pivotArea>
    </format>
    <format dxfId="417">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520"/>
          </reference>
          <reference field="82" count="1" selected="0">
            <x v="3138"/>
          </reference>
          <reference field="85" count="1" selected="0">
            <x v="8"/>
          </reference>
          <reference field="87" count="1">
            <x v="3958"/>
          </reference>
        </references>
      </pivotArea>
    </format>
    <format dxfId="416">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 field="85" count="1" selected="0">
            <x v="7"/>
          </reference>
          <reference field="87" count="1">
            <x v="3957"/>
          </reference>
        </references>
      </pivotArea>
    </format>
    <format dxfId="415">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 field="85" count="1" selected="0">
            <x v="2"/>
          </reference>
          <reference field="87" count="1">
            <x v="2930"/>
          </reference>
        </references>
      </pivotArea>
    </format>
    <format dxfId="414">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549"/>
          </reference>
          <reference field="82" count="1" selected="0">
            <x v="2025"/>
          </reference>
          <reference field="85" count="1" selected="0">
            <x v="2"/>
          </reference>
          <reference field="87" count="1">
            <x v="2933"/>
          </reference>
        </references>
      </pivotArea>
    </format>
    <format dxfId="413">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547"/>
          </reference>
          <reference field="82" count="1" selected="0">
            <x v="2023"/>
          </reference>
          <reference field="85" count="1" selected="0">
            <x v="2"/>
          </reference>
          <reference field="87" count="1">
            <x v="2931"/>
          </reference>
        </references>
      </pivotArea>
    </format>
    <format dxfId="412">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411">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410">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409">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408">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370"/>
          </reference>
          <reference field="82" count="1" selected="0">
            <x v="2925"/>
          </reference>
          <reference field="85" count="1" selected="0">
            <x v="3"/>
          </reference>
          <reference field="87" count="1">
            <x v="3782"/>
          </reference>
        </references>
      </pivotArea>
    </format>
    <format dxfId="407">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47"/>
          </reference>
          <reference field="82" count="1" selected="0">
            <x v="3130"/>
          </reference>
          <reference field="85" count="1" selected="0">
            <x v="4"/>
          </reference>
          <reference field="87" count="1">
            <x v="3950"/>
          </reference>
        </references>
      </pivotArea>
    </format>
    <format dxfId="40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selected="0">
            <x v="2"/>
          </reference>
          <reference field="87" count="1">
            <x v="3890"/>
          </reference>
        </references>
      </pivotArea>
    </format>
    <format dxfId="40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472"/>
          </reference>
          <reference field="82" count="1" selected="0">
            <x v="3061"/>
          </reference>
          <reference field="85" count="1" selected="0">
            <x v="2"/>
          </reference>
          <reference field="87" count="1">
            <x v="3891"/>
          </reference>
        </references>
      </pivotArea>
    </format>
    <format dxfId="40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477"/>
          </reference>
          <reference field="82" count="1" selected="0">
            <x v="3066"/>
          </reference>
          <reference field="85" count="1" selected="0">
            <x v="2"/>
          </reference>
          <reference field="87" count="1">
            <x v="3896"/>
          </reference>
        </references>
      </pivotArea>
    </format>
    <format dxfId="40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475"/>
          </reference>
          <reference field="82" count="1" selected="0">
            <x v="3064"/>
          </reference>
          <reference field="85" count="1" selected="0">
            <x v="2"/>
          </reference>
          <reference field="87" count="1">
            <x v="3894"/>
          </reference>
        </references>
      </pivotArea>
    </format>
    <format dxfId="40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474"/>
          </reference>
          <reference field="82" count="1" selected="0">
            <x v="3063"/>
          </reference>
          <reference field="85" count="1" selected="0">
            <x v="2"/>
          </reference>
          <reference field="87" count="1">
            <x v="3893"/>
          </reference>
        </references>
      </pivotArea>
    </format>
    <format dxfId="40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473"/>
          </reference>
          <reference field="82" count="1" selected="0">
            <x v="3062"/>
          </reference>
          <reference field="85" count="1" selected="0">
            <x v="2"/>
          </reference>
          <reference field="87" count="1">
            <x v="3892"/>
          </reference>
        </references>
      </pivotArea>
    </format>
    <format dxfId="40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selected="0">
            <x v="3059"/>
          </reference>
          <reference field="85" count="1" selected="0">
            <x v="2"/>
          </reference>
          <reference field="87" count="1">
            <x v="3889"/>
          </reference>
        </references>
      </pivotArea>
    </format>
    <format dxfId="39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476"/>
          </reference>
          <reference field="82" count="1" selected="0">
            <x v="3065"/>
          </reference>
          <reference field="85" count="1" selected="0">
            <x v="2"/>
          </reference>
          <reference field="87" count="1">
            <x v="3895"/>
          </reference>
        </references>
      </pivotArea>
    </format>
    <format dxfId="398">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516"/>
          </reference>
          <reference field="82" count="1" selected="0">
            <x v="3134"/>
          </reference>
          <reference field="85" count="1" selected="0">
            <x v="4"/>
          </reference>
          <reference field="87" count="1">
            <x v="3954"/>
          </reference>
        </references>
      </pivotArea>
    </format>
    <format dxfId="397">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97"/>
          </reference>
          <reference field="82" count="1" selected="0">
            <x v="2959"/>
          </reference>
          <reference field="85" count="1" selected="0">
            <x v="2"/>
          </reference>
          <reference field="87" count="1">
            <x v="3809"/>
          </reference>
        </references>
      </pivotArea>
    </format>
    <format dxfId="396">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7"/>
          </reference>
          <reference field="85" count="1" selected="0">
            <x v="7"/>
          </reference>
          <reference field="87" count="1">
            <x v="3808"/>
          </reference>
        </references>
      </pivotArea>
    </format>
    <format dxfId="39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selected="0">
            <x v="2"/>
          </reference>
          <reference field="87" count="1">
            <x v="3890"/>
          </reference>
        </references>
      </pivotArea>
    </format>
    <format dxfId="39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selected="0">
            <x v="3059"/>
          </reference>
          <reference field="85" count="1" selected="0">
            <x v="2"/>
          </reference>
          <reference field="87" count="1">
            <x v="3889"/>
          </reference>
        </references>
      </pivotArea>
    </format>
    <format dxfId="393">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8"/>
          </reference>
          <reference field="85" count="1" selected="0">
            <x v="7"/>
          </reference>
          <reference field="87" count="1">
            <x v="3808"/>
          </reference>
        </references>
      </pivotArea>
    </format>
    <format dxfId="392">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431"/>
          </reference>
          <reference field="82" count="1" selected="0">
            <x v="3123"/>
          </reference>
          <reference field="85" count="1" selected="0">
            <x v="4"/>
          </reference>
          <reference field="87" count="1">
            <x v="3946"/>
          </reference>
        </references>
      </pivotArea>
    </format>
    <format dxfId="391">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390">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89"/>
          </reference>
          <reference field="82" count="1" selected="0">
            <x v="3081"/>
          </reference>
          <reference field="85" count="1" selected="0">
            <x v="7"/>
          </reference>
          <reference field="87" count="1">
            <x v="3908"/>
          </reference>
        </references>
      </pivotArea>
    </format>
    <format dxfId="389">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491"/>
          </reference>
          <reference field="82" count="1" selected="0">
            <x v="3083"/>
          </reference>
          <reference field="85" count="1" selected="0">
            <x v="7"/>
          </reference>
          <reference field="87" count="1">
            <x v="3910"/>
          </reference>
        </references>
      </pivotArea>
    </format>
    <format dxfId="38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392"/>
          </reference>
          <reference field="82" count="1" selected="0">
            <x v="2951"/>
          </reference>
          <reference field="85" count="1" selected="0">
            <x v="7"/>
          </reference>
          <reference field="87" count="1">
            <x v="3804"/>
          </reference>
        </references>
      </pivotArea>
    </format>
    <format dxfId="38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391"/>
          </reference>
          <reference field="82" count="1" selected="0">
            <x v="2950"/>
          </reference>
          <reference field="85" count="1" selected="0">
            <x v="7"/>
          </reference>
          <reference field="87" count="1">
            <x v="3803"/>
          </reference>
        </references>
      </pivotArea>
    </format>
    <format dxfId="386">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416"/>
          </reference>
          <reference field="82" count="1" selected="0">
            <x v="2979"/>
          </reference>
          <reference field="85" count="1" selected="0">
            <x v="4"/>
          </reference>
          <reference field="87" count="1">
            <x v="3828"/>
          </reference>
        </references>
      </pivotArea>
    </format>
    <format dxfId="385">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417"/>
          </reference>
          <reference field="82" count="1" selected="0">
            <x v="2980"/>
          </reference>
          <reference field="85" count="1" selected="0">
            <x v="4"/>
          </reference>
          <reference field="87" count="1">
            <x v="3829"/>
          </reference>
        </references>
      </pivotArea>
    </format>
    <format dxfId="384">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414"/>
          </reference>
          <reference field="82" count="1" selected="0">
            <x v="2977"/>
          </reference>
          <reference field="85" count="1" selected="0">
            <x v="4"/>
          </reference>
          <reference field="87" count="1">
            <x v="3826"/>
          </reference>
        </references>
      </pivotArea>
    </format>
    <format dxfId="383">
      <pivotArea dataOnly="0" labelOnly="1" outline="0" fieldPosition="0">
        <references count="13">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415"/>
          </reference>
          <reference field="82" count="1" selected="0">
            <x v="2978"/>
          </reference>
          <reference field="85" count="1" selected="0">
            <x v="4"/>
          </reference>
          <reference field="87" count="1">
            <x v="3827"/>
          </reference>
        </references>
      </pivotArea>
    </format>
    <format dxfId="382">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410"/>
          </reference>
          <reference field="82" count="1" selected="0">
            <x v="2973"/>
          </reference>
          <reference field="85" count="1" selected="0">
            <x v="4"/>
          </reference>
          <reference field="87" count="1">
            <x v="3822"/>
          </reference>
        </references>
      </pivotArea>
    </format>
    <format dxfId="381">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411"/>
          </reference>
          <reference field="82" count="1" selected="0">
            <x v="2974"/>
          </reference>
          <reference field="85" count="1" selected="0">
            <x v="4"/>
          </reference>
          <reference field="87" count="1">
            <x v="3823"/>
          </reference>
        </references>
      </pivotArea>
    </format>
    <format dxfId="380">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412"/>
          </reference>
          <reference field="82" count="1" selected="0">
            <x v="2975"/>
          </reference>
          <reference field="85" count="1" selected="0">
            <x v="4"/>
          </reference>
          <reference field="87" count="1">
            <x v="3824"/>
          </reference>
        </references>
      </pivotArea>
    </format>
    <format dxfId="379">
      <pivotArea dataOnly="0" labelOnly="1" outline="0" fieldPosition="0">
        <references count="13">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413"/>
          </reference>
          <reference field="82" count="1" selected="0">
            <x v="2976"/>
          </reference>
          <reference field="85" count="1" selected="0">
            <x v="4"/>
          </reference>
          <reference field="87" count="1">
            <x v="3825"/>
          </reference>
        </references>
      </pivotArea>
    </format>
    <format dxfId="378">
      <pivotArea dataOnly="0" labelOnly="1" outline="0" fieldPosition="0">
        <references count="13">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377">
      <pivotArea dataOnly="0" labelOnly="1" outline="0" fieldPosition="0">
        <references count="13">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376">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504"/>
          </reference>
          <reference field="82" count="1" selected="0">
            <x v="3110"/>
          </reference>
          <reference field="85" count="1" selected="0">
            <x v="4"/>
          </reference>
          <reference field="87" count="1">
            <x v="3930"/>
          </reference>
        </references>
      </pivotArea>
    </format>
    <format dxfId="375">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2920"/>
          </reference>
          <reference field="85" count="1" selected="0">
            <x v="4"/>
          </reference>
          <reference field="87" count="1">
            <x v="3933"/>
          </reference>
        </references>
      </pivotArea>
    </format>
    <format dxfId="374">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11"/>
          </reference>
          <reference field="85" count="1" selected="0">
            <x v="4"/>
          </reference>
          <reference field="87" count="1">
            <x v="3934"/>
          </reference>
        </references>
      </pivotArea>
    </format>
    <format dxfId="373">
      <pivotArea dataOnly="0" labelOnly="1" outline="0" fieldPosition="0">
        <references count="13">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12"/>
          </reference>
          <reference field="85" count="1" selected="0">
            <x v="4"/>
          </reference>
          <reference field="87" count="1">
            <x v="3935"/>
          </reference>
        </references>
      </pivotArea>
    </format>
    <format dxfId="372">
      <pivotArea dataOnly="0" labelOnly="1" outline="0" fieldPosition="0">
        <references count="13">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x v="3903"/>
          </reference>
        </references>
      </pivotArea>
    </format>
    <format dxfId="37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63"/>
          </reference>
          <reference field="85" count="1" selected="0">
            <x v="4"/>
          </reference>
          <reference field="87" count="1" selected="0">
            <x v="3812"/>
          </reference>
          <reference field="88" count="1">
            <x v="2754"/>
          </reference>
        </references>
      </pivotArea>
    </format>
    <format dxfId="37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selected="0">
            <x v="3814"/>
          </reference>
          <reference field="88" count="1">
            <x v="2756"/>
          </reference>
        </references>
      </pivotArea>
    </format>
    <format dxfId="36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selected="0">
            <x v="2966"/>
          </reference>
          <reference field="85" count="1" selected="0">
            <x v="4"/>
          </reference>
          <reference field="87" count="1" selected="0">
            <x v="3815"/>
          </reference>
          <reference field="88" count="1">
            <x v="2757"/>
          </reference>
        </references>
      </pivotArea>
    </format>
    <format dxfId="36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selected="0">
            <x v="2962"/>
          </reference>
          <reference field="85" count="1" selected="0">
            <x v="4"/>
          </reference>
          <reference field="87" count="1" selected="0">
            <x v="3811"/>
          </reference>
          <reference field="88" count="1">
            <x v="2753"/>
          </reference>
        </references>
      </pivotArea>
    </format>
    <format dxfId="36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selected="0">
            <x v="2967"/>
          </reference>
          <reference field="85" count="1" selected="0">
            <x v="4"/>
          </reference>
          <reference field="87" count="1" selected="0">
            <x v="3816"/>
          </reference>
          <reference field="88" count="1">
            <x v="2758"/>
          </reference>
        </references>
      </pivotArea>
    </format>
    <format dxfId="36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selected="0">
            <x v="2968"/>
          </reference>
          <reference field="85" count="1" selected="0">
            <x v="4"/>
          </reference>
          <reference field="87" count="1" selected="0">
            <x v="3817"/>
          </reference>
          <reference field="88" count="1">
            <x v="2759"/>
          </reference>
        </references>
      </pivotArea>
    </format>
    <format dxfId="36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selected="0">
            <x v="2969"/>
          </reference>
          <reference field="85" count="1" selected="0">
            <x v="4"/>
          </reference>
          <reference field="87" count="1" selected="0">
            <x v="3818"/>
          </reference>
          <reference field="88" count="1">
            <x v="2760"/>
          </reference>
        </references>
      </pivotArea>
    </format>
    <format dxfId="36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selected="0">
            <x v="2964"/>
          </reference>
          <reference field="85" count="1" selected="0">
            <x v="4"/>
          </reference>
          <reference field="87" count="1" selected="0">
            <x v="3813"/>
          </reference>
          <reference field="88" count="1">
            <x v="2755"/>
          </reference>
        </references>
      </pivotArea>
    </format>
    <format dxfId="363">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3"/>
          </reference>
          <reference field="85" count="1" selected="0">
            <x v="0"/>
          </reference>
          <reference field="87" count="1" selected="0">
            <x v="3855"/>
          </reference>
          <reference field="88" count="1">
            <x v="2814"/>
          </reference>
        </references>
      </pivotArea>
    </format>
    <format dxfId="362">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4"/>
          </reference>
          <reference field="85" count="1" selected="0">
            <x v="0"/>
          </reference>
          <reference field="87" count="1" selected="0">
            <x v="3856"/>
          </reference>
          <reference field="88" count="1">
            <x v="2815"/>
          </reference>
        </references>
      </pivotArea>
    </format>
    <format dxfId="361">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5"/>
          </reference>
          <reference field="85" count="1" selected="0">
            <x v="0"/>
          </reference>
          <reference field="87" count="1" selected="0">
            <x v="3857"/>
          </reference>
          <reference field="88" count="1">
            <x v="2816"/>
          </reference>
        </references>
      </pivotArea>
    </format>
    <format dxfId="360">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selected="0">
            <x v="3900"/>
          </reference>
          <reference field="88" count="1">
            <x v="2862"/>
          </reference>
        </references>
      </pivotArea>
    </format>
    <format dxfId="359">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selected="0">
            <x v="3901"/>
          </reference>
          <reference field="88" count="1">
            <x v="2863"/>
          </reference>
        </references>
      </pivotArea>
    </format>
    <format dxfId="35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35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selected="0">
            <x v="3937"/>
          </reference>
          <reference field="88" count="1">
            <x v="2902"/>
          </reference>
        </references>
      </pivotArea>
    </format>
    <format dxfId="35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35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selected="0">
            <x v="3936"/>
          </reference>
          <reference field="88" count="1">
            <x v="2901"/>
          </reference>
        </references>
      </pivotArea>
    </format>
    <format dxfId="35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selected="0">
            <x v="3900"/>
          </reference>
          <reference field="88" count="1">
            <x v="2864"/>
          </reference>
        </references>
      </pivotArea>
    </format>
    <format dxfId="353">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selected="0">
            <x v="3902"/>
          </reference>
          <reference field="88" count="1">
            <x v="2865"/>
          </reference>
        </references>
      </pivotArea>
    </format>
    <format dxfId="352">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35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selected="0">
            <x v="3855"/>
          </reference>
          <reference field="88" count="1">
            <x v="2811"/>
          </reference>
        </references>
      </pivotArea>
    </format>
    <format dxfId="35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selected="0">
            <x v="3856"/>
          </reference>
          <reference field="88" count="1">
            <x v="2812"/>
          </reference>
        </references>
      </pivotArea>
    </format>
    <format dxfId="34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selected="0">
            <x v="3857"/>
          </reference>
          <reference field="88" count="1">
            <x v="2813"/>
          </reference>
        </references>
      </pivotArea>
    </format>
    <format dxfId="34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selected="0">
            <x v="3854"/>
          </reference>
          <reference field="88" count="1">
            <x v="2810"/>
          </reference>
        </references>
      </pivotArea>
    </format>
    <format dxfId="34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selected="0">
            <x v="3900"/>
          </reference>
          <reference field="88" count="1">
            <x v="2864"/>
          </reference>
        </references>
      </pivotArea>
    </format>
    <format dxfId="34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selected="0">
            <x v="3902"/>
          </reference>
          <reference field="88" count="1">
            <x v="2865"/>
          </reference>
        </references>
      </pivotArea>
    </format>
    <format dxfId="34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selected="0">
            <x v="3855"/>
          </reference>
          <reference field="88" count="1">
            <x v="2811"/>
          </reference>
        </references>
      </pivotArea>
    </format>
    <format dxfId="34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selected="0">
            <x v="3856"/>
          </reference>
          <reference field="88" count="1">
            <x v="2812"/>
          </reference>
        </references>
      </pivotArea>
    </format>
    <format dxfId="34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selected="0">
            <x v="3857"/>
          </reference>
          <reference field="88" count="1">
            <x v="2813"/>
          </reference>
        </references>
      </pivotArea>
    </format>
    <format dxfId="34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selected="0">
            <x v="3854"/>
          </reference>
          <reference field="88" count="1">
            <x v="2810"/>
          </reference>
        </references>
      </pivotArea>
    </format>
    <format dxfId="341">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340">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selected="0">
            <x v="3900"/>
          </reference>
          <reference field="88" count="1">
            <x v="2864"/>
          </reference>
        </references>
      </pivotArea>
    </format>
    <format dxfId="339">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selected="0">
            <x v="3902"/>
          </reference>
          <reference field="88" count="1">
            <x v="2865"/>
          </reference>
        </references>
      </pivotArea>
    </format>
    <format dxfId="338">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selected="0">
            <x v="2945"/>
          </reference>
          <reference field="85" count="1" selected="0">
            <x v="7"/>
          </reference>
          <reference field="87" count="1" selected="0">
            <x v="3801"/>
          </reference>
          <reference field="88" count="1">
            <x v="2736"/>
          </reference>
        </references>
      </pivotArea>
    </format>
    <format dxfId="337">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7"/>
          </reference>
          <reference field="85" count="1" selected="0">
            <x v="7"/>
          </reference>
          <reference field="87" count="1" selected="0">
            <x v="3794"/>
          </reference>
          <reference field="88" count="1">
            <x v="2738"/>
          </reference>
        </references>
      </pivotArea>
    </format>
    <format dxfId="33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36"/>
          </reference>
          <reference field="82" count="1" selected="0">
            <x v="3015"/>
          </reference>
          <reference field="85" count="1" selected="0">
            <x v="0"/>
          </reference>
          <reference field="87" count="1" selected="0">
            <x v="3850"/>
          </reference>
          <reference field="88" count="1">
            <x v="2806"/>
          </reference>
        </references>
      </pivotArea>
    </format>
    <format dxfId="33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 field="85" count="1" selected="0">
            <x v="0"/>
          </reference>
          <reference field="87" count="1" selected="0">
            <x v="3853"/>
          </reference>
          <reference field="88" count="1">
            <x v="2809"/>
          </reference>
        </references>
      </pivotArea>
    </format>
    <format dxfId="33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selected="0">
            <x v="3016"/>
          </reference>
          <reference field="85" count="1" selected="0">
            <x v="0"/>
          </reference>
          <reference field="87" count="1" selected="0">
            <x v="3851"/>
          </reference>
          <reference field="88" count="1">
            <x v="2807"/>
          </reference>
        </references>
      </pivotArea>
    </format>
    <format dxfId="33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selected="0">
            <x v="3017"/>
          </reference>
          <reference field="85" count="1" selected="0">
            <x v="0"/>
          </reference>
          <reference field="87" count="1" selected="0">
            <x v="3852"/>
          </reference>
          <reference field="88" count="1">
            <x v="2808"/>
          </reference>
        </references>
      </pivotArea>
    </format>
    <format dxfId="332">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31">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selected="0">
            <x v="3900"/>
          </reference>
          <reference field="88" count="1">
            <x v="2862"/>
          </reference>
        </references>
      </pivotArea>
    </format>
    <format dxfId="330">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selected="0">
            <x v="3901"/>
          </reference>
          <reference field="88" count="1">
            <x v="2863"/>
          </reference>
        </references>
      </pivotArea>
    </format>
    <format dxfId="32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32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selected="0">
            <x v="3937"/>
          </reference>
          <reference field="88" count="1">
            <x v="2902"/>
          </reference>
        </references>
      </pivotArea>
    </format>
    <format dxfId="32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32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selected="0">
            <x v="3936"/>
          </reference>
          <reference field="88" count="1">
            <x v="2901"/>
          </reference>
        </references>
      </pivotArea>
    </format>
    <format dxfId="325">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5"/>
          </reference>
          <reference field="85" count="1" selected="0">
            <x v="7"/>
          </reference>
          <reference field="87" count="1" selected="0">
            <x v="3795"/>
          </reference>
          <reference field="88" count="1">
            <x v="2746"/>
          </reference>
        </references>
      </pivotArea>
    </format>
    <format dxfId="324">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89"/>
          </reference>
          <reference field="82" count="1" selected="0">
            <x v="2946"/>
          </reference>
          <reference field="85" count="1" selected="0">
            <x v="7"/>
          </reference>
          <reference field="87" count="1" selected="0">
            <x v="3801"/>
          </reference>
          <reference field="88" count="1">
            <x v="2737"/>
          </reference>
        </references>
      </pivotArea>
    </format>
    <format dxfId="32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400"/>
          </reference>
          <reference field="82" count="1" selected="0">
            <x v="2999"/>
          </reference>
          <reference field="85" count="1" selected="0">
            <x v="4"/>
          </reference>
          <reference field="87" count="1" selected="0">
            <x v="3812"/>
          </reference>
          <reference field="88" count="1">
            <x v="2790"/>
          </reference>
        </references>
      </pivotArea>
    </format>
    <format dxfId="32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402"/>
          </reference>
          <reference field="82" count="1" selected="0">
            <x v="3001"/>
          </reference>
          <reference field="85" count="1" selected="0">
            <x v="4"/>
          </reference>
          <reference field="87" count="1" selected="0">
            <x v="3814"/>
          </reference>
          <reference field="88" count="1">
            <x v="2792"/>
          </reference>
        </references>
      </pivotArea>
    </format>
    <format dxfId="32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403"/>
          </reference>
          <reference field="82" count="1" selected="0">
            <x v="3002"/>
          </reference>
          <reference field="85" count="1" selected="0">
            <x v="4"/>
          </reference>
          <reference field="87" count="1" selected="0">
            <x v="3815"/>
          </reference>
          <reference field="88" count="1">
            <x v="2793"/>
          </reference>
        </references>
      </pivotArea>
    </format>
    <format dxfId="32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99"/>
          </reference>
          <reference field="82" count="1" selected="0">
            <x v="2998"/>
          </reference>
          <reference field="85" count="1" selected="0">
            <x v="4"/>
          </reference>
          <reference field="87" count="1" selected="0">
            <x v="3811"/>
          </reference>
          <reference field="88" count="1">
            <x v="2789"/>
          </reference>
        </references>
      </pivotArea>
    </format>
    <format dxfId="31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404"/>
          </reference>
          <reference field="82" count="1" selected="0">
            <x v="3003"/>
          </reference>
          <reference field="85" count="1" selected="0">
            <x v="4"/>
          </reference>
          <reference field="87" count="1" selected="0">
            <x v="3816"/>
          </reference>
          <reference field="88" count="1">
            <x v="2794"/>
          </reference>
        </references>
      </pivotArea>
    </format>
    <format dxfId="31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405"/>
          </reference>
          <reference field="82" count="1" selected="0">
            <x v="3004"/>
          </reference>
          <reference field="85" count="1" selected="0">
            <x v="4"/>
          </reference>
          <reference field="87" count="1" selected="0">
            <x v="3817"/>
          </reference>
          <reference field="88" count="1">
            <x v="2795"/>
          </reference>
        </references>
      </pivotArea>
    </format>
    <format dxfId="31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406"/>
          </reference>
          <reference field="82" count="1" selected="0">
            <x v="3005"/>
          </reference>
          <reference field="85" count="1" selected="0">
            <x v="4"/>
          </reference>
          <reference field="87" count="1" selected="0">
            <x v="3818"/>
          </reference>
          <reference field="88" count="1">
            <x v="2796"/>
          </reference>
        </references>
      </pivotArea>
    </format>
    <format dxfId="31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401"/>
          </reference>
          <reference field="82" count="1" selected="0">
            <x v="3000"/>
          </reference>
          <reference field="85" count="1" selected="0">
            <x v="4"/>
          </reference>
          <reference field="87" count="1" selected="0">
            <x v="3813"/>
          </reference>
          <reference field="88" count="1">
            <x v="2791"/>
          </reference>
        </references>
      </pivotArea>
    </format>
    <format dxfId="31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selected="0">
            <x v="3855"/>
          </reference>
          <reference field="88" count="1">
            <x v="2811"/>
          </reference>
        </references>
      </pivotArea>
    </format>
    <format dxfId="31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42"/>
          </reference>
          <reference field="82" count="1" selected="0">
            <x v="3021"/>
          </reference>
          <reference field="85" count="1" selected="0">
            <x v="0"/>
          </reference>
          <reference field="87" count="1" selected="0">
            <x v="3856"/>
          </reference>
          <reference field="88" count="1">
            <x v="2812"/>
          </reference>
        </references>
      </pivotArea>
    </format>
    <format dxfId="31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43"/>
          </reference>
          <reference field="82" count="1" selected="0">
            <x v="3022"/>
          </reference>
          <reference field="85" count="1" selected="0">
            <x v="0"/>
          </reference>
          <reference field="87" count="1" selected="0">
            <x v="3857"/>
          </reference>
          <reference field="88" count="1">
            <x v="2813"/>
          </reference>
        </references>
      </pivotArea>
    </format>
    <format dxfId="31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40"/>
          </reference>
          <reference field="82" count="1" selected="0">
            <x v="3019"/>
          </reference>
          <reference field="85" count="1" selected="0">
            <x v="0"/>
          </reference>
          <reference field="87" count="1" selected="0">
            <x v="3854"/>
          </reference>
          <reference field="88" count="1">
            <x v="2810"/>
          </reference>
        </references>
      </pivotArea>
    </format>
    <format dxfId="311">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83"/>
          </reference>
          <reference field="82" count="1" selected="0">
            <x v="2954"/>
          </reference>
          <reference field="85" count="1" selected="0">
            <x v="7"/>
          </reference>
          <reference field="87" count="1" selected="0">
            <x v="3795"/>
          </reference>
          <reference field="88" count="1">
            <x v="2745"/>
          </reference>
        </references>
      </pivotArea>
    </format>
    <format dxfId="310">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09">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selected="0">
            <x v="3900"/>
          </reference>
          <reference field="88" count="1">
            <x v="2862"/>
          </reference>
        </references>
      </pivotArea>
    </format>
    <format dxfId="308">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selected="0">
            <x v="3901"/>
          </reference>
          <reference field="88" count="1">
            <x v="2863"/>
          </reference>
        </references>
      </pivotArea>
    </format>
    <format dxfId="30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39"/>
          </reference>
          <reference field="82" count="1" selected="0">
            <x v="3018"/>
          </reference>
          <reference field="85" count="1" selected="0">
            <x v="0"/>
          </reference>
          <reference field="87" count="1" selected="0">
            <x v="3853"/>
          </reference>
          <reference field="88" count="1">
            <x v="2809"/>
          </reference>
        </references>
      </pivotArea>
    </format>
    <format dxfId="306">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37"/>
          </reference>
          <reference field="82" count="1" selected="0">
            <x v="3016"/>
          </reference>
          <reference field="85" count="1" selected="0">
            <x v="0"/>
          </reference>
          <reference field="87" count="1" selected="0">
            <x v="3851"/>
          </reference>
          <reference field="88" count="1">
            <x v="2807"/>
          </reference>
        </references>
      </pivotArea>
    </format>
    <format dxfId="30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38"/>
          </reference>
          <reference field="82" count="1" selected="0">
            <x v="3017"/>
          </reference>
          <reference field="85" count="1" selected="0">
            <x v="0"/>
          </reference>
          <reference field="87" count="1" selected="0">
            <x v="3852"/>
          </reference>
          <reference field="88" count="1">
            <x v="2808"/>
          </reference>
        </references>
      </pivotArea>
    </format>
    <format dxfId="304">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03">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1"/>
          </reference>
          <reference field="85" count="1" selected="0">
            <x v="7"/>
          </reference>
          <reference field="87" count="1" selected="0">
            <x v="3900"/>
          </reference>
          <reference field="88" count="1">
            <x v="2862"/>
          </reference>
        </references>
      </pivotArea>
    </format>
    <format dxfId="30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82"/>
          </reference>
          <reference field="82" count="1" selected="0">
            <x v="3072"/>
          </reference>
          <reference field="85" count="1" selected="0">
            <x v="7"/>
          </reference>
          <reference field="87" count="1" selected="0">
            <x v="3901"/>
          </reference>
          <reference field="88" count="1">
            <x v="2863"/>
          </reference>
        </references>
      </pivotArea>
    </format>
    <format dxfId="30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30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09"/>
          </reference>
          <reference field="85" count="1" selected="0">
            <x v="4"/>
          </reference>
          <reference field="87" count="1" selected="0">
            <x v="3937"/>
          </reference>
          <reference field="88" count="1">
            <x v="2902"/>
          </reference>
        </references>
      </pivotArea>
    </format>
    <format dxfId="29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29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08"/>
          </reference>
          <reference field="85" count="1" selected="0">
            <x v="4"/>
          </reference>
          <reference field="87" count="1" selected="0">
            <x v="3936"/>
          </reference>
          <reference field="88" count="1">
            <x v="2901"/>
          </reference>
        </references>
      </pivotArea>
    </format>
    <format dxfId="297">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81"/>
          </reference>
          <reference field="82" count="1" selected="0">
            <x v="3073"/>
          </reference>
          <reference field="85" count="1" selected="0">
            <x v="7"/>
          </reference>
          <reference field="87" count="1" selected="0">
            <x v="3900"/>
          </reference>
          <reference field="88" count="1">
            <x v="2864"/>
          </reference>
        </references>
      </pivotArea>
    </format>
    <format dxfId="29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83"/>
          </reference>
          <reference field="82" count="1" selected="0">
            <x v="3074"/>
          </reference>
          <reference field="85" count="1" selected="0">
            <x v="7"/>
          </reference>
          <reference field="87" count="1" selected="0">
            <x v="3902"/>
          </reference>
          <reference field="88" count="1">
            <x v="2865"/>
          </reference>
        </references>
      </pivotArea>
    </format>
    <format dxfId="295">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41"/>
          </reference>
          <reference field="82" count="1" selected="0">
            <x v="3020"/>
          </reference>
          <reference field="85" count="1" selected="0">
            <x v="0"/>
          </reference>
          <reference field="87" count="1" selected="0">
            <x v="3855"/>
          </reference>
          <reference field="88" count="1">
            <x v="2811"/>
          </reference>
        </references>
      </pivotArea>
    </format>
    <format dxfId="29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447"/>
          </reference>
          <reference field="82" count="1" selected="0">
            <x v="3029"/>
          </reference>
          <reference field="85" count="1" selected="0">
            <x v="0"/>
          </reference>
          <reference field="87" count="1" selected="0">
            <x v="3861"/>
          </reference>
          <reference field="88" count="1">
            <x v="2820"/>
          </reference>
        </references>
      </pivotArea>
    </format>
    <format dxfId="29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448"/>
          </reference>
          <reference field="82" count="1" selected="0">
            <x v="3030"/>
          </reference>
          <reference field="85" count="1" selected="0">
            <x v="0"/>
          </reference>
          <reference field="87" count="1" selected="0">
            <x v="3862"/>
          </reference>
          <reference field="88" count="1">
            <x v="2821"/>
          </reference>
        </references>
      </pivotArea>
    </format>
    <format dxfId="29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449"/>
          </reference>
          <reference field="82" count="1" selected="0">
            <x v="3031"/>
          </reference>
          <reference field="85" count="1" selected="0">
            <x v="0"/>
          </reference>
          <reference field="87" count="1" selected="0">
            <x v="3863"/>
          </reference>
          <reference field="88" count="1">
            <x v="2822"/>
          </reference>
        </references>
      </pivotArea>
    </format>
    <format dxfId="291">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85"/>
          </reference>
          <reference field="82" count="1" selected="0">
            <x v="2941"/>
          </reference>
          <reference field="85" count="1" selected="0">
            <x v="7"/>
          </reference>
          <reference field="87" count="1" selected="0">
            <x v="3797"/>
          </reference>
          <reference field="88" count="1">
            <x v="2732"/>
          </reference>
        </references>
      </pivotArea>
    </format>
    <format dxfId="290">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2942"/>
          </reference>
          <reference field="85" count="1" selected="0">
            <x v="7"/>
          </reference>
          <reference field="87" count="1" selected="0">
            <x v="3798"/>
          </reference>
          <reference field="88" count="1">
            <x v="2733"/>
          </reference>
        </references>
      </pivotArea>
    </format>
    <format dxfId="28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selected="0">
            <x v="0"/>
          </reference>
          <reference field="87" count="1" selected="0">
            <x v="3858"/>
          </reference>
          <reference field="88" count="1">
            <x v="2817"/>
          </reference>
        </references>
      </pivotArea>
    </format>
    <format dxfId="28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selected="0">
            <x v="3027"/>
          </reference>
          <reference field="85" count="1" selected="0">
            <x v="0"/>
          </reference>
          <reference field="87" count="1" selected="0">
            <x v="3859"/>
          </reference>
          <reference field="88" count="1">
            <x v="2818"/>
          </reference>
        </references>
      </pivotArea>
    </format>
    <format dxfId="28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selected="0">
            <x v="3028"/>
          </reference>
          <reference field="85" count="1" selected="0">
            <x v="0"/>
          </reference>
          <reference field="87" count="1" selected="0">
            <x v="3860"/>
          </reference>
          <reference field="88" count="1">
            <x v="2819"/>
          </reference>
        </references>
      </pivotArea>
    </format>
    <format dxfId="286">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selected="0">
            <x v="3903"/>
          </reference>
          <reference field="88" count="1">
            <x v="2866"/>
          </reference>
        </references>
      </pivotArea>
    </format>
    <format dxfId="28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485"/>
          </reference>
          <reference field="82" count="1" selected="0">
            <x v="3076"/>
          </reference>
          <reference field="85" count="1" selected="0">
            <x v="7"/>
          </reference>
          <reference field="87" count="1" selected="0">
            <x v="3904"/>
          </reference>
          <reference field="88" count="1">
            <x v="2867"/>
          </reference>
        </references>
      </pivotArea>
    </format>
    <format dxfId="284">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395"/>
          </reference>
          <reference field="82" count="1" selected="0">
            <x v="2956"/>
          </reference>
          <reference field="85" count="1" selected="0">
            <x v="7"/>
          </reference>
          <reference field="87" count="1" selected="0">
            <x v="3807"/>
          </reference>
          <reference field="88" count="1">
            <x v="2747"/>
          </reference>
        </references>
      </pivotArea>
    </format>
    <format dxfId="28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44"/>
          </reference>
          <reference field="82" count="1" selected="0">
            <x v="3026"/>
          </reference>
          <reference field="85" count="1" selected="0">
            <x v="0"/>
          </reference>
          <reference field="87" count="1" selected="0">
            <x v="3858"/>
          </reference>
          <reference field="88" count="1">
            <x v="2817"/>
          </reference>
        </references>
      </pivotArea>
    </format>
    <format dxfId="28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45"/>
          </reference>
          <reference field="82" count="1" selected="0">
            <x v="3027"/>
          </reference>
          <reference field="85" count="1" selected="0">
            <x v="0"/>
          </reference>
          <reference field="87" count="1" selected="0">
            <x v="3859"/>
          </reference>
          <reference field="88" count="1">
            <x v="2818"/>
          </reference>
        </references>
      </pivotArea>
    </format>
    <format dxfId="28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46"/>
          </reference>
          <reference field="82" count="1" selected="0">
            <x v="3028"/>
          </reference>
          <reference field="85" count="1" selected="0">
            <x v="0"/>
          </reference>
          <reference field="87" count="1" selected="0">
            <x v="3860"/>
          </reference>
          <reference field="88" count="1">
            <x v="2819"/>
          </reference>
        </references>
      </pivotArea>
    </format>
    <format dxfId="280">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selected="0">
            <x v="3903"/>
          </reference>
          <reference field="88" count="1">
            <x v="2866"/>
          </reference>
        </references>
      </pivotArea>
    </format>
    <format dxfId="27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53"/>
          </reference>
          <reference field="82" count="1" selected="0">
            <x v="3035"/>
          </reference>
          <reference field="85" count="1" selected="0">
            <x v="0"/>
          </reference>
          <reference field="87" count="1" selected="0">
            <x v="3867"/>
          </reference>
          <reference field="88" count="1">
            <x v="2826"/>
          </reference>
        </references>
      </pivotArea>
    </format>
    <format dxfId="27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454"/>
          </reference>
          <reference field="82" count="1" selected="0">
            <x v="3036"/>
          </reference>
          <reference field="85" count="1" selected="0">
            <x v="0"/>
          </reference>
          <reference field="87" count="1" selected="0">
            <x v="3868"/>
          </reference>
          <reference field="88" count="1">
            <x v="2827"/>
          </reference>
        </references>
      </pivotArea>
    </format>
    <format dxfId="27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455"/>
          </reference>
          <reference field="82" count="1" selected="0">
            <x v="3037"/>
          </reference>
          <reference field="85" count="1" selected="0">
            <x v="0"/>
          </reference>
          <reference field="87" count="1" selected="0">
            <x v="3869"/>
          </reference>
          <reference field="88" count="1">
            <x v="2828"/>
          </reference>
        </references>
      </pivotArea>
    </format>
    <format dxfId="276">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81"/>
          </reference>
          <reference field="82" count="1" selected="0">
            <x v="2936"/>
          </reference>
          <reference field="85" count="1" selected="0">
            <x v="7"/>
          </reference>
          <reference field="87" count="1" selected="0">
            <x v="3793"/>
          </reference>
          <reference field="88" count="1">
            <x v="2727"/>
          </reference>
        </references>
      </pivotArea>
    </format>
    <format dxfId="27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selected="0">
            <x v="3794"/>
          </reference>
          <reference field="88" count="1">
            <x v="2728"/>
          </reference>
        </references>
      </pivotArea>
    </format>
    <format dxfId="27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99"/>
          </reference>
          <reference field="82" count="1" selected="0">
            <x v="2991"/>
          </reference>
          <reference field="85" count="1" selected="0">
            <x v="4"/>
          </reference>
          <reference field="87" count="1" selected="0">
            <x v="3811"/>
          </reference>
          <reference field="88" count="1">
            <x v="2782"/>
          </reference>
        </references>
      </pivotArea>
    </format>
    <format dxfId="27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405"/>
          </reference>
          <reference field="82" count="1" selected="0">
            <x v="2992"/>
          </reference>
          <reference field="85" count="1" selected="0">
            <x v="4"/>
          </reference>
          <reference field="87" count="1" selected="0">
            <x v="3817"/>
          </reference>
          <reference field="88" count="1">
            <x v="2783"/>
          </reference>
        </references>
      </pivotArea>
    </format>
    <format dxfId="27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401"/>
          </reference>
          <reference field="82" count="1" selected="0">
            <x v="2989"/>
          </reference>
          <reference field="85" count="1" selected="0">
            <x v="4"/>
          </reference>
          <reference field="87" count="1" selected="0">
            <x v="3813"/>
          </reference>
          <reference field="88" count="1">
            <x v="2780"/>
          </reference>
        </references>
      </pivotArea>
    </format>
    <format dxfId="27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423"/>
          </reference>
          <reference field="82" count="1" selected="0">
            <x v="2990"/>
          </reference>
          <reference field="85" count="1" selected="0">
            <x v="4"/>
          </reference>
          <reference field="87" count="1" selected="0">
            <x v="3835"/>
          </reference>
          <reference field="88" count="1">
            <x v="2781"/>
          </reference>
        </references>
      </pivotArea>
    </format>
    <format dxfId="27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50"/>
          </reference>
          <reference field="82" count="1" selected="0">
            <x v="3032"/>
          </reference>
          <reference field="85" count="1" selected="0">
            <x v="0"/>
          </reference>
          <reference field="87" count="1" selected="0">
            <x v="3864"/>
          </reference>
          <reference field="88" count="1">
            <x v="2823"/>
          </reference>
        </references>
      </pivotArea>
    </format>
    <format dxfId="26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451"/>
          </reference>
          <reference field="82" count="1" selected="0">
            <x v="3033"/>
          </reference>
          <reference field="85" count="1" selected="0">
            <x v="0"/>
          </reference>
          <reference field="87" count="1" selected="0">
            <x v="3865"/>
          </reference>
          <reference field="88" count="1">
            <x v="2824"/>
          </reference>
        </references>
      </pivotArea>
    </format>
    <format dxfId="26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452"/>
          </reference>
          <reference field="82" count="1" selected="0">
            <x v="3034"/>
          </reference>
          <reference field="85" count="1" selected="0">
            <x v="0"/>
          </reference>
          <reference field="87" count="1" selected="0">
            <x v="3866"/>
          </reference>
          <reference field="88" count="1">
            <x v="2825"/>
          </reference>
        </references>
      </pivotArea>
    </format>
    <format dxfId="267">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95"/>
          </reference>
          <reference field="82" count="1" selected="0">
            <x v="3088"/>
          </reference>
          <reference field="85" count="1" selected="0">
            <x v="7"/>
          </reference>
          <reference field="87" count="1" selected="0">
            <x v="3914"/>
          </reference>
          <reference field="88" count="1">
            <x v="2879"/>
          </reference>
        </references>
      </pivotArea>
    </format>
    <format dxfId="266">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selected="0">
            <x v="2944"/>
          </reference>
          <reference field="85" count="1" selected="0">
            <x v="7"/>
          </reference>
          <reference field="87" count="1" selected="0">
            <x v="3800"/>
          </reference>
          <reference field="88" count="1">
            <x v="2735"/>
          </reference>
        </references>
      </pivotArea>
    </format>
    <format dxfId="26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432"/>
          </reference>
          <reference field="82" count="1" selected="0">
            <x v="3010"/>
          </reference>
          <reference field="85" count="1" selected="0">
            <x v="0"/>
          </reference>
          <reference field="87" count="1" selected="0">
            <x v="3845"/>
          </reference>
          <reference field="88" count="1">
            <x v="2801"/>
          </reference>
        </references>
      </pivotArea>
    </format>
    <format dxfId="26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431"/>
          </reference>
          <reference field="82" count="1" selected="0">
            <x v="3009"/>
          </reference>
          <reference field="85" count="1" selected="0">
            <x v="0"/>
          </reference>
          <reference field="87" count="1" selected="0">
            <x v="3844"/>
          </reference>
          <reference field="88" count="1">
            <x v="2800"/>
          </reference>
        </references>
      </pivotArea>
    </format>
    <format dxfId="26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433"/>
          </reference>
          <reference field="82" count="1" selected="0">
            <x v="3011"/>
          </reference>
          <reference field="85" count="1" selected="0">
            <x v="0"/>
          </reference>
          <reference field="87" count="1" selected="0">
            <x v="3846"/>
          </reference>
          <reference field="88" count="1">
            <x v="2802"/>
          </reference>
        </references>
      </pivotArea>
    </format>
    <format dxfId="26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93"/>
          </reference>
          <reference field="82" count="1" selected="0">
            <x v="2952"/>
          </reference>
          <reference field="85" count="1" selected="0">
            <x v="7"/>
          </reference>
          <reference field="87" count="1" selected="0">
            <x v="3805"/>
          </reference>
          <reference field="88" count="1">
            <x v="2743"/>
          </reference>
        </references>
      </pivotArea>
    </format>
    <format dxfId="26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88"/>
          </reference>
          <reference field="82" count="1" selected="0">
            <x v="2944"/>
          </reference>
          <reference field="85" count="1" selected="0">
            <x v="7"/>
          </reference>
          <reference field="87" count="1" selected="0">
            <x v="3800"/>
          </reference>
          <reference field="88" count="1">
            <x v="2735"/>
          </reference>
        </references>
      </pivotArea>
    </format>
    <format dxfId="26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426"/>
          </reference>
          <reference field="82" count="1" selected="0">
            <x v="2995"/>
          </reference>
          <reference field="85" count="1" selected="0">
            <x v="4"/>
          </reference>
          <reference field="87" count="1" selected="0">
            <x v="3838"/>
          </reference>
          <reference field="88" count="1">
            <x v="2786"/>
          </reference>
        </references>
      </pivotArea>
    </format>
    <format dxfId="25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427"/>
          </reference>
          <reference field="82" count="1" selected="0">
            <x v="2996"/>
          </reference>
          <reference field="85" count="1" selected="0">
            <x v="4"/>
          </reference>
          <reference field="87" count="1" selected="0">
            <x v="3839"/>
          </reference>
          <reference field="88" count="1">
            <x v="2787"/>
          </reference>
        </references>
      </pivotArea>
    </format>
    <format dxfId="25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424"/>
          </reference>
          <reference field="82" count="1" selected="0">
            <x v="2993"/>
          </reference>
          <reference field="85" count="1" selected="0">
            <x v="4"/>
          </reference>
          <reference field="87" count="1" selected="0">
            <x v="3836"/>
          </reference>
          <reference field="88" count="1">
            <x v="2784"/>
          </reference>
        </references>
      </pivotArea>
    </format>
    <format dxfId="25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425"/>
          </reference>
          <reference field="82" count="1" selected="0">
            <x v="2994"/>
          </reference>
          <reference field="85" count="1" selected="0">
            <x v="4"/>
          </reference>
          <reference field="87" count="1" selected="0">
            <x v="3837"/>
          </reference>
          <reference field="88" count="1">
            <x v="2785"/>
          </reference>
        </references>
      </pivotArea>
    </format>
    <format dxfId="25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selected="0">
            <x v="0"/>
          </reference>
          <reference field="87" count="1" selected="0">
            <x v="3841"/>
          </reference>
          <reference field="88" count="1">
            <x v="2797"/>
          </reference>
        </references>
      </pivotArea>
    </format>
    <format dxfId="25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selected="0">
            <x v="3007"/>
          </reference>
          <reference field="85" count="1" selected="0">
            <x v="0"/>
          </reference>
          <reference field="87" count="1" selected="0">
            <x v="3842"/>
          </reference>
          <reference field="88" count="1">
            <x v="2798"/>
          </reference>
        </references>
      </pivotArea>
    </format>
    <format dxfId="25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selected="0">
            <x v="3008"/>
          </reference>
          <reference field="85" count="1" selected="0">
            <x v="0"/>
          </reference>
          <reference field="87" count="1" selected="0">
            <x v="3843"/>
          </reference>
          <reference field="88" count="1">
            <x v="2799"/>
          </reference>
        </references>
      </pivotArea>
    </format>
    <format dxfId="253">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selected="0">
            <x v="3794"/>
          </reference>
          <reference field="88" count="1">
            <x v="2728"/>
          </reference>
        </references>
      </pivotArea>
    </format>
    <format dxfId="25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429"/>
          </reference>
          <reference field="82" count="1" selected="0">
            <x v="3006"/>
          </reference>
          <reference field="85" count="1" selected="0">
            <x v="0"/>
          </reference>
          <reference field="87" count="1" selected="0">
            <x v="3841"/>
          </reference>
          <reference field="88" count="1">
            <x v="2797"/>
          </reference>
        </references>
      </pivotArea>
    </format>
    <format dxfId="25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430"/>
          </reference>
          <reference field="82" count="1" selected="0">
            <x v="3007"/>
          </reference>
          <reference field="85" count="1" selected="0">
            <x v="0"/>
          </reference>
          <reference field="87" count="1" selected="0">
            <x v="3842"/>
          </reference>
          <reference field="88" count="1">
            <x v="2798"/>
          </reference>
        </references>
      </pivotArea>
    </format>
    <format dxfId="25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69"/>
          </reference>
          <reference field="82" count="1" selected="0">
            <x v="3008"/>
          </reference>
          <reference field="85" count="1" selected="0">
            <x v="0"/>
          </reference>
          <reference field="87" count="1" selected="0">
            <x v="3843"/>
          </reference>
          <reference field="88" count="1">
            <x v="2799"/>
          </reference>
        </references>
      </pivotArea>
    </format>
    <format dxfId="249">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87"/>
          </reference>
          <reference field="82" count="1" selected="0">
            <x v="2943"/>
          </reference>
          <reference field="85" count="1" selected="0">
            <x v="7"/>
          </reference>
          <reference field="87" count="1" selected="0">
            <x v="3799"/>
          </reference>
          <reference field="88" count="1">
            <x v="2734"/>
          </reference>
        </references>
      </pivotArea>
    </format>
    <format dxfId="24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37"/>
          </reference>
          <reference field="85" count="1" selected="0">
            <x v="7"/>
          </reference>
          <reference field="87" count="1" selected="0">
            <x v="3794"/>
          </reference>
          <reference field="88" count="1">
            <x v="2728"/>
          </reference>
        </references>
      </pivotArea>
    </format>
    <format dxfId="24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selected="0">
            <x v="0"/>
          </reference>
          <reference field="87" count="1" selected="0">
            <x v="3847"/>
          </reference>
          <reference field="88" count="1">
            <x v="2803"/>
          </reference>
        </references>
      </pivotArea>
    </format>
    <format dxfId="24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selected="0">
            <x v="3013"/>
          </reference>
          <reference field="85" count="1" selected="0">
            <x v="0"/>
          </reference>
          <reference field="87" count="1" selected="0">
            <x v="3848"/>
          </reference>
          <reference field="88" count="1">
            <x v="2804"/>
          </reference>
        </references>
      </pivotArea>
    </format>
    <format dxfId="24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selected="0">
            <x v="3849"/>
          </reference>
          <reference field="88" count="1">
            <x v="2805"/>
          </reference>
        </references>
      </pivotArea>
    </format>
    <format dxfId="24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60"/>
          </reference>
          <reference field="82" count="1" selected="0">
            <x v="3057"/>
          </reference>
          <reference field="85" count="1" selected="0">
            <x v="2"/>
          </reference>
          <reference field="87" count="1" selected="0">
            <x v="3887"/>
          </reference>
          <reference field="88" count="1">
            <x v="2848"/>
          </reference>
        </references>
      </pivotArea>
    </format>
    <format dxfId="24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465"/>
          </reference>
          <reference field="82" count="1" selected="0">
            <x v="3056"/>
          </reference>
          <reference field="85" count="1" selected="0">
            <x v="2"/>
          </reference>
          <reference field="87" count="1" selected="0">
            <x v="3886"/>
          </reference>
          <reference field="88" count="1">
            <x v="2847"/>
          </reference>
        </references>
      </pivotArea>
    </format>
    <format dxfId="24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469"/>
          </reference>
          <reference field="82" count="1" selected="0">
            <x v="3058"/>
          </reference>
          <reference field="85" count="1" selected="0">
            <x v="2"/>
          </reference>
          <reference field="87" count="1" selected="0">
            <x v="3888"/>
          </reference>
          <reference field="88" count="1">
            <x v="2849"/>
          </reference>
        </references>
      </pivotArea>
    </format>
    <format dxfId="24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434"/>
          </reference>
          <reference field="82" count="1" selected="0">
            <x v="3012"/>
          </reference>
          <reference field="85" count="1" selected="0">
            <x v="0"/>
          </reference>
          <reference field="87" count="1" selected="0">
            <x v="3847"/>
          </reference>
          <reference field="88" count="1">
            <x v="2803"/>
          </reference>
        </references>
      </pivotArea>
    </format>
    <format dxfId="24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435"/>
          </reference>
          <reference field="82" count="1" selected="0">
            <x v="3013"/>
          </reference>
          <reference field="85" count="1" selected="0">
            <x v="0"/>
          </reference>
          <reference field="87" count="1" selected="0">
            <x v="3848"/>
          </reference>
          <reference field="88" count="1">
            <x v="2804"/>
          </reference>
        </references>
      </pivotArea>
    </format>
    <format dxfId="23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selected="0">
            <x v="3849"/>
          </reference>
          <reference field="88" count="1">
            <x v="2805"/>
          </reference>
        </references>
      </pivotArea>
    </format>
    <format dxfId="238">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79"/>
          </reference>
          <reference field="85" count="1" selected="0">
            <x v="7"/>
          </reference>
          <reference field="87" count="1" selected="0">
            <x v="3798"/>
          </reference>
          <reference field="88" count="1">
            <x v="2870"/>
          </reference>
        </references>
      </pivotArea>
    </format>
    <format dxfId="23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504"/>
          </reference>
          <reference field="82" count="1" selected="0">
            <x v="3110"/>
          </reference>
          <reference field="85" count="1" selected="0">
            <x v="4"/>
          </reference>
          <reference field="87" count="1" selected="0">
            <x v="3930"/>
          </reference>
          <reference field="88" count="1">
            <x v="2903"/>
          </reference>
        </references>
      </pivotArea>
    </format>
    <format dxfId="23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366"/>
          </reference>
          <reference field="82" count="1" selected="0">
            <x v="2920"/>
          </reference>
          <reference field="85" count="1" selected="0">
            <x v="4"/>
          </reference>
          <reference field="87" count="1" selected="0">
            <x v="3933"/>
          </reference>
          <reference field="88" count="1">
            <x v="2904"/>
          </reference>
        </references>
      </pivotArea>
    </format>
    <format dxfId="23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365"/>
          </reference>
          <reference field="82" count="1" selected="0">
            <x v="2919"/>
          </reference>
          <reference field="85" count="1" selected="0">
            <x v="4"/>
          </reference>
          <reference field="87" count="1" selected="0">
            <x v="3952"/>
          </reference>
          <reference field="88" count="1">
            <x v="2928"/>
          </reference>
        </references>
      </pivotArea>
    </format>
    <format dxfId="23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503"/>
          </reference>
          <reference field="82" count="1" selected="0">
            <x v="3132"/>
          </reference>
          <reference field="85" count="1" selected="0">
            <x v="4"/>
          </reference>
          <reference field="87" count="1" selected="0">
            <x v="3929"/>
          </reference>
          <reference field="88" count="1">
            <x v="2927"/>
          </reference>
        </references>
      </pivotArea>
    </format>
    <format dxfId="233">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3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selected="0">
            <x v="3915"/>
          </reference>
          <reference field="88" count="1">
            <x v="2880"/>
          </reference>
        </references>
      </pivotArea>
    </format>
    <format dxfId="23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selected="0">
            <x v="3916"/>
          </reference>
          <reference field="88" count="1">
            <x v="2881"/>
          </reference>
        </references>
      </pivotArea>
    </format>
    <format dxfId="23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selected="0">
            <x v="3917"/>
          </reference>
          <reference field="88" count="1">
            <x v="2882"/>
          </reference>
        </references>
      </pivotArea>
    </format>
    <format dxfId="22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selected="0">
            <x v="3918"/>
          </reference>
          <reference field="88" count="1">
            <x v="2883"/>
          </reference>
        </references>
      </pivotArea>
    </format>
    <format dxfId="228">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2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66"/>
          </reference>
          <reference field="82" count="1" selected="0">
            <x v="2920"/>
          </reference>
          <reference field="85" count="1" selected="0">
            <x v="3"/>
          </reference>
          <reference field="87" count="1" selected="0">
            <x v="3778"/>
          </reference>
          <reference field="88" count="1">
            <x v="2711"/>
          </reference>
        </references>
      </pivotArea>
    </format>
    <format dxfId="226">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365"/>
          </reference>
          <reference field="82" count="1" selected="0">
            <x v="2919"/>
          </reference>
          <reference field="85" count="1" selected="0">
            <x v="3"/>
          </reference>
          <reference field="87" count="1" selected="0">
            <x v="3777"/>
          </reference>
          <reference field="88" count="1">
            <x v="2710"/>
          </reference>
        </references>
      </pivotArea>
    </format>
    <format dxfId="22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selected="0">
            <x v="3915"/>
          </reference>
          <reference field="88" count="1">
            <x v="2880"/>
          </reference>
        </references>
      </pivotArea>
    </format>
    <format dxfId="22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selected="0">
            <x v="3916"/>
          </reference>
          <reference field="88" count="1">
            <x v="2881"/>
          </reference>
        </references>
      </pivotArea>
    </format>
    <format dxfId="22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selected="0">
            <x v="3917"/>
          </reference>
          <reference field="88" count="1">
            <x v="2882"/>
          </reference>
        </references>
      </pivotArea>
    </format>
    <format dxfId="22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selected="0">
            <x v="3918"/>
          </reference>
          <reference field="88" count="1">
            <x v="2883"/>
          </reference>
        </references>
      </pivotArea>
    </format>
    <format dxfId="221">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2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96"/>
          </reference>
          <reference field="82" count="1" selected="0">
            <x v="3089"/>
          </reference>
          <reference field="85" count="1" selected="0">
            <x v="4"/>
          </reference>
          <reference field="87" count="1" selected="0">
            <x v="3915"/>
          </reference>
          <reference field="88" count="1">
            <x v="2880"/>
          </reference>
        </references>
      </pivotArea>
    </format>
    <format dxfId="21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97"/>
          </reference>
          <reference field="82" count="1" selected="0">
            <x v="3090"/>
          </reference>
          <reference field="85" count="1" selected="0">
            <x v="4"/>
          </reference>
          <reference field="87" count="1" selected="0">
            <x v="3916"/>
          </reference>
          <reference field="88" count="1">
            <x v="2881"/>
          </reference>
        </references>
      </pivotArea>
    </format>
    <format dxfId="21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selected="0">
            <x v="3917"/>
          </reference>
          <reference field="88" count="1">
            <x v="2882"/>
          </reference>
        </references>
      </pivotArea>
    </format>
    <format dxfId="21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99"/>
          </reference>
          <reference field="82" count="1" selected="0">
            <x v="3092"/>
          </reference>
          <reference field="85" count="1" selected="0">
            <x v="4"/>
          </reference>
          <reference field="87" count="1" selected="0">
            <x v="3918"/>
          </reference>
          <reference field="88" count="1">
            <x v="2883"/>
          </reference>
        </references>
      </pivotArea>
    </format>
    <format dxfId="216">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1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79"/>
          </reference>
          <reference field="82" count="1" selected="0">
            <x v="3014"/>
          </reference>
          <reference field="85" count="1" selected="0">
            <x v="0"/>
          </reference>
          <reference field="87" count="1" selected="0">
            <x v="3849"/>
          </reference>
          <reference field="88" count="1">
            <x v="2805"/>
          </reference>
        </references>
      </pivotArea>
    </format>
    <format dxfId="21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457"/>
          </reference>
          <reference field="82" count="1" selected="0">
            <x v="3039"/>
          </reference>
          <reference field="85" count="1" selected="0">
            <x v="0"/>
          </reference>
          <reference field="87" count="1" selected="0">
            <x v="3871"/>
          </reference>
          <reference field="88" count="1">
            <x v="2830"/>
          </reference>
        </references>
      </pivotArea>
    </format>
    <format dxfId="21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456"/>
          </reference>
          <reference field="82" count="1" selected="0">
            <x v="3038"/>
          </reference>
          <reference field="85" count="1" selected="0">
            <x v="0"/>
          </reference>
          <reference field="87" count="1" selected="0">
            <x v="3870"/>
          </reference>
          <reference field="88" count="1">
            <x v="2829"/>
          </reference>
        </references>
      </pivotArea>
    </format>
    <format dxfId="21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selected="0">
            <x v="3795"/>
          </reference>
          <reference field="88" count="1">
            <x v="2729"/>
          </reference>
        </references>
      </pivotArea>
    </format>
    <format dxfId="21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selected="0">
            <x v="3796"/>
          </reference>
          <reference field="88" count="1">
            <x v="2730"/>
          </reference>
        </references>
      </pivotArea>
    </format>
    <format dxfId="21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0"/>
          </reference>
          <reference field="85" count="1" selected="0">
            <x v="7"/>
          </reference>
          <reference field="87" count="1" selected="0">
            <x v="3794"/>
          </reference>
          <reference field="88" count="1">
            <x v="2731"/>
          </reference>
        </references>
      </pivotArea>
    </format>
    <format dxfId="20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420"/>
          </reference>
          <reference field="82" count="1" selected="0">
            <x v="2985"/>
          </reference>
          <reference field="85" count="1" selected="0">
            <x v="4"/>
          </reference>
          <reference field="87" count="1" selected="0">
            <x v="3832"/>
          </reference>
          <reference field="88" count="1">
            <x v="2776"/>
          </reference>
        </references>
      </pivotArea>
    </format>
    <format dxfId="20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410"/>
          </reference>
          <reference field="82" count="1" selected="0">
            <x v="2986"/>
          </reference>
          <reference field="85" count="1" selected="0">
            <x v="4"/>
          </reference>
          <reference field="87" count="1" selected="0">
            <x v="3822"/>
          </reference>
          <reference field="88" count="1">
            <x v="2777"/>
          </reference>
        </references>
      </pivotArea>
    </format>
    <format dxfId="20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421"/>
          </reference>
          <reference field="82" count="1" selected="0">
            <x v="2987"/>
          </reference>
          <reference field="85" count="1" selected="0">
            <x v="4"/>
          </reference>
          <reference field="87" count="1" selected="0">
            <x v="3833"/>
          </reference>
          <reference field="88" count="1">
            <x v="2778"/>
          </reference>
        </references>
      </pivotArea>
    </format>
    <format dxfId="20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422"/>
          </reference>
          <reference field="82" count="1" selected="0">
            <x v="2988"/>
          </reference>
          <reference field="85" count="1" selected="0">
            <x v="4"/>
          </reference>
          <reference field="87" count="1" selected="0">
            <x v="3834"/>
          </reference>
          <reference field="88" count="1">
            <x v="2779"/>
          </reference>
        </references>
      </pivotArea>
    </format>
    <format dxfId="20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45"/>
          </reference>
          <reference field="82" count="1" selected="0">
            <x v="3045"/>
          </reference>
          <reference field="85" count="1" selected="0">
            <x v="0"/>
          </reference>
          <reference field="87" count="1" selected="0">
            <x v="3859"/>
          </reference>
          <reference field="88" count="1">
            <x v="2836"/>
          </reference>
        </references>
      </pivotArea>
    </format>
    <format dxfId="20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464"/>
          </reference>
          <reference field="82" count="1" selected="0">
            <x v="3049"/>
          </reference>
          <reference field="85" count="1" selected="0">
            <x v="0"/>
          </reference>
          <reference field="87" count="1" selected="0">
            <x v="3879"/>
          </reference>
          <reference field="88" count="1">
            <x v="2840"/>
          </reference>
        </references>
      </pivotArea>
    </format>
    <format dxfId="20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465"/>
          </reference>
          <reference field="82" count="1" selected="0">
            <x v="3050"/>
          </reference>
          <reference field="85" count="1" selected="0">
            <x v="0"/>
          </reference>
          <reference field="87" count="1" selected="0">
            <x v="3880"/>
          </reference>
          <reference field="88" count="1">
            <x v="2841"/>
          </reference>
        </references>
      </pivotArea>
    </format>
    <format dxfId="20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selected="0">
            <x v="7"/>
          </reference>
          <reference field="87" count="1" selected="0">
            <x v="3913"/>
          </reference>
          <reference field="88" count="1">
            <x v="2877"/>
          </reference>
        </references>
      </pivotArea>
    </format>
    <format dxfId="20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86"/>
          </reference>
          <reference field="82" count="1" selected="0">
            <x v="3087"/>
          </reference>
          <reference field="85" count="1" selected="0">
            <x v="7"/>
          </reference>
          <reference field="87" count="1" selected="0">
            <x v="3798"/>
          </reference>
          <reference field="88" count="1">
            <x v="2878"/>
          </reference>
        </references>
      </pivotArea>
    </format>
    <format dxfId="20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75"/>
          </reference>
          <reference field="82" count="1" selected="0">
            <x v="2930"/>
          </reference>
          <reference field="85" count="1" selected="0">
            <x v="3"/>
          </reference>
          <reference field="87" count="1" selected="0">
            <x v="3787"/>
          </reference>
          <reference field="88" count="1">
            <x v="2721"/>
          </reference>
        </references>
      </pivotArea>
    </format>
    <format dxfId="19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377"/>
          </reference>
          <reference field="82" count="1" selected="0">
            <x v="2932"/>
          </reference>
          <reference field="85" count="1" selected="0">
            <x v="3"/>
          </reference>
          <reference field="87" count="1" selected="0">
            <x v="3789"/>
          </reference>
          <reference field="88" count="1">
            <x v="2723"/>
          </reference>
        </references>
      </pivotArea>
    </format>
    <format dxfId="198">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378"/>
          </reference>
          <reference field="82" count="1" selected="0">
            <x v="2933"/>
          </reference>
          <reference field="85" count="1" selected="0">
            <x v="3"/>
          </reference>
          <reference field="87" count="1" selected="0">
            <x v="3790"/>
          </reference>
          <reference field="88" count="1">
            <x v="2724"/>
          </reference>
        </references>
      </pivotArea>
    </format>
    <format dxfId="19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selected="0">
            <x v="2934"/>
          </reference>
          <reference field="85" count="1" selected="0">
            <x v="3"/>
          </reference>
          <reference field="87" count="1" selected="0">
            <x v="3791"/>
          </reference>
          <reference field="88" count="1">
            <x v="2725"/>
          </reference>
        </references>
      </pivotArea>
    </format>
    <format dxfId="19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376"/>
          </reference>
          <reference field="82" count="1" selected="0">
            <x v="2931"/>
          </reference>
          <reference field="85" count="1" selected="0">
            <x v="3"/>
          </reference>
          <reference field="87" count="1" selected="0">
            <x v="3788"/>
          </reference>
          <reference field="88" count="1">
            <x v="2722"/>
          </reference>
        </references>
      </pivotArea>
    </format>
    <format dxfId="195">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94">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93">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selected="0">
            <x v="3795"/>
          </reference>
          <reference field="88" count="1">
            <x v="2729"/>
          </reference>
        </references>
      </pivotArea>
    </format>
    <format dxfId="192">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selected="0">
            <x v="3796"/>
          </reference>
          <reference field="88" count="1">
            <x v="2730"/>
          </reference>
        </references>
      </pivotArea>
    </format>
    <format dxfId="19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selected="0">
            <x v="3795"/>
          </reference>
          <reference field="88" count="1">
            <x v="2729"/>
          </reference>
        </references>
      </pivotArea>
    </format>
    <format dxfId="19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selected="0">
            <x v="3796"/>
          </reference>
          <reference field="88" count="1">
            <x v="2730"/>
          </reference>
        </references>
      </pivotArea>
    </format>
    <format dxfId="189">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82"/>
          </reference>
          <reference field="82" count="1" selected="0">
            <x v="2940"/>
          </reference>
          <reference field="85" count="1" selected="0">
            <x v="7"/>
          </reference>
          <reference field="87" count="1" selected="0">
            <x v="3794"/>
          </reference>
          <reference field="88" count="1">
            <x v="2731"/>
          </reference>
        </references>
      </pivotArea>
    </format>
    <format dxfId="18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418"/>
          </reference>
          <reference field="82" count="1" selected="0">
            <x v="2981"/>
          </reference>
          <reference field="85" count="1" selected="0">
            <x v="4"/>
          </reference>
          <reference field="87" count="1" selected="0">
            <x v="3830"/>
          </reference>
          <reference field="88" count="1">
            <x v="2772"/>
          </reference>
        </references>
      </pivotArea>
    </format>
    <format dxfId="18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416"/>
          </reference>
          <reference field="82" count="1" selected="0">
            <x v="2982"/>
          </reference>
          <reference field="85" count="1" selected="0">
            <x v="4"/>
          </reference>
          <reference field="87" count="1" selected="0">
            <x v="3828"/>
          </reference>
          <reference field="88" count="1">
            <x v="2773"/>
          </reference>
        </references>
      </pivotArea>
    </format>
    <format dxfId="18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419"/>
          </reference>
          <reference field="82" count="1" selected="0">
            <x v="2983"/>
          </reference>
          <reference field="85" count="1" selected="0">
            <x v="4"/>
          </reference>
          <reference field="87" count="1" selected="0">
            <x v="3831"/>
          </reference>
          <reference field="88" count="1">
            <x v="2774"/>
          </reference>
        </references>
      </pivotArea>
    </format>
    <format dxfId="185">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411"/>
          </reference>
          <reference field="82" count="1" selected="0">
            <x v="2984"/>
          </reference>
          <reference field="85" count="1" selected="0">
            <x v="4"/>
          </reference>
          <reference field="87" count="1" selected="0">
            <x v="3823"/>
          </reference>
          <reference field="88" count="1">
            <x v="2775"/>
          </reference>
        </references>
      </pivotArea>
    </format>
    <format dxfId="18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77"/>
          </reference>
          <reference field="82" count="1" selected="0">
            <x v="3046"/>
          </reference>
          <reference field="85" count="1" selected="0">
            <x v="0"/>
          </reference>
          <reference field="87" count="1" selected="0">
            <x v="3877"/>
          </reference>
          <reference field="88" count="1">
            <x v="2837"/>
          </reference>
        </references>
      </pivotArea>
    </format>
    <format dxfId="18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443"/>
          </reference>
          <reference field="82" count="1" selected="0">
            <x v="3047"/>
          </reference>
          <reference field="85" count="1" selected="0">
            <x v="0"/>
          </reference>
          <reference field="87" count="1" selected="0">
            <x v="3857"/>
          </reference>
          <reference field="88" count="1">
            <x v="2838"/>
          </reference>
        </references>
      </pivotArea>
    </format>
    <format dxfId="182">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463"/>
          </reference>
          <reference field="82" count="1" selected="0">
            <x v="3048"/>
          </reference>
          <reference field="85" count="1" selected="0">
            <x v="0"/>
          </reference>
          <reference field="87" count="1" selected="0">
            <x v="3878"/>
          </reference>
          <reference field="88" count="1">
            <x v="2839"/>
          </reference>
        </references>
      </pivotArea>
    </format>
    <format dxfId="181">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94"/>
          </reference>
          <reference field="82" count="1" selected="0">
            <x v="3086"/>
          </reference>
          <reference field="85" count="1" selected="0">
            <x v="7"/>
          </reference>
          <reference field="87" count="1" selected="0">
            <x v="3913"/>
          </reference>
          <reference field="88" count="1">
            <x v="2877"/>
          </reference>
        </references>
      </pivotArea>
    </format>
    <format dxfId="18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80"/>
          </reference>
          <reference field="82" count="1" selected="0">
            <x v="2935"/>
          </reference>
          <reference field="85" count="1" selected="0">
            <x v="3"/>
          </reference>
          <reference field="87" count="1" selected="0">
            <x v="3792"/>
          </reference>
          <reference field="88" count="1">
            <x v="2726"/>
          </reference>
        </references>
      </pivotArea>
    </format>
    <format dxfId="179">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79"/>
          </reference>
          <reference field="82" count="1" selected="0">
            <x v="2934"/>
          </reference>
          <reference field="85" count="1" selected="0">
            <x v="3"/>
          </reference>
          <reference field="87" count="1" selected="0">
            <x v="3791"/>
          </reference>
          <reference field="88" count="1">
            <x v="2725"/>
          </reference>
        </references>
      </pivotArea>
    </format>
    <format dxfId="178">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2931"/>
          </reference>
          <reference field="85" count="1" selected="0">
            <x v="3"/>
          </reference>
          <reference field="87" count="1" selected="0">
            <x v="3788"/>
          </reference>
          <reference field="88" count="1">
            <x v="2722"/>
          </reference>
        </references>
      </pivotArea>
    </format>
    <format dxfId="177">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83"/>
          </reference>
          <reference field="82" count="1" selected="0">
            <x v="2938"/>
          </reference>
          <reference field="85" count="1" selected="0">
            <x v="7"/>
          </reference>
          <reference field="87" count="1" selected="0">
            <x v="3795"/>
          </reference>
          <reference field="88" count="1">
            <x v="2729"/>
          </reference>
        </references>
      </pivotArea>
    </format>
    <format dxfId="176">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84"/>
          </reference>
          <reference field="82" count="1" selected="0">
            <x v="2939"/>
          </reference>
          <reference field="85" count="1" selected="0">
            <x v="7"/>
          </reference>
          <reference field="87" count="1" selected="0">
            <x v="3796"/>
          </reference>
          <reference field="88" count="1">
            <x v="2730"/>
          </reference>
        </references>
      </pivotArea>
    </format>
    <format dxfId="17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65"/>
          </reference>
          <reference field="82" count="1" selected="0">
            <x v="2924"/>
          </reference>
          <reference field="85" count="1" selected="0">
            <x v="3"/>
          </reference>
          <reference field="87" count="1" selected="0">
            <x v="3777"/>
          </reference>
          <reference field="88" count="1">
            <x v="2715"/>
          </reference>
        </references>
      </pivotArea>
    </format>
    <format dxfId="17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369"/>
          </reference>
          <reference field="82" count="1" selected="0">
            <x v="2923"/>
          </reference>
          <reference field="85" count="1" selected="0">
            <x v="3"/>
          </reference>
          <reference field="87" count="1" selected="0">
            <x v="3781"/>
          </reference>
          <reference field="88" count="1">
            <x v="2714"/>
          </reference>
        </references>
      </pivotArea>
    </format>
    <format dxfId="17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367"/>
          </reference>
          <reference field="82" count="1" selected="0">
            <x v="2921"/>
          </reference>
          <reference field="85" count="1" selected="0">
            <x v="3"/>
          </reference>
          <reference field="87" count="1" selected="0">
            <x v="3779"/>
          </reference>
          <reference field="88" count="1">
            <x v="2712"/>
          </reference>
        </references>
      </pivotArea>
    </format>
    <format dxfId="17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368"/>
          </reference>
          <reference field="82" count="1" selected="0">
            <x v="2922"/>
          </reference>
          <reference field="85" count="1" selected="0">
            <x v="3"/>
          </reference>
          <reference field="87" count="1" selected="0">
            <x v="3780"/>
          </reference>
          <reference field="88" count="1">
            <x v="2713"/>
          </reference>
        </references>
      </pivotArea>
    </format>
    <format dxfId="171">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70">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69">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selected="0">
            <x v="4"/>
          </reference>
          <reference field="87" count="1" selected="0">
            <x v="3840"/>
          </reference>
          <reference field="88" count="1">
            <x v="2788"/>
          </reference>
        </references>
      </pivotArea>
    </format>
    <format dxfId="16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58"/>
          </reference>
          <reference field="82" count="1" selected="0">
            <x v="3040"/>
          </reference>
          <reference field="85" count="1" selected="0">
            <x v="0"/>
          </reference>
          <reference field="87" count="1" selected="0">
            <x v="3872"/>
          </reference>
          <reference field="88" count="1">
            <x v="2831"/>
          </reference>
        </references>
      </pivotArea>
    </format>
    <format dxfId="16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459"/>
          </reference>
          <reference field="82" count="1" selected="0">
            <x v="3041"/>
          </reference>
          <reference field="85" count="1" selected="0">
            <x v="0"/>
          </reference>
          <reference field="87" count="1" selected="0">
            <x v="3873"/>
          </reference>
          <reference field="88" count="1">
            <x v="2832"/>
          </reference>
        </references>
      </pivotArea>
    </format>
    <format dxfId="16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460"/>
          </reference>
          <reference field="82" count="1" selected="0">
            <x v="3042"/>
          </reference>
          <reference field="85" count="1" selected="0">
            <x v="0"/>
          </reference>
          <reference field="87" count="1" selected="0">
            <x v="3874"/>
          </reference>
          <reference field="88" count="1">
            <x v="2833"/>
          </reference>
        </references>
      </pivotArea>
    </format>
    <format dxfId="16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selected="0">
            <x v="2"/>
          </reference>
          <reference field="87" count="1" selected="0">
            <x v="3882"/>
          </reference>
          <reference field="88" count="1">
            <x v="2843"/>
          </reference>
        </references>
      </pivotArea>
    </format>
    <format dxfId="16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selected="0">
            <x v="3053"/>
          </reference>
          <reference field="85" count="1" selected="0">
            <x v="2"/>
          </reference>
          <reference field="87" count="1" selected="0">
            <x v="3883"/>
          </reference>
          <reference field="88" count="1">
            <x v="2844"/>
          </reference>
        </references>
      </pivotArea>
    </format>
    <format dxfId="16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3051"/>
          </reference>
          <reference field="85" count="1" selected="0">
            <x v="2"/>
          </reference>
          <reference field="87" count="1" selected="0">
            <x v="3881"/>
          </reference>
          <reference field="88" count="1">
            <x v="2842"/>
          </reference>
        </references>
      </pivotArea>
    </format>
    <format dxfId="16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428"/>
          </reference>
          <reference field="82" count="1" selected="0">
            <x v="2997"/>
          </reference>
          <reference field="85" count="1" selected="0">
            <x v="4"/>
          </reference>
          <reference field="87" count="1" selected="0">
            <x v="3840"/>
          </reference>
          <reference field="88" count="1">
            <x v="2788"/>
          </reference>
        </references>
      </pivotArea>
    </format>
    <format dxfId="16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61"/>
          </reference>
          <reference field="82" count="1" selected="0">
            <x v="3043"/>
          </reference>
          <reference field="85" count="1" selected="0">
            <x v="0"/>
          </reference>
          <reference field="87" count="1" selected="0">
            <x v="3875"/>
          </reference>
          <reference field="88" count="1">
            <x v="2834"/>
          </reference>
        </references>
      </pivotArea>
    </format>
    <format dxfId="16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462"/>
          </reference>
          <reference field="82" count="1" selected="0">
            <x v="3044"/>
          </reference>
          <reference field="85" count="1" selected="0">
            <x v="0"/>
          </reference>
          <reference field="87" count="1" selected="0">
            <x v="3876"/>
          </reference>
          <reference field="88" count="1">
            <x v="2835"/>
          </reference>
        </references>
      </pivotArea>
    </format>
    <format dxfId="15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445"/>
          </reference>
          <reference field="82" count="1" selected="0">
            <x v="3045"/>
          </reference>
          <reference field="85" count="1" selected="0">
            <x v="0"/>
          </reference>
          <reference field="87" count="1" selected="0">
            <x v="3859"/>
          </reference>
          <reference field="88" count="1">
            <x v="2836"/>
          </reference>
        </references>
      </pivotArea>
    </format>
    <format dxfId="15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66"/>
          </reference>
          <reference field="82" count="1" selected="0">
            <x v="3052"/>
          </reference>
          <reference field="85" count="1" selected="0">
            <x v="2"/>
          </reference>
          <reference field="87" count="1" selected="0">
            <x v="3882"/>
          </reference>
          <reference field="88" count="1">
            <x v="2843"/>
          </reference>
        </references>
      </pivotArea>
    </format>
    <format dxfId="15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44"/>
          </reference>
          <reference field="82" count="1" selected="0">
            <x v="3053"/>
          </reference>
          <reference field="85" count="1" selected="0">
            <x v="2"/>
          </reference>
          <reference field="87" count="1" selected="0">
            <x v="3883"/>
          </reference>
          <reference field="88" count="1">
            <x v="2844"/>
          </reference>
        </references>
      </pivotArea>
    </format>
    <format dxfId="15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467"/>
          </reference>
          <reference field="82" count="1" selected="0">
            <x v="3054"/>
          </reference>
          <reference field="85" count="1" selected="0">
            <x v="2"/>
          </reference>
          <reference field="87" count="1" selected="0">
            <x v="3884"/>
          </reference>
          <reference field="88" count="1">
            <x v="2845"/>
          </reference>
        </references>
      </pivotArea>
    </format>
    <format dxfId="15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76"/>
          </reference>
          <reference field="82" count="1" selected="0">
            <x v="3051"/>
          </reference>
          <reference field="85" count="1" selected="0">
            <x v="2"/>
          </reference>
          <reference field="87" count="1" selected="0">
            <x v="3881"/>
          </reference>
          <reference field="88" count="1">
            <x v="2842"/>
          </reference>
        </references>
      </pivotArea>
    </format>
    <format dxfId="15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468"/>
          </reference>
          <reference field="82" count="1" selected="0">
            <x v="3055"/>
          </reference>
          <reference field="85" count="1" selected="0">
            <x v="2"/>
          </reference>
          <reference field="87" count="1" selected="0">
            <x v="3885"/>
          </reference>
          <reference field="88" count="1">
            <x v="2846"/>
          </reference>
        </references>
      </pivotArea>
    </format>
    <format dxfId="153">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5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92"/>
          </reference>
          <reference field="82" count="1" selected="0">
            <x v="3084"/>
          </reference>
          <reference field="85" count="1" selected="0">
            <x v="7"/>
          </reference>
          <reference field="87" count="1" selected="0">
            <x v="3911"/>
          </reference>
          <reference field="88" count="1">
            <x v="2875"/>
          </reference>
        </references>
      </pivotArea>
    </format>
    <format dxfId="151">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493"/>
          </reference>
          <reference field="82" count="1" selected="0">
            <x v="3085"/>
          </reference>
          <reference field="85" count="1" selected="0">
            <x v="7"/>
          </reference>
          <reference field="87" count="1" selected="0">
            <x v="3912"/>
          </reference>
          <reference field="88" count="1">
            <x v="2876"/>
          </reference>
        </references>
      </pivotArea>
    </format>
    <format dxfId="15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507"/>
          </reference>
          <reference field="82" count="1" selected="0">
            <x v="3113"/>
          </reference>
          <reference field="85" count="1" selected="0">
            <x v="4"/>
          </reference>
          <reference field="87" count="1" selected="0">
            <x v="3937"/>
          </reference>
          <reference field="88" count="1">
            <x v="2907"/>
          </reference>
        </references>
      </pivotArea>
    </format>
    <format dxfId="14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508"/>
          </reference>
          <reference field="82" count="1" selected="0">
            <x v="3114"/>
          </reference>
          <reference field="85" count="1" selected="0">
            <x v="4"/>
          </reference>
          <reference field="87" count="1" selected="0">
            <x v="3938"/>
          </reference>
          <reference field="88" count="1">
            <x v="2908"/>
          </reference>
        </references>
      </pivotArea>
    </format>
    <format dxfId="14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509"/>
          </reference>
          <reference field="82" count="1" selected="0">
            <x v="3115"/>
          </reference>
          <reference field="85" count="1" selected="0">
            <x v="4"/>
          </reference>
          <reference field="87" count="1" selected="0">
            <x v="3939"/>
          </reference>
          <reference field="88" count="1">
            <x v="2909"/>
          </reference>
        </references>
      </pivotArea>
    </format>
    <format dxfId="14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498"/>
          </reference>
          <reference field="82" count="1" selected="0">
            <x v="3091"/>
          </reference>
          <reference field="85" count="1" selected="0">
            <x v="4"/>
          </reference>
          <reference field="87" count="1" selected="0">
            <x v="3917"/>
          </reference>
          <reference field="88" count="1">
            <x v="2882"/>
          </reference>
        </references>
      </pivotArea>
    </format>
    <format dxfId="14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429"/>
          </reference>
          <reference field="82" count="1" selected="0">
            <x v="3006"/>
          </reference>
          <reference field="85" count="1" selected="0">
            <x v="4"/>
          </reference>
          <reference field="87" count="1" selected="0">
            <x v="3941"/>
          </reference>
          <reference field="88" count="1">
            <x v="2914"/>
          </reference>
        </references>
      </pivotArea>
    </format>
    <format dxfId="14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511"/>
          </reference>
          <reference field="82" count="1" selected="0">
            <x v="3120"/>
          </reference>
          <reference field="85" count="1" selected="0">
            <x v="4"/>
          </reference>
          <reference field="87" count="1" selected="0">
            <x v="3942"/>
          </reference>
          <reference field="88" count="1">
            <x v="2915"/>
          </reference>
        </references>
      </pivotArea>
    </format>
    <format dxfId="14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512"/>
          </reference>
          <reference field="82" count="1" selected="0">
            <x v="3121"/>
          </reference>
          <reference field="85" count="1" selected="0">
            <x v="4"/>
          </reference>
          <reference field="87" count="1" selected="0">
            <x v="3944"/>
          </reference>
          <reference field="88" count="1">
            <x v="2916"/>
          </reference>
        </references>
      </pivotArea>
    </format>
    <format dxfId="14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470"/>
          </reference>
          <reference field="82" count="1" selected="0">
            <x v="3122"/>
          </reference>
          <reference field="85" count="1" selected="0">
            <x v="4"/>
          </reference>
          <reference field="87" count="1" selected="0">
            <x v="3945"/>
          </reference>
          <reference field="88" count="1">
            <x v="2917"/>
          </reference>
        </references>
      </pivotArea>
    </format>
    <format dxfId="14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429"/>
          </reference>
          <reference field="82" count="1" selected="0">
            <x v="3117"/>
          </reference>
          <reference field="85" count="1" selected="0">
            <x v="4"/>
          </reference>
          <reference field="87" count="1" selected="0">
            <x v="3941"/>
          </reference>
          <reference field="88" count="1">
            <x v="2911"/>
          </reference>
        </references>
      </pivotArea>
    </format>
    <format dxfId="14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511"/>
          </reference>
          <reference field="82" count="1" selected="0">
            <x v="3118"/>
          </reference>
          <reference field="85" count="1" selected="0">
            <x v="4"/>
          </reference>
          <reference field="87" count="1" selected="0">
            <x v="3942"/>
          </reference>
          <reference field="88" count="1">
            <x v="2912"/>
          </reference>
        </references>
      </pivotArea>
    </format>
    <format dxfId="14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471"/>
          </reference>
          <reference field="82" count="1" selected="0">
            <x v="3119"/>
          </reference>
          <reference field="85" count="1" selected="0">
            <x v="4"/>
          </reference>
          <reference field="87" count="1" selected="0">
            <x v="3943"/>
          </reference>
          <reference field="88" count="1">
            <x v="2913"/>
          </reference>
        </references>
      </pivotArea>
    </format>
    <format dxfId="13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510"/>
          </reference>
          <reference field="82" count="1" selected="0">
            <x v="3116"/>
          </reference>
          <reference field="85" count="1" selected="0">
            <x v="4"/>
          </reference>
          <reference field="87" count="1" selected="0">
            <x v="3940"/>
          </reference>
          <reference field="88" count="1">
            <x v="2910"/>
          </reference>
        </references>
      </pivotArea>
    </format>
    <format dxfId="13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83"/>
          </reference>
          <reference field="82" count="1" selected="0">
            <x v="2948"/>
          </reference>
          <reference field="85" count="1" selected="0">
            <x v="7"/>
          </reference>
          <reference field="87" count="1" selected="0">
            <x v="3795"/>
          </reference>
          <reference field="88" count="1">
            <x v="2739"/>
          </reference>
        </references>
      </pivotArea>
    </format>
    <format dxfId="137">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390"/>
          </reference>
          <reference field="82" count="1" selected="0">
            <x v="2949"/>
          </reference>
          <reference field="85" count="1" selected="0">
            <x v="7"/>
          </reference>
          <reference field="87" count="1" selected="0">
            <x v="3802"/>
          </reference>
          <reference field="88" count="1">
            <x v="2740"/>
          </reference>
        </references>
      </pivotArea>
    </format>
    <format dxfId="136">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80"/>
          </reference>
          <reference field="82" count="1" selected="0">
            <x v="3070"/>
          </reference>
          <reference field="85" count="1" selected="0">
            <x v="2"/>
          </reference>
          <reference field="87" count="1" selected="0">
            <x v="3899"/>
          </reference>
          <reference field="88" count="1">
            <x v="2861"/>
          </reference>
        </references>
      </pivotArea>
    </format>
    <format dxfId="135">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50"/>
          </reference>
          <reference field="82" count="1" selected="0">
            <x v="3128"/>
          </reference>
          <reference field="85" count="1" selected="0">
            <x v="4"/>
          </reference>
          <reference field="87" count="1" selected="0">
            <x v="3948"/>
          </reference>
          <reference field="88" count="1">
            <x v="2923"/>
          </reference>
        </references>
      </pivotArea>
    </format>
    <format dxfId="134">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448"/>
          </reference>
          <reference field="82" count="1" selected="0">
            <x v="3129"/>
          </reference>
          <reference field="85" count="1" selected="0">
            <x v="4"/>
          </reference>
          <reference field="87" count="1" selected="0">
            <x v="3949"/>
          </reference>
          <reference field="88" count="1">
            <x v="2924"/>
          </reference>
        </references>
      </pivotArea>
    </format>
    <format dxfId="133">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47"/>
          </reference>
          <reference field="82" count="1" selected="0">
            <x v="26"/>
          </reference>
          <reference field="85" count="1" selected="0">
            <x v="2"/>
          </reference>
          <reference field="87" count="1" selected="0">
            <x v="804"/>
          </reference>
          <reference field="88" count="1">
            <x v="26"/>
          </reference>
        </references>
      </pivotArea>
    </format>
    <format dxfId="132">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514"/>
          </reference>
          <reference field="82" count="1" selected="0">
            <x v="3131"/>
          </reference>
          <reference field="85" count="1" selected="0">
            <x v="4"/>
          </reference>
          <reference field="87" count="1" selected="0">
            <x v="3951"/>
          </reference>
          <reference field="88" count="1">
            <x v="2926"/>
          </reference>
        </references>
      </pivotArea>
    </format>
    <format dxfId="13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selected="0">
            <x v="3819"/>
          </reference>
          <reference field="88" count="1">
            <x v="2761"/>
          </reference>
        </references>
      </pivotArea>
    </format>
    <format dxfId="13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selected="0">
            <x v="3814"/>
          </reference>
          <reference field="88" count="1">
            <x v="2756"/>
          </reference>
        </references>
      </pivotArea>
    </format>
    <format dxfId="12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selected="0">
            <x v="3820"/>
          </reference>
          <reference field="88" count="1">
            <x v="2762"/>
          </reference>
        </references>
      </pivotArea>
    </format>
    <format dxfId="12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selected="0">
            <x v="3821"/>
          </reference>
          <reference field="88" count="1">
            <x v="2763"/>
          </reference>
        </references>
      </pivotArea>
    </format>
    <format dxfId="127">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2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selected="0">
            <x v="3927"/>
          </reference>
          <reference field="88" count="1">
            <x v="2892"/>
          </reference>
        </references>
      </pivotArea>
    </format>
    <format dxfId="12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selected="0">
            <x v="3923"/>
          </reference>
          <reference field="88" count="1">
            <x v="2888"/>
          </reference>
        </references>
      </pivotArea>
    </format>
    <format dxfId="12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12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selected="0">
            <x v="3926"/>
          </reference>
          <reference field="88" count="1">
            <x v="2891"/>
          </reference>
        </references>
      </pivotArea>
    </format>
    <format dxfId="12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12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selected="0">
            <x v="3819"/>
          </reference>
          <reference field="88" count="1">
            <x v="2761"/>
          </reference>
        </references>
      </pivotArea>
    </format>
    <format dxfId="12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selected="0">
            <x v="3814"/>
          </reference>
          <reference field="88" count="1">
            <x v="2756"/>
          </reference>
        </references>
      </pivotArea>
    </format>
    <format dxfId="11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selected="0">
            <x v="3820"/>
          </reference>
          <reference field="88" count="1">
            <x v="2762"/>
          </reference>
        </references>
      </pivotArea>
    </format>
    <format dxfId="11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selected="0">
            <x v="3821"/>
          </reference>
          <reference field="88" count="1">
            <x v="2763"/>
          </reference>
        </references>
      </pivotArea>
    </format>
    <format dxfId="117">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1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selected="0">
            <x v="3927"/>
          </reference>
          <reference field="88" count="1">
            <x v="2892"/>
          </reference>
        </references>
      </pivotArea>
    </format>
    <format dxfId="11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selected="0">
            <x v="3923"/>
          </reference>
          <reference field="88" count="1">
            <x v="2888"/>
          </reference>
        </references>
      </pivotArea>
    </format>
    <format dxfId="11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11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selected="0">
            <x v="3926"/>
          </reference>
          <reference field="88" count="1">
            <x v="2891"/>
          </reference>
        </references>
      </pivotArea>
    </format>
    <format dxfId="11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11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selected="0">
            <x v="3819"/>
          </reference>
          <reference field="88" count="1">
            <x v="2761"/>
          </reference>
        </references>
      </pivotArea>
    </format>
    <format dxfId="11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selected="0">
            <x v="3814"/>
          </reference>
          <reference field="88" count="1">
            <x v="2756"/>
          </reference>
        </references>
      </pivotArea>
    </format>
    <format dxfId="10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selected="0">
            <x v="3820"/>
          </reference>
          <reference field="88" count="1">
            <x v="2762"/>
          </reference>
        </references>
      </pivotArea>
    </format>
    <format dxfId="10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selected="0">
            <x v="3821"/>
          </reference>
          <reference field="88" count="1">
            <x v="2763"/>
          </reference>
        </references>
      </pivotArea>
    </format>
    <format dxfId="107">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0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75"/>
          </reference>
          <reference field="82" count="1" selected="0">
            <x v="2930"/>
          </reference>
          <reference field="85" count="1" selected="0">
            <x v="4"/>
          </reference>
          <reference field="87" count="1" selected="0">
            <x v="3927"/>
          </reference>
          <reference field="88" count="1">
            <x v="2892"/>
          </reference>
        </references>
      </pivotArea>
    </format>
    <format dxfId="10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69"/>
          </reference>
          <reference field="82" count="1" selected="0">
            <x v="3097"/>
          </reference>
          <reference field="85" count="1" selected="0">
            <x v="4"/>
          </reference>
          <reference field="87" count="1" selected="0">
            <x v="3923"/>
          </reference>
          <reference field="88" count="1">
            <x v="2888"/>
          </reference>
        </references>
      </pivotArea>
    </format>
    <format dxfId="10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434"/>
          </reference>
          <reference field="82" count="1" selected="0">
            <x v="3098"/>
          </reference>
          <reference field="85" count="1" selected="0">
            <x v="4"/>
          </reference>
          <reference field="87" count="1" selected="0">
            <x v="3924"/>
          </reference>
          <reference field="88" count="1">
            <x v="2889"/>
          </reference>
        </references>
      </pivotArea>
    </format>
    <format dxfId="10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67"/>
          </reference>
          <reference field="82" count="1" selected="0">
            <x v="3100"/>
          </reference>
          <reference field="85" count="1" selected="0">
            <x v="4"/>
          </reference>
          <reference field="87" count="1" selected="0">
            <x v="3926"/>
          </reference>
          <reference field="88" count="1">
            <x v="2891"/>
          </reference>
        </references>
      </pivotArea>
    </format>
    <format dxfId="10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56"/>
          </reference>
          <reference field="82" count="1" selected="0">
            <x v="3099"/>
          </reference>
          <reference field="85" count="1" selected="0">
            <x v="4"/>
          </reference>
          <reference field="87" count="1" selected="0">
            <x v="3925"/>
          </reference>
          <reference field="88" count="1">
            <x v="2890"/>
          </reference>
        </references>
      </pivotArea>
    </format>
    <format dxfId="101">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0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513"/>
          </reference>
          <reference field="82" count="1" selected="0">
            <x v="3124"/>
          </reference>
          <reference field="85" count="1" selected="0">
            <x v="4"/>
          </reference>
          <reference field="87" count="1" selected="0">
            <x v="3947"/>
          </reference>
          <reference field="88" count="1">
            <x v="2919"/>
          </reference>
        </references>
      </pivotArea>
    </format>
    <format dxfId="9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507"/>
          </reference>
          <reference field="82" count="1" selected="0">
            <x v="3127"/>
          </reference>
          <reference field="85" count="1" selected="0">
            <x v="4"/>
          </reference>
          <reference field="87" count="1" selected="0">
            <x v="3937"/>
          </reference>
          <reference field="88" count="1">
            <x v="2922"/>
          </reference>
        </references>
      </pivotArea>
    </format>
    <format dxfId="9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56"/>
          </reference>
          <reference field="82" count="1" selected="0">
            <x v="3125"/>
          </reference>
          <reference field="85" count="1" selected="0">
            <x v="4"/>
          </reference>
          <reference field="87" count="1" selected="0">
            <x v="3925"/>
          </reference>
          <reference field="88" count="1">
            <x v="2920"/>
          </reference>
        </references>
      </pivotArea>
    </format>
    <format dxfId="9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506"/>
          </reference>
          <reference field="82" count="1" selected="0">
            <x v="3126"/>
          </reference>
          <reference field="85" count="1" selected="0">
            <x v="4"/>
          </reference>
          <reference field="87" count="1" selected="0">
            <x v="3936"/>
          </reference>
          <reference field="88" count="1">
            <x v="2921"/>
          </reference>
        </references>
      </pivotArea>
    </format>
    <format dxfId="9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selected="0">
            <x v="2934"/>
          </reference>
          <reference field="85" count="1" selected="0">
            <x v="4"/>
          </reference>
          <reference field="87" count="1" selected="0">
            <x v="3932"/>
          </reference>
          <reference field="88" count="1">
            <x v="2897"/>
          </reference>
        </references>
      </pivotArea>
    </format>
    <format dxfId="9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3105"/>
          </reference>
          <reference field="85" count="1" selected="0">
            <x v="4"/>
          </reference>
          <reference field="87" count="1" selected="0">
            <x v="3933"/>
          </reference>
          <reference field="88" count="1">
            <x v="2898"/>
          </reference>
        </references>
      </pivotArea>
    </format>
    <format dxfId="9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06"/>
          </reference>
          <reference field="85" count="1" selected="0">
            <x v="4"/>
          </reference>
          <reference field="87" count="1" selected="0">
            <x v="3934"/>
          </reference>
          <reference field="88" count="1">
            <x v="2899"/>
          </reference>
        </references>
      </pivotArea>
    </format>
    <format dxfId="9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07"/>
          </reference>
          <reference field="85" count="1" selected="0">
            <x v="4"/>
          </reference>
          <reference field="87" count="1" selected="0">
            <x v="3935"/>
          </reference>
          <reference field="88" count="1">
            <x v="2900"/>
          </reference>
        </references>
      </pivotArea>
    </format>
    <format dxfId="9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79"/>
          </reference>
          <reference field="82" count="1" selected="0">
            <x v="2934"/>
          </reference>
          <reference field="85" count="1" selected="0">
            <x v="4"/>
          </reference>
          <reference field="87" count="1" selected="0">
            <x v="3932"/>
          </reference>
          <reference field="88" count="1">
            <x v="2897"/>
          </reference>
        </references>
      </pivotArea>
    </format>
    <format dxfId="9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3105"/>
          </reference>
          <reference field="85" count="1" selected="0">
            <x v="4"/>
          </reference>
          <reference field="87" count="1" selected="0">
            <x v="3933"/>
          </reference>
          <reference field="88" count="1">
            <x v="2898"/>
          </reference>
        </references>
      </pivotArea>
    </format>
    <format dxfId="9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06"/>
          </reference>
          <reference field="85" count="1" selected="0">
            <x v="4"/>
          </reference>
          <reference field="87" count="1" selected="0">
            <x v="3934"/>
          </reference>
          <reference field="88" count="1">
            <x v="2899"/>
          </reference>
        </references>
      </pivotArea>
    </format>
    <format dxfId="8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07"/>
          </reference>
          <reference field="85" count="1" selected="0">
            <x v="4"/>
          </reference>
          <reference field="87" count="1" selected="0">
            <x v="3935"/>
          </reference>
          <reference field="88" count="1">
            <x v="2900"/>
          </reference>
        </references>
      </pivotArea>
    </format>
    <format dxfId="8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374"/>
          </reference>
          <reference field="82" count="1" selected="0">
            <x v="3094"/>
          </reference>
          <reference field="85" count="1" selected="0">
            <x v="4"/>
          </reference>
          <reference field="87" count="1" selected="0">
            <x v="3920"/>
          </reference>
          <reference field="88" count="1">
            <x v="2885"/>
          </reference>
        </references>
      </pivotArea>
    </format>
    <format dxfId="8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501"/>
          </reference>
          <reference field="82" count="1" selected="0">
            <x v="3095"/>
          </reference>
          <reference field="85" count="1" selected="0">
            <x v="4"/>
          </reference>
          <reference field="87" count="1" selected="0">
            <x v="3921"/>
          </reference>
          <reference field="88" count="1">
            <x v="2886"/>
          </reference>
        </references>
      </pivotArea>
    </format>
    <format dxfId="8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500"/>
          </reference>
          <reference field="82" count="1" selected="0">
            <x v="3093"/>
          </reference>
          <reference field="85" count="1" selected="0">
            <x v="4"/>
          </reference>
          <reference field="87" count="1" selected="0">
            <x v="3919"/>
          </reference>
          <reference field="88" count="1">
            <x v="2884"/>
          </reference>
        </references>
      </pivotArea>
    </format>
    <format dxfId="8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502"/>
          </reference>
          <reference field="82" count="1" selected="0">
            <x v="3096"/>
          </reference>
          <reference field="85" count="1" selected="0">
            <x v="4"/>
          </reference>
          <reference field="87" count="1" selected="0">
            <x v="3922"/>
          </reference>
          <reference field="88" count="1">
            <x v="2887"/>
          </reference>
        </references>
      </pivotArea>
    </format>
    <format dxfId="84">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83">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8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478"/>
          </reference>
          <reference field="82" count="1" selected="0">
            <x v="3068"/>
          </reference>
          <reference field="85" count="1" selected="0">
            <x v="2"/>
          </reference>
          <reference field="87" count="1" selected="0">
            <x v="3897"/>
          </reference>
          <reference field="88" count="1">
            <x v="2859"/>
          </reference>
        </references>
      </pivotArea>
    </format>
    <format dxfId="8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479"/>
          </reference>
          <reference field="82" count="1" selected="0">
            <x v="3069"/>
          </reference>
          <reference field="85" count="1" selected="0">
            <x v="2"/>
          </reference>
          <reference field="87" count="1" selected="0">
            <x v="3898"/>
          </reference>
          <reference field="88" count="1">
            <x v="2860"/>
          </reference>
        </references>
      </pivotArea>
    </format>
    <format dxfId="8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477"/>
          </reference>
          <reference field="82" count="1" selected="0">
            <x v="3067"/>
          </reference>
          <reference field="85" count="1" selected="0">
            <x v="2"/>
          </reference>
          <reference field="87" count="1" selected="0">
            <x v="3896"/>
          </reference>
          <reference field="88" count="1">
            <x v="2858"/>
          </reference>
        </references>
      </pivotArea>
    </format>
    <format dxfId="7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407"/>
          </reference>
          <reference field="82" count="1" selected="0">
            <x v="2970"/>
          </reference>
          <reference field="85" count="1" selected="0">
            <x v="4"/>
          </reference>
          <reference field="87" count="1" selected="0">
            <x v="3819"/>
          </reference>
          <reference field="88" count="1">
            <x v="2761"/>
          </reference>
        </references>
      </pivotArea>
    </format>
    <format dxfId="7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402"/>
          </reference>
          <reference field="82" count="1" selected="0">
            <x v="2965"/>
          </reference>
          <reference field="85" count="1" selected="0">
            <x v="4"/>
          </reference>
          <reference field="87" count="1" selected="0">
            <x v="3814"/>
          </reference>
          <reference field="88" count="1">
            <x v="2756"/>
          </reference>
        </references>
      </pivotArea>
    </format>
    <format dxfId="7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408"/>
          </reference>
          <reference field="82" count="1" selected="0">
            <x v="2971"/>
          </reference>
          <reference field="85" count="1" selected="0">
            <x v="4"/>
          </reference>
          <reference field="87" count="1" selected="0">
            <x v="3820"/>
          </reference>
          <reference field="88" count="1">
            <x v="2762"/>
          </reference>
        </references>
      </pivotArea>
    </format>
    <format dxfId="7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409"/>
          </reference>
          <reference field="82" count="1" selected="0">
            <x v="2972"/>
          </reference>
          <reference field="85" count="1" selected="0">
            <x v="4"/>
          </reference>
          <reference field="87" count="1" selected="0">
            <x v="3821"/>
          </reference>
          <reference field="88" count="1">
            <x v="2763"/>
          </reference>
        </references>
      </pivotArea>
    </format>
    <format dxfId="7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selected="0">
            <x v="3101"/>
          </reference>
          <reference field="85" count="1" selected="0">
            <x v="4"/>
          </reference>
          <reference field="87" count="1" selected="0">
            <x v="3928"/>
          </reference>
          <reference field="88" count="1">
            <x v="2893"/>
          </reference>
        </references>
      </pivotArea>
    </format>
    <format dxfId="7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selected="0">
            <x v="3103"/>
          </reference>
          <reference field="85" count="1" selected="0">
            <x v="4"/>
          </reference>
          <reference field="87" count="1" selected="0">
            <x v="3930"/>
          </reference>
          <reference field="88" count="1">
            <x v="2895"/>
          </reference>
        </references>
      </pivotArea>
    </format>
    <format dxfId="7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selected="0">
            <x v="3104"/>
          </reference>
          <reference field="85" count="1" selected="0">
            <x v="4"/>
          </reference>
          <reference field="87" count="1" selected="0">
            <x v="3931"/>
          </reference>
          <reference field="88" count="1">
            <x v="2896"/>
          </reference>
        </references>
      </pivotArea>
    </format>
    <format dxfId="7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selected="0">
            <x v="3102"/>
          </reference>
          <reference field="85" count="1" selected="0">
            <x v="4"/>
          </reference>
          <reference field="87" count="1" selected="0">
            <x v="3929"/>
          </reference>
          <reference field="88" count="1">
            <x v="2894"/>
          </reference>
        </references>
      </pivotArea>
    </format>
    <format dxfId="7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53"/>
          </reference>
          <reference field="82" count="1" selected="0">
            <x v="3101"/>
          </reference>
          <reference field="85" count="1" selected="0">
            <x v="4"/>
          </reference>
          <reference field="87" count="1" selected="0">
            <x v="3928"/>
          </reference>
          <reference field="88" count="1">
            <x v="2893"/>
          </reference>
        </references>
      </pivotArea>
    </format>
    <format dxfId="7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504"/>
          </reference>
          <reference field="82" count="1" selected="0">
            <x v="3103"/>
          </reference>
          <reference field="85" count="1" selected="0">
            <x v="4"/>
          </reference>
          <reference field="87" count="1" selected="0">
            <x v="3930"/>
          </reference>
          <reference field="88" count="1">
            <x v="2895"/>
          </reference>
        </references>
      </pivotArea>
    </format>
    <format dxfId="6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57"/>
          </reference>
          <reference field="82" count="1" selected="0">
            <x v="3104"/>
          </reference>
          <reference field="85" count="1" selected="0">
            <x v="4"/>
          </reference>
          <reference field="87" count="1" selected="0">
            <x v="3931"/>
          </reference>
          <reference field="88" count="1">
            <x v="2896"/>
          </reference>
        </references>
      </pivotArea>
    </format>
    <format dxfId="6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503"/>
          </reference>
          <reference field="82" count="1" selected="0">
            <x v="3102"/>
          </reference>
          <reference field="85" count="1" selected="0">
            <x v="4"/>
          </reference>
          <reference field="87" count="1" selected="0">
            <x v="3929"/>
          </reference>
          <reference field="88" count="1">
            <x v="2894"/>
          </reference>
        </references>
      </pivotArea>
    </format>
    <format dxfId="67">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66">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71"/>
          </reference>
          <reference field="82" count="1" selected="0">
            <x v="2926"/>
          </reference>
          <reference field="85" count="1" selected="0">
            <x v="3"/>
          </reference>
          <reference field="87" count="1" selected="0">
            <x v="3783"/>
          </reference>
          <reference field="88" count="1">
            <x v="2717"/>
          </reference>
        </references>
      </pivotArea>
    </format>
    <format dxfId="65">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515"/>
          </reference>
          <reference field="82" count="1" selected="0">
            <x v="3133"/>
          </reference>
          <reference field="85" count="1" selected="0">
            <x v="4"/>
          </reference>
          <reference field="87" count="1" selected="0">
            <x v="3953"/>
          </reference>
          <reference field="88" count="1">
            <x v="2929"/>
          </reference>
        </references>
      </pivotArea>
    </format>
    <format dxfId="64">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6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0"/>
          </reference>
          <reference field="85" count="1" selected="0">
            <x v="7"/>
          </reference>
          <reference field="87" count="1" selected="0">
            <x v="3810"/>
          </reference>
          <reference field="88" count="1">
            <x v="2751"/>
          </reference>
        </references>
      </pivotArea>
    </format>
    <format dxfId="6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72"/>
          </reference>
          <reference field="82" count="1" selected="0">
            <x v="2927"/>
          </reference>
          <reference field="85" count="1" selected="0">
            <x v="3"/>
          </reference>
          <reference field="87" count="1" selected="0">
            <x v="3784"/>
          </reference>
          <reference field="88" count="1">
            <x v="2718"/>
          </reference>
        </references>
      </pivotArea>
    </format>
    <format dxfId="61">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98"/>
          </reference>
          <reference field="82" count="1" selected="0">
            <x v="2961"/>
          </reference>
          <reference field="85" count="1" selected="0">
            <x v="7"/>
          </reference>
          <reference field="87" count="1" selected="0">
            <x v="3810"/>
          </reference>
          <reference field="88" count="1">
            <x v="2752"/>
          </reference>
        </references>
      </pivotArea>
    </format>
    <format dxfId="60">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45"/>
          </reference>
          <reference field="82" count="1" selected="0">
            <x v="2021"/>
          </reference>
          <reference field="85" count="1" selected="0">
            <x v="2"/>
          </reference>
          <reference field="87" count="1" selected="0">
            <x v="2929"/>
          </reference>
          <reference field="88" count="1">
            <x v="1807"/>
          </reference>
        </references>
      </pivotArea>
    </format>
    <format dxfId="59">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58">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517"/>
          </reference>
          <reference field="82" count="1" selected="0">
            <x v="3135"/>
          </reference>
          <reference field="85" count="1" selected="0">
            <x v="7"/>
          </reference>
          <reference field="87" count="1" selected="0">
            <x v="3955"/>
          </reference>
          <reference field="88" count="1">
            <x v="2931"/>
          </reference>
        </references>
      </pivotArea>
    </format>
    <format dxfId="57">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 field="85" count="1" selected="0">
            <x v="7"/>
          </reference>
          <reference field="87" count="1" selected="0">
            <x v="3957"/>
          </reference>
          <reference field="88" count="1">
            <x v="2933"/>
          </reference>
        </references>
      </pivotArea>
    </format>
    <format dxfId="56">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55">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48"/>
          </reference>
          <reference field="82" count="1" selected="0">
            <x v="2024"/>
          </reference>
          <reference field="85" count="1" selected="0">
            <x v="2"/>
          </reference>
          <reference field="87" count="1" selected="0">
            <x v="2932"/>
          </reference>
          <reference field="88" count="1">
            <x v="1810"/>
          </reference>
        </references>
      </pivotArea>
    </format>
    <format dxfId="54">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 field="85" count="1" selected="0">
            <x v="2"/>
          </reference>
          <reference field="87" count="1" selected="0">
            <x v="2930"/>
          </reference>
          <reference field="88" count="1">
            <x v="1808"/>
          </reference>
        </references>
      </pivotArea>
    </format>
    <format dxfId="53">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518"/>
          </reference>
          <reference field="82" count="1" selected="0">
            <x v="3136"/>
          </reference>
          <reference field="85" count="1" selected="0">
            <x v="7"/>
          </reference>
          <reference field="87" count="1" selected="0">
            <x v="3956"/>
          </reference>
          <reference field="88" count="1">
            <x v="2932"/>
          </reference>
        </references>
      </pivotArea>
    </format>
    <format dxfId="52">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94"/>
          </reference>
          <reference field="82" count="1" selected="0">
            <x v="2953"/>
          </reference>
          <reference field="85" count="1" selected="0">
            <x v="2"/>
          </reference>
          <reference field="87" count="1" selected="0">
            <x v="3806"/>
          </reference>
          <reference field="88" count="1">
            <x v="2744"/>
          </reference>
        </references>
      </pivotArea>
    </format>
    <format dxfId="51">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520"/>
          </reference>
          <reference field="82" count="1" selected="0">
            <x v="3138"/>
          </reference>
          <reference field="85" count="1" selected="0">
            <x v="8"/>
          </reference>
          <reference field="87" count="1" selected="0">
            <x v="3958"/>
          </reference>
          <reference field="88" count="1">
            <x v="2934"/>
          </reference>
        </references>
      </pivotArea>
    </format>
    <format dxfId="50">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519"/>
          </reference>
          <reference field="82" count="1" selected="0">
            <x v="3137"/>
          </reference>
          <reference field="85" count="1" selected="0">
            <x v="7"/>
          </reference>
          <reference field="87" count="1" selected="0">
            <x v="3957"/>
          </reference>
          <reference field="88" count="1">
            <x v="2933"/>
          </reference>
        </references>
      </pivotArea>
    </format>
    <format dxfId="49">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46"/>
          </reference>
          <reference field="82" count="1" selected="0">
            <x v="2022"/>
          </reference>
          <reference field="85" count="1" selected="0">
            <x v="2"/>
          </reference>
          <reference field="87" count="1" selected="0">
            <x v="2930"/>
          </reference>
          <reference field="88" count="1">
            <x v="1808"/>
          </reference>
        </references>
      </pivotArea>
    </format>
    <format dxfId="48">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549"/>
          </reference>
          <reference field="82" count="1" selected="0">
            <x v="2025"/>
          </reference>
          <reference field="85" count="1" selected="0">
            <x v="2"/>
          </reference>
          <reference field="87" count="1" selected="0">
            <x v="2933"/>
          </reference>
          <reference field="88" count="1">
            <x v="1811"/>
          </reference>
        </references>
      </pivotArea>
    </format>
    <format dxfId="47">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547"/>
          </reference>
          <reference field="82" count="1" selected="0">
            <x v="2023"/>
          </reference>
          <reference field="85" count="1" selected="0">
            <x v="2"/>
          </reference>
          <reference field="87" count="1" selected="0">
            <x v="2931"/>
          </reference>
          <reference field="88" count="1">
            <x v="1809"/>
          </reference>
        </references>
      </pivotArea>
    </format>
    <format dxfId="46">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45">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44">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43">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4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370"/>
          </reference>
          <reference field="82" count="1" selected="0">
            <x v="2925"/>
          </reference>
          <reference field="85" count="1" selected="0">
            <x v="3"/>
          </reference>
          <reference field="87" count="1" selected="0">
            <x v="3782"/>
          </reference>
          <reference field="88" count="1">
            <x v="2716"/>
          </reference>
        </references>
      </pivotArea>
    </format>
    <format dxfId="4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47"/>
          </reference>
          <reference field="82" count="1" selected="0">
            <x v="3130"/>
          </reference>
          <reference field="85" count="1" selected="0">
            <x v="4"/>
          </reference>
          <reference field="87" count="1" selected="0">
            <x v="3950"/>
          </reference>
          <reference field="88" count="1">
            <x v="2925"/>
          </reference>
        </references>
      </pivotArea>
    </format>
    <format dxfId="4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selected="0">
            <x v="2"/>
          </reference>
          <reference field="87" count="1" selected="0">
            <x v="3890"/>
          </reference>
          <reference field="88" count="1">
            <x v="2851"/>
          </reference>
        </references>
      </pivotArea>
    </format>
    <format dxfId="3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472"/>
          </reference>
          <reference field="82" count="1" selected="0">
            <x v="3061"/>
          </reference>
          <reference field="85" count="1" selected="0">
            <x v="2"/>
          </reference>
          <reference field="87" count="1" selected="0">
            <x v="3891"/>
          </reference>
          <reference field="88" count="1">
            <x v="2852"/>
          </reference>
        </references>
      </pivotArea>
    </format>
    <format dxfId="3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477"/>
          </reference>
          <reference field="82" count="1" selected="0">
            <x v="3066"/>
          </reference>
          <reference field="85" count="1" selected="0">
            <x v="2"/>
          </reference>
          <reference field="87" count="1" selected="0">
            <x v="3896"/>
          </reference>
          <reference field="88" count="1">
            <x v="2857"/>
          </reference>
        </references>
      </pivotArea>
    </format>
    <format dxfId="3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475"/>
          </reference>
          <reference field="82" count="1" selected="0">
            <x v="3064"/>
          </reference>
          <reference field="85" count="1" selected="0">
            <x v="2"/>
          </reference>
          <reference field="87" count="1" selected="0">
            <x v="3894"/>
          </reference>
          <reference field="88" count="1">
            <x v="2855"/>
          </reference>
        </references>
      </pivotArea>
    </format>
    <format dxfId="3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474"/>
          </reference>
          <reference field="82" count="1" selected="0">
            <x v="3063"/>
          </reference>
          <reference field="85" count="1" selected="0">
            <x v="2"/>
          </reference>
          <reference field="87" count="1" selected="0">
            <x v="3893"/>
          </reference>
          <reference field="88" count="1">
            <x v="2854"/>
          </reference>
        </references>
      </pivotArea>
    </format>
    <format dxfId="3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473"/>
          </reference>
          <reference field="82" count="1" selected="0">
            <x v="3062"/>
          </reference>
          <reference field="85" count="1" selected="0">
            <x v="2"/>
          </reference>
          <reference field="87" count="1" selected="0">
            <x v="3892"/>
          </reference>
          <reference field="88" count="1">
            <x v="2853"/>
          </reference>
        </references>
      </pivotArea>
    </format>
    <format dxfId="3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selected="0">
            <x v="3059"/>
          </reference>
          <reference field="85" count="1" selected="0">
            <x v="2"/>
          </reference>
          <reference field="87" count="1" selected="0">
            <x v="3889"/>
          </reference>
          <reference field="88" count="1">
            <x v="2850"/>
          </reference>
        </references>
      </pivotArea>
    </format>
    <format dxfId="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476"/>
          </reference>
          <reference field="82" count="1" selected="0">
            <x v="3065"/>
          </reference>
          <reference field="85" count="1" selected="0">
            <x v="2"/>
          </reference>
          <reference field="87" count="1" selected="0">
            <x v="3895"/>
          </reference>
          <reference field="88" count="1">
            <x v="2856"/>
          </reference>
        </references>
      </pivotArea>
    </format>
    <format dxfId="32">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516"/>
          </reference>
          <reference field="82" count="1" selected="0">
            <x v="3134"/>
          </reference>
          <reference field="85" count="1" selected="0">
            <x v="4"/>
          </reference>
          <reference field="87" count="1" selected="0">
            <x v="3954"/>
          </reference>
          <reference field="88" count="1">
            <x v="2930"/>
          </reference>
        </references>
      </pivotArea>
    </format>
    <format dxfId="31">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97"/>
          </reference>
          <reference field="82" count="1" selected="0">
            <x v="2959"/>
          </reference>
          <reference field="85" count="1" selected="0">
            <x v="2"/>
          </reference>
          <reference field="87" count="1" selected="0">
            <x v="3809"/>
          </reference>
          <reference field="88" count="1">
            <x v="2750"/>
          </reference>
        </references>
      </pivotArea>
    </format>
    <format dxfId="3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7"/>
          </reference>
          <reference field="85" count="1" selected="0">
            <x v="7"/>
          </reference>
          <reference field="87" count="1" selected="0">
            <x v="3808"/>
          </reference>
          <reference field="88" count="1">
            <x v="2748"/>
          </reference>
        </references>
      </pivotArea>
    </format>
    <format dxfId="2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71"/>
          </reference>
          <reference field="82" count="1" selected="0">
            <x v="3060"/>
          </reference>
          <reference field="85" count="1" selected="0">
            <x v="2"/>
          </reference>
          <reference field="87" count="1" selected="0">
            <x v="3890"/>
          </reference>
          <reference field="88" count="1">
            <x v="2851"/>
          </reference>
        </references>
      </pivotArea>
    </format>
    <format dxfId="2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70"/>
          </reference>
          <reference field="82" count="1" selected="0">
            <x v="3059"/>
          </reference>
          <reference field="85" count="1" selected="0">
            <x v="2"/>
          </reference>
          <reference field="87" count="1" selected="0">
            <x v="3889"/>
          </reference>
          <reference field="88" count="1">
            <x v="2850"/>
          </reference>
        </references>
      </pivotArea>
    </format>
    <format dxfId="27">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96"/>
          </reference>
          <reference field="82" count="1" selected="0">
            <x v="2958"/>
          </reference>
          <reference field="85" count="1" selected="0">
            <x v="7"/>
          </reference>
          <reference field="87" count="1" selected="0">
            <x v="3808"/>
          </reference>
          <reference field="88" count="1">
            <x v="2749"/>
          </reference>
        </references>
      </pivotArea>
    </format>
    <format dxfId="2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431"/>
          </reference>
          <reference field="82" count="1" selected="0">
            <x v="3123"/>
          </reference>
          <reference field="85" count="1" selected="0">
            <x v="4"/>
          </reference>
          <reference field="87" count="1" selected="0">
            <x v="3946"/>
          </reference>
          <reference field="88" count="1">
            <x v="2918"/>
          </reference>
        </references>
      </pivotArea>
    </format>
    <format dxfId="25">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24">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89"/>
          </reference>
          <reference field="82" count="1" selected="0">
            <x v="3081"/>
          </reference>
          <reference field="85" count="1" selected="0">
            <x v="7"/>
          </reference>
          <reference field="87" count="1" selected="0">
            <x v="3908"/>
          </reference>
          <reference field="88" count="1">
            <x v="2872"/>
          </reference>
        </references>
      </pivotArea>
    </format>
    <format dxfId="23">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491"/>
          </reference>
          <reference field="82" count="1" selected="0">
            <x v="3083"/>
          </reference>
          <reference field="85" count="1" selected="0">
            <x v="7"/>
          </reference>
          <reference field="87" count="1" selected="0">
            <x v="3910"/>
          </reference>
          <reference field="88" count="1">
            <x v="2874"/>
          </reference>
        </references>
      </pivotArea>
    </format>
    <format dxfId="2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392"/>
          </reference>
          <reference field="82" count="1" selected="0">
            <x v="2951"/>
          </reference>
          <reference field="85" count="1" selected="0">
            <x v="7"/>
          </reference>
          <reference field="87" count="1" selected="0">
            <x v="3804"/>
          </reference>
          <reference field="88" count="1">
            <x v="2742"/>
          </reference>
        </references>
      </pivotArea>
    </format>
    <format dxfId="2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391"/>
          </reference>
          <reference field="82" count="1" selected="0">
            <x v="2950"/>
          </reference>
          <reference field="85" count="1" selected="0">
            <x v="7"/>
          </reference>
          <reference field="87" count="1" selected="0">
            <x v="3803"/>
          </reference>
          <reference field="88" count="1">
            <x v="2741"/>
          </reference>
        </references>
      </pivotArea>
    </format>
    <format dxfId="20">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3"/>
          </reference>
          <reference field="81" count="1" selected="0">
            <x v="4416"/>
          </reference>
          <reference field="82" count="1" selected="0">
            <x v="2979"/>
          </reference>
          <reference field="85" count="1" selected="0">
            <x v="4"/>
          </reference>
          <reference field="87" count="1" selected="0">
            <x v="3828"/>
          </reference>
          <reference field="88" count="1">
            <x v="2770"/>
          </reference>
        </references>
      </pivotArea>
    </format>
    <format dxfId="19">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17"/>
          </reference>
          <reference field="81" count="1" selected="0">
            <x v="4417"/>
          </reference>
          <reference field="82" count="1" selected="0">
            <x v="2980"/>
          </reference>
          <reference field="85" count="1" selected="0">
            <x v="4"/>
          </reference>
          <reference field="87" count="1" selected="0">
            <x v="3829"/>
          </reference>
          <reference field="88" count="1">
            <x v="2771"/>
          </reference>
        </references>
      </pivotArea>
    </format>
    <format dxfId="18">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8"/>
          </reference>
          <reference field="81" count="1" selected="0">
            <x v="4414"/>
          </reference>
          <reference field="82" count="1" selected="0">
            <x v="2977"/>
          </reference>
          <reference field="85" count="1" selected="0">
            <x v="4"/>
          </reference>
          <reference field="87" count="1" selected="0">
            <x v="3826"/>
          </reference>
          <reference field="88" count="1">
            <x v="2768"/>
          </reference>
        </references>
      </pivotArea>
    </format>
    <format dxfId="17">
      <pivotArea dataOnly="0" labelOnly="1" outline="0" fieldPosition="0">
        <references count="14">
          <reference field="1" count="1" selected="0">
            <x v="47"/>
          </reference>
          <reference field="2" count="1" selected="0">
            <x v="6"/>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5"/>
          </reference>
          <reference field="81" count="1" selected="0">
            <x v="4415"/>
          </reference>
          <reference field="82" count="1" selected="0">
            <x v="2978"/>
          </reference>
          <reference field="85" count="1" selected="0">
            <x v="4"/>
          </reference>
          <reference field="87" count="1" selected="0">
            <x v="3827"/>
          </reference>
          <reference field="88" count="1">
            <x v="2769"/>
          </reference>
        </references>
      </pivotArea>
    </format>
    <format dxfId="16">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8"/>
          </reference>
          <reference field="81" count="1" selected="0">
            <x v="4410"/>
          </reference>
          <reference field="82" count="1" selected="0">
            <x v="2973"/>
          </reference>
          <reference field="85" count="1" selected="0">
            <x v="4"/>
          </reference>
          <reference field="87" count="1" selected="0">
            <x v="3822"/>
          </reference>
          <reference field="88" count="1">
            <x v="2764"/>
          </reference>
        </references>
      </pivotArea>
    </format>
    <format dxfId="15">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20"/>
          </reference>
          <reference field="81" count="1" selected="0">
            <x v="4411"/>
          </reference>
          <reference field="82" count="1" selected="0">
            <x v="2974"/>
          </reference>
          <reference field="85" count="1" selected="0">
            <x v="4"/>
          </reference>
          <reference field="87" count="1" selected="0">
            <x v="3823"/>
          </reference>
          <reference field="88" count="1">
            <x v="2765"/>
          </reference>
        </references>
      </pivotArea>
    </format>
    <format dxfId="14">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3"/>
          </reference>
          <reference field="81" count="1" selected="0">
            <x v="4412"/>
          </reference>
          <reference field="82" count="1" selected="0">
            <x v="2975"/>
          </reference>
          <reference field="85" count="1" selected="0">
            <x v="4"/>
          </reference>
          <reference field="87" count="1" selected="0">
            <x v="3824"/>
          </reference>
          <reference field="88" count="1">
            <x v="2766"/>
          </reference>
        </references>
      </pivotArea>
    </format>
    <format dxfId="13">
      <pivotArea dataOnly="0" labelOnly="1" outline="0" fieldPosition="0">
        <references count="14">
          <reference field="1" count="1" selected="0">
            <x v="48"/>
          </reference>
          <reference field="2" count="1" selected="0">
            <x v="8"/>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8"/>
          </reference>
          <reference field="81" count="1" selected="0">
            <x v="4413"/>
          </reference>
          <reference field="82" count="1" selected="0">
            <x v="2976"/>
          </reference>
          <reference field="85" count="1" selected="0">
            <x v="4"/>
          </reference>
          <reference field="87" count="1" selected="0">
            <x v="3825"/>
          </reference>
          <reference field="88" count="1">
            <x v="2767"/>
          </reference>
        </references>
      </pivotArea>
    </format>
    <format dxfId="12">
      <pivotArea dataOnly="0" labelOnly="1" outline="0" fieldPosition="0">
        <references count="14">
          <reference field="1" count="1" selected="0">
            <x v="49"/>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1">
      <pivotArea dataOnly="0" labelOnly="1" outline="0" fieldPosition="0">
        <references count="14">
          <reference field="1" count="1" selected="0">
            <x v="50"/>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0">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504"/>
          </reference>
          <reference field="82" count="1" selected="0">
            <x v="3110"/>
          </reference>
          <reference field="85" count="1" selected="0">
            <x v="4"/>
          </reference>
          <reference field="87" count="1" selected="0">
            <x v="3930"/>
          </reference>
          <reference field="88" count="1">
            <x v="2903"/>
          </reference>
        </references>
      </pivotArea>
    </format>
    <format dxfId="9">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66"/>
          </reference>
          <reference field="82" count="1" selected="0">
            <x v="2920"/>
          </reference>
          <reference field="85" count="1" selected="0">
            <x v="4"/>
          </reference>
          <reference field="87" count="1" selected="0">
            <x v="3933"/>
          </reference>
          <reference field="88" count="1">
            <x v="2904"/>
          </reference>
        </references>
      </pivotArea>
    </format>
    <format dxfId="8">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505"/>
          </reference>
          <reference field="82" count="1" selected="0">
            <x v="3111"/>
          </reference>
          <reference field="85" count="1" selected="0">
            <x v="4"/>
          </reference>
          <reference field="87" count="1" selected="0">
            <x v="3934"/>
          </reference>
          <reference field="88" count="1">
            <x v="2905"/>
          </reference>
        </references>
      </pivotArea>
    </format>
    <format dxfId="7">
      <pivotArea dataOnly="0" labelOnly="1" outline="0" fieldPosition="0">
        <references count="14">
          <reference field="1" count="1" selected="0">
            <x v="51"/>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430"/>
          </reference>
          <reference field="82" count="1" selected="0">
            <x v="3112"/>
          </reference>
          <reference field="85" count="1" selected="0">
            <x v="4"/>
          </reference>
          <reference field="87" count="1" selected="0">
            <x v="3935"/>
          </reference>
          <reference field="88" count="1">
            <x v="2906"/>
          </reference>
        </references>
      </pivotArea>
    </format>
    <format dxfId="6">
      <pivotArea dataOnly="0" labelOnly="1" outline="0" fieldPosition="0">
        <references count="14">
          <reference field="1" count="1" selected="0">
            <x v="5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84"/>
          </reference>
          <reference field="82" count="1" selected="0">
            <x v="3075"/>
          </reference>
          <reference field="85" count="1" selected="0">
            <x v="7"/>
          </reference>
          <reference field="87" count="1" selected="0">
            <x v="3903"/>
          </reference>
          <reference field="88" count="1">
            <x v="2866"/>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4">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5">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5.0960999999999999</v>
    <v>5.0510999999999999</v>
    <v>USD</v>
    <v>5.0890000000000004</v>
    <v>46190.785439814812</v>
    <v>BRL</v>
    <v>US Dollar/Brazilian Real FX Spot Rate</v>
    <v>5.0891999999999999</v>
    <v>5.0734000000000004</v>
    <v>USDBRL</v>
    <v>Par de Moedas</v>
    <v>USD/BRL</v>
    <v>-1.5599999999999999E-2</v>
    <v>-3.065E-3</v>
  </rv>
  <rv s="1">
    <v>0</v>
  </rv>
  <rv s="0">
    <v>pt-BR</v>
    <v>av8tf2</v>
    <v>268435456</v>
    <v>1</v>
    <v>Da plataforma Refinitiv</v>
    <v>0</v>
    <v>1</v>
    <v>EUR/BRL</v>
    <v>3</v>
    <v>4</v>
    <v>Finance</v>
    <v>5</v>
    <v>6.6006999999999998</v>
    <v>5.7222999999999997</v>
    <v>5.9137000000000004</v>
    <v>5.8522999999999996</v>
    <v>EUR</v>
    <v>5.9067999999999996</v>
    <v>46190.785462962966</v>
    <v>BRL</v>
    <v>Euro/Brazilian Real FX Cross Rate</v>
    <v>5.9067999999999996</v>
    <v>5.8613</v>
    <v>EURBRL</v>
    <v>Par de Moedas</v>
    <v>EUR/BRL</v>
    <v>-4.5499999999999999E-2</v>
    <v>-7.7029999999999998E-3</v>
  </rv>
  <rv s="1">
    <v>2</v>
  </rv>
  <rv s="0">
    <v>pt-BR</v>
    <v>av4vgh</v>
    <v>268435456</v>
    <v>1</v>
    <v>Da plataforma Refinitiv</v>
    <v>0</v>
    <v>1</v>
    <v>CNY/BRL</v>
    <v>3</v>
    <v>4</v>
    <v>Finance</v>
    <v>5</v>
    <v>0.79720000000000002</v>
    <v>0.71719999999999995</v>
    <v>0.75390000000000001</v>
    <v>0.74750000000000005</v>
    <v>CNY</v>
    <v>0.75319999999999998</v>
    <v>46190.785474537035</v>
    <v>BRL</v>
    <v>Chinese Renminbi/Brazilian Real FX Cross Rate</v>
    <v>0.75319999999999998</v>
    <v>0.75060000000000004</v>
    <v>CNYBRL</v>
    <v>Par de Moedas</v>
    <v>CNY/BRL</v>
    <v>-2.5999999999999999E-3</v>
    <v>-3.4520000000000002E-3</v>
  </rv>
  <rv s="1">
    <v>4</v>
  </rv>
  <rv s="0">
    <v>pt-BR</v>
    <v>avqpjc</v>
    <v>268435456</v>
    <v>1</v>
    <v>Da plataforma Refinitiv</v>
    <v>0</v>
    <v>1</v>
    <v>RUB/BRL</v>
    <v>3</v>
    <v>4</v>
    <v>Finance</v>
    <v>5</v>
    <v>7.2700000000000001E-2</v>
    <v>6.0400000000000002E-2</v>
    <v>7.0400000000000004E-2</v>
    <v>6.93E-2</v>
    <v>RUB</v>
    <v>7.0199999999999999E-2</v>
    <v>46190.785439814812</v>
    <v>BRL</v>
    <v>Russian Rouble/Brazilian Real FX Cross Rate</v>
    <v>7.0199999999999999E-2</v>
    <v>6.9599999999999995E-2</v>
    <v>RUBBRL</v>
    <v>Par de Moedas</v>
    <v>RUB/BRL</v>
    <v>-5.9999999999999995E-4</v>
    <v>-8.5470000000000008E-3</v>
  </rv>
  <rv s="1">
    <v>6</v>
  </rv>
  <rv s="0">
    <v>pt-BR</v>
    <v>av8u5r</v>
    <v>268435456</v>
    <v>1</v>
    <v>Da plataforma Refinitiv</v>
    <v>0</v>
    <v>1</v>
    <v>EUR/CNY</v>
    <v>3</v>
    <v>6</v>
    <v>Finance</v>
    <v>5</v>
    <v>8.4710000000000001</v>
    <v>7.7836999999999996</v>
    <v>7.8479999999999999</v>
    <v>7.7967000000000004</v>
    <v>EUR</v>
    <v>7.8418999999999999</v>
    <v>46190.785439814812</v>
    <v>CNY</v>
    <v>Euro/Chinese Renminbi FX Cross Rate</v>
    <v>7.8418999999999999</v>
    <v>7.8091999999999997</v>
    <v>EURCNY</v>
    <v>Par de Moedas</v>
    <v>EUR/CNY</v>
    <v>-3.27E-2</v>
    <v>-4.1700000000000001E-3</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2" s="1"/>
        <i x="8" s="1"/>
        <i x="1" s="1"/>
        <i x="15" s="1"/>
        <i x="7" s="1"/>
        <i x="13" s="1"/>
        <i x="4" s="1"/>
        <i x="0" s="1"/>
        <i x="9" s="1"/>
        <i x="5" s="1"/>
        <i x="2" s="1"/>
        <i x="3" s="1"/>
        <i x="14" s="1"/>
        <i x="6" s="1"/>
        <i x="11"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0" s="1"/>
        <i x="1" s="1"/>
        <i x="2" s="1"/>
        <i x="3" s="1"/>
        <i x="4" s="1"/>
        <i x="8" s="1"/>
        <i x="7" s="1"/>
        <i x="5" s="1"/>
        <i x="6" s="1"/>
        <i x="17" s="1"/>
        <i x="9" s="1"/>
        <i x="10" s="1"/>
        <i x="11" s="1"/>
        <i x="12" s="1"/>
        <i x="16" s="1"/>
        <i x="13" s="1"/>
        <i x="15" s="1"/>
        <i x="14"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2">
        <i x="7" s="1"/>
        <i x="19" s="1"/>
        <i x="18" s="1"/>
        <i x="8" s="1"/>
        <i x="9" s="1"/>
        <i x="17" s="1"/>
        <i x="4" s="1"/>
        <i x="10" s="1"/>
        <i x="5" s="1"/>
        <i x="1" s="1"/>
        <i x="13" s="1"/>
        <i x="11" s="1"/>
        <i x="0" s="1"/>
        <i x="20" s="1"/>
        <i x="12" s="1"/>
        <i x="6" s="1"/>
        <i x="2" s="1"/>
        <i x="14" s="1"/>
        <i x="3" s="1"/>
        <i x="15" s="1"/>
        <i x="16" s="1"/>
        <i x="2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4" s="1"/>
        <i x="2" s="1"/>
        <i x="3" s="1"/>
        <i x="1"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2" s="1"/>
        <i x="1" s="1"/>
        <i x="0" s="1"/>
        <i x="4" s="1"/>
        <i x="3"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3" s="1"/>
        <i x="20" s="1"/>
        <i x="5" s="1"/>
        <i x="14" s="1"/>
        <i x="12" s="1"/>
        <i x="7" s="1"/>
        <i x="2" s="1"/>
        <i x="17" s="1"/>
        <i x="1" s="1"/>
        <i x="8" s="1"/>
        <i x="4" s="1"/>
        <i x="0" s="1"/>
        <i x="10" s="1"/>
        <i x="9" s="1"/>
        <i x="23" s="1"/>
        <i x="22" s="1"/>
        <i x="16" s="1"/>
        <i x="21" s="1"/>
        <i x="3" s="1"/>
        <i x="11" s="1"/>
        <i x="18" s="1"/>
        <i x="19" s="1"/>
        <i x="6" s="1"/>
        <i x="15"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1">
        <i x="4" s="1"/>
        <i x="14" s="1"/>
        <i x="11" s="1"/>
        <i x="8" s="1"/>
        <i x="57" s="1"/>
        <i x="7" s="1"/>
        <i x="52" s="1"/>
        <i x="10" s="1"/>
        <i x="9" s="1"/>
        <i x="37" s="1"/>
        <i x="47" s="1"/>
        <i x="0" s="1"/>
        <i x="25" s="1"/>
        <i x="5" s="1"/>
        <i x="33" s="1"/>
        <i x="34" s="1"/>
        <i x="27" s="1"/>
        <i x="6" s="1"/>
        <i x="1" s="1"/>
        <i x="32" s="1"/>
        <i x="28" s="1"/>
        <i x="22" s="1"/>
        <i x="23" s="1"/>
        <i x="13" s="1"/>
        <i x="29" s="1"/>
        <i x="42" s="1"/>
        <i x="12" s="1"/>
        <i x="46" s="1"/>
        <i x="44" s="1"/>
        <i x="43" s="1"/>
        <i x="2" s="1"/>
        <i x="18" s="1"/>
        <i x="45" s="1"/>
        <i x="40" s="1"/>
        <i x="39" s="1"/>
        <i x="31" s="1"/>
        <i x="30" s="1"/>
        <i x="16" s="1"/>
        <i x="53" s="1"/>
        <i x="54" s="1"/>
        <i x="55" s="1"/>
        <i x="56" s="1"/>
        <i x="26" s="1"/>
        <i x="20" s="1"/>
        <i x="38" s="1"/>
        <i x="41" s="1"/>
        <i x="24" s="1"/>
        <i x="19" s="1"/>
        <i x="21" s="1"/>
        <i x="35" s="1"/>
        <i x="3" s="1"/>
        <i x="36" s="1"/>
        <i x="49" s="1"/>
        <i x="51" s="1"/>
        <i x="15" s="1"/>
        <i x="50" s="1"/>
        <i x="48" s="1"/>
        <i x="17" s="1"/>
        <i x="58" s="1"/>
        <i x="59" s="1" nd="1"/>
        <i x="6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507" totalsRowShown="0" headerRowDxfId="13570" dataDxfId="13568" headerRowBorderDxfId="13569" tableBorderDxfId="13567">
  <autoFilter ref="A3:CK507" xr:uid="{3EED32E4-BFFA-4D65-A3DB-7D97D8C2AD54}"/>
  <tableColumns count="89">
    <tableColumn id="1" xr3:uid="{6B5EE6BB-9873-4849-939B-68D06CD8360A}" name="Material Number" dataDxfId="13566"/>
    <tableColumn id="2" xr3:uid="{7B703A40-1D71-45D9-B76B-2CF6E1C1FEAB}" name="Impress Type" dataDxfId="13565"/>
    <tableColumn id="3" xr3:uid="{B2ECDDF9-921C-4970-9BCA-91B661ED476B}" name="g/m2" dataDxfId="13564"/>
    <tableColumn id="4" xr3:uid="{3ABE8657-B533-4DA9-B927-9A2BAA53A852}" name="Width (mm)" dataDxfId="13563"/>
    <tableColumn id="5" xr3:uid="{6AB4676A-F909-4F76-99DF-8075D43D365E}" name="Usage" dataDxfId="13562"/>
    <tableColumn id="6" xr3:uid="{50D02A67-645B-4504-9E67-C39D1865DCB6}" name="Supplier" dataDxfId="13561"/>
    <tableColumn id="7" xr3:uid="{ACA1748A-7D4C-44F1-A694-BD37015628C9}" name="Product" dataDxfId="13560"/>
    <tableColumn id="8" xr3:uid="{7927CDD1-DD87-49C8-BE75-9C58B0C786EB}" name="Color" dataDxfId="13559"/>
    <tableColumn id="9" xr3:uid="{C6F97F10-946C-475F-B3E3-5B3E2D7D42B6}" name="Supplier Ref" dataDxfId="13558"/>
    <tableColumn id="10" xr3:uid="{247E670D-AB55-4DB2-AD5C-F21E4A3828DE}" name="Reel Weight (t)" dataDxfId="13557"/>
    <tableColumn id="11" xr3:uid="{B6E58145-B842-46EA-B8AB-9B4BFCE42C49}" name="Production batch Qualified?" dataDxfId="13556"/>
    <tableColumn id="12" xr3:uid="{D5B23DBE-E80D-4B24-B11C-98756420B2B2}" name="Location" dataDxfId="13555"/>
    <tableColumn id="13" xr3:uid="{89352E56-2CF1-4460-BBCE-DDE8ABE07317}" name="Payment Terms" dataDxfId="13554"/>
    <tableColumn id="14" xr3:uid="{76844BCA-AFBB-44B6-BA91-34948091DA7E}" name="Paper bonus (t)" dataDxfId="13553"/>
    <tableColumn id="15" xr3:uid="{BCEBE704-A186-410C-A040-C61EE4A25461}" name="Lead Time" dataDxfId="13552"/>
    <tableColumn id="16" xr3:uid="{13FEC75E-58EF-4DAD-A015-B731E1D02288}" name="Stock Allowance(days)" dataDxfId="13551"/>
    <tableColumn id="17" xr3:uid="{2EFCAB72-7688-4F0B-9352-C99B61D97CBB}" name="Production Cycling" dataDxfId="13550"/>
    <tableColumn id="18" xr3:uid="{60BB02AC-8F93-4042-B924-EB42EDF41159}" name="Incoterm" dataDxfId="13549"/>
    <tableColumn id="19" xr3:uid="{D27D073E-E655-4A1A-BE4C-5F9A2048A402}" name="ICMS" dataDxfId="13548"/>
    <tableColumn id="20" xr3:uid="{7745D4E9-6C8B-41B3-A3A0-16CAD20D7D69}" name="Incluso" dataDxfId="13547"/>
    <tableColumn id="21" xr3:uid="{1230DCC6-E50A-4474-915E-D12B86661010}" name="PIS/COFINS" dataDxfId="13546"/>
    <tableColumn id="22" xr3:uid="{D1DDD7A7-3469-41C0-B41A-C357A7D235C9}" name="Price Unit" dataDxfId="13545"/>
    <tableColumn id="23" xr3:uid="{775F6D5D-F69E-4646-B072-08AA6AD02754}" name="Lot (ton)" dataDxfId="13544"/>
    <tableColumn id="24" xr3:uid="{961F5ECC-508F-402D-92A5-FAA93809CA50}" name="Currency" dataDxfId="13543"/>
    <tableColumn id="25" xr3:uid="{E3328AAD-80E5-4911-9306-8A29A4DAE161}" name="jan/23" dataDxfId="13542"/>
    <tableColumn id="26" xr3:uid="{017BF9C6-6CE4-4E80-A18B-908E8A56EE15}" name="fev/23" dataDxfId="13541"/>
    <tableColumn id="27" xr3:uid="{BDBA50B1-0134-4B84-88A7-A1F8696A6F2D}" name="mar/23" dataDxfId="13540"/>
    <tableColumn id="28" xr3:uid="{3FD78BB7-5E23-4BCA-BAAC-2AE9C961D909}" name="abr/23" dataDxfId="13539"/>
    <tableColumn id="29" xr3:uid="{DA811CD8-5942-476F-AA61-D494C3FCA619}" name="mai/23" dataDxfId="13538"/>
    <tableColumn id="30" xr3:uid="{A46EF834-107F-4A0C-B688-5322D634DBFA}" name="jun/23" dataDxfId="13537"/>
    <tableColumn id="31" xr3:uid="{BD24CDF5-1A99-46FF-BFC5-82A2B5C0BEE3}" name="jul/23" dataDxfId="13536"/>
    <tableColumn id="32" xr3:uid="{174DEF45-73FB-4297-91AE-DBD5D9E48747}" name="ago/23" dataDxfId="13535"/>
    <tableColumn id="33" xr3:uid="{2652A35C-A371-426D-A741-8D2F1749D09E}" name="set/23" dataDxfId="13534"/>
    <tableColumn id="34" xr3:uid="{07777D9E-7933-4673-8D50-5516478B7131}" name="out/23" dataDxfId="13533"/>
    <tableColumn id="35" xr3:uid="{A7DAC388-40B9-42E7-AEC4-94A0C65C283F}" name="nov/23" dataDxfId="13532"/>
    <tableColumn id="36" xr3:uid="{2BB0EAAC-C9E1-4D34-B1C1-E9DFE125E908}" name="dez/23" dataDxfId="13531"/>
    <tableColumn id="37" xr3:uid="{D3250C20-FBD8-411C-A4A5-AABD1D3E4666}" name="jan/24" dataDxfId="13530"/>
    <tableColumn id="38" xr3:uid="{34D6A4B8-6CDA-46FE-A171-C40064DD7CA1}" name="fev/24" dataDxfId="13529"/>
    <tableColumn id="39" xr3:uid="{6BDF088B-FA72-44B0-8887-EE5E7154CC89}" name="mar/24" dataDxfId="13528"/>
    <tableColumn id="40" xr3:uid="{429C03A4-B15F-4056-B87E-D5A40C984856}" name="abr/24" dataDxfId="13527"/>
    <tableColumn id="41" xr3:uid="{006F9429-691D-4DF4-8AFB-886F0CA84037}" name="mai/24" dataDxfId="13526"/>
    <tableColumn id="42" xr3:uid="{49A1BA25-A0A1-41CA-9C4C-802987A171CF}" name="jun/24" dataDxfId="13525"/>
    <tableColumn id="43" xr3:uid="{A406545E-44BA-4EEC-ACE9-FDDBB6162989}" name="jul/24" dataDxfId="13524"/>
    <tableColumn id="44" xr3:uid="{61553398-53B3-4F9A-BB88-0E718AB6462E}" name="ago/24" dataDxfId="13523"/>
    <tableColumn id="45" xr3:uid="{107C90E4-8B21-413A-AC81-6C676A02DF01}" name="set/24" dataDxfId="13522"/>
    <tableColumn id="46" xr3:uid="{72DF5827-19B4-4A83-A2DB-D873F4DDADA6}" name="out/24" dataDxfId="13521"/>
    <tableColumn id="47" xr3:uid="{780D176B-2872-48F0-9718-4F03836DDC19}" name="nov/24" dataDxfId="13520"/>
    <tableColumn id="48" xr3:uid="{002DCA6A-454F-4706-9422-522A73A91209}" name="dez/24" dataDxfId="13519"/>
    <tableColumn id="49" xr3:uid="{D92A9786-8061-41BA-AF6C-B49757B31882}" name="jan/25" dataDxfId="13518"/>
    <tableColumn id="50" xr3:uid="{2B422E5A-99BF-42D8-8830-7ACBB7CB5AD7}" name="fev/25" dataDxfId="13517"/>
    <tableColumn id="51" xr3:uid="{BC7413F6-DEC1-427B-A509-98F58F1EBFB9}" name="mar/25" dataDxfId="13516"/>
    <tableColumn id="52" xr3:uid="{8FE9E033-C0F9-45C7-BD23-4C1A49AC5355}" name="abr/25" dataDxfId="13515"/>
    <tableColumn id="53" xr3:uid="{6BB510A1-61CB-48A7-9F59-A41573E76071}" name="mai/25" dataDxfId="13514"/>
    <tableColumn id="54" xr3:uid="{3990CB95-BDF3-4148-9D1A-248071078E54}" name="jun/25" dataDxfId="13513"/>
    <tableColumn id="55" xr3:uid="{D899D94A-E6AD-40E0-8E61-42CF698AF707}" name="jul/25" dataDxfId="13512"/>
    <tableColumn id="56" xr3:uid="{784D1EAC-DBA2-4304-AF0B-69F028A27DB7}" name="ago/25" dataDxfId="13511"/>
    <tableColumn id="57" xr3:uid="{151D4725-2567-4736-B30B-44B6E37294B0}" name="set/25" dataDxfId="13510"/>
    <tableColumn id="58" xr3:uid="{D8FBA032-BD97-4197-B02E-699455E1E091}" name="out/25" dataDxfId="13509"/>
    <tableColumn id="59" xr3:uid="{08C9D0E9-5819-4EB7-9F93-2FE3CC18EC97}" name="nov/25" dataDxfId="13508"/>
    <tableColumn id="60" xr3:uid="{84062D3C-7B6E-4F0A-B7CA-05EC18FBDB38}" name="dez/25" dataDxfId="13507"/>
    <tableColumn id="61" xr3:uid="{A8FD6408-0975-4D94-B5FB-B0FAF5660D1A}" name="jan/26" dataDxfId="13506"/>
    <tableColumn id="62" xr3:uid="{72E685F5-D4EB-41E4-9006-4A683673F375}" name="fev/26" dataDxfId="13505"/>
    <tableColumn id="63" xr3:uid="{E38ADC30-CED5-4CFA-9C05-9E613D07A23D}" name="mar/26" dataDxfId="13504"/>
    <tableColumn id="64" xr3:uid="{B74491F2-9A0E-4D39-B711-615406F11A32}" name="abr/26" dataDxfId="13503"/>
    <tableColumn id="65" xr3:uid="{D4E4E51F-A51B-4D66-8C4B-1B31924D755A}" name="mai/26" dataDxfId="13502"/>
    <tableColumn id="66" xr3:uid="{6ECA2F12-D410-4DDB-BD74-06E21194CD90}" name="jun/26" dataDxfId="13501"/>
    <tableColumn id="67" xr3:uid="{CEC14988-3090-4B4E-9E68-512B422C52E9}" name="jul/26" dataDxfId="13500"/>
    <tableColumn id="68" xr3:uid="{536ACBAA-8DCF-48C2-AB41-2539FEA0E170}" name="ago/26" dataDxfId="13499"/>
    <tableColumn id="69" xr3:uid="{97E2DA9F-C828-4686-9AEA-DF30309E82CC}" name="set/26" dataDxfId="13498"/>
    <tableColumn id="70" xr3:uid="{159657C5-AB59-462B-A456-DA267BE23519}" name="out/26" dataDxfId="13497"/>
    <tableColumn id="71" xr3:uid="{F6181D20-8F8C-4A27-9AD8-3E66986FEBE9}" name="nov/26" dataDxfId="13496"/>
    <tableColumn id="72" xr3:uid="{3D0E4A8A-55AE-4446-B4CA-7CB1FD69B7A7}" name="dez/26" dataDxfId="13495"/>
    <tableColumn id="73" xr3:uid="{33125F01-8628-434E-ADBF-64BBA2F66CDC}" name="Current Price" dataDxfId="13494">
      <calculatedColumnFormula array="1">LOOKUP(2,1/(Y4:BT4&lt;&gt;""),Y4:BH4)</calculatedColumnFormula>
    </tableColumn>
    <tableColumn id="74" xr3:uid="{9872F02E-03B9-4D24-BB96-9A40CD53E653}" name="Última Atualização de Preço" dataDxfId="13493">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13492">
      <calculatedColumnFormula array="1">(LOOKUP(2,1/(BH4:BT4&lt;&gt;""),BH4:BT4))/(INDEX(BH4:BT4,MATCH(TRUE,INDEX((BH4:BT4&lt;&gt;0),0),0)))-1</calculatedColumnFormula>
    </tableColumn>
    <tableColumn id="76" xr3:uid="{66795EC7-ED7C-48CF-BC4B-04280D66484F}" name="Current Price2" dataDxfId="13491">
      <calculatedColumnFormula>BU4/1000</calculatedColumnFormula>
    </tableColumn>
    <tableColumn id="77" xr3:uid="{20E53529-8034-49B9-B00F-87227CCDC7CC}" name="BRL Cost" dataDxfId="13490">
      <calculatedColumnFormula>IF(X4="BRL",BX4,IF(X4="EUR",BX4*$CK$2,IF(X4="USD",BX4*$CK$1,IF(X4="CNY",BX4*$CM$1,IF(X4="RUB",BX4*$CM$2,"CRRY#")))))</calculatedColumnFormula>
    </tableColumn>
    <tableColumn id="78" xr3:uid="{D68D1624-B7EE-45B0-924D-C990BAFC324A}" name="International Freight" dataDxfId="13489">
      <calculatedColumnFormula>IF(L4="BR",'Impostos e Frete'!$F$6,IF(L4="EU",'Impostos e Frete'!$I$3,IF(L4="CN",'Impostos e Frete'!$I$4,IF(L4="JP",'Impostos e Frete'!$I$5,IF(L4="RU",'Impostos e Frete'!$I$7,"ERRO")))))</calculatedColumnFormula>
    </tableColumn>
    <tableColumn id="79" xr3:uid="{516208A7-FD9E-4C0D-A87A-17C4DE2EDDF2}" name="Import Fees" dataDxfId="13488">
      <calculatedColumnFormula>VLOOKUP(L4,'Impostos e Frete'!$A$3:$B$7,2,0)*'Preços e Condições'!BY4</calculatedColumnFormula>
    </tableColumn>
    <tableColumn id="80" xr3:uid="{048F3B12-15E7-4956-BC90-7F760A5A6725}" name="Incoterm Adjust" dataDxfId="13487">
      <calculatedColumnFormula>IF(R4="CFR",$CB$2,IF(R4="FOB",0,IF(R4="EXW",$CB$1,"ERRO")))</calculatedColumnFormula>
    </tableColumn>
    <tableColumn id="81" xr3:uid="{D94E324D-A214-44FF-AE5C-06A969036CAB}" name="Freight" dataDxfId="13486">
      <calculatedColumnFormula>IF(X4="BRL",'Impostos e Frete'!$B$11,'Impostos e Frete'!$B$12)</calculatedColumnFormula>
    </tableColumn>
    <tableColumn id="82" xr3:uid="{D9773AF4-528A-4BEE-B775-CB50400D7D2F}" name="TCO_x000a_(R$/KG)" dataDxfId="13485">
      <calculatedColumnFormula>SUM(BY4:CC4)</calculatedColumnFormula>
    </tableColumn>
    <tableColumn id="83" xr3:uid="{E9FF96FE-8D20-411E-8A02-B199B11073A0}" name="TCO (R$/M2)" dataDxfId="13484">
      <calculatedColumnFormula>IF(C4="","erro",(CD4/1000)*C4)</calculatedColumnFormula>
    </tableColumn>
    <tableColumn id="84" xr3:uid="{B1D857C2-41D1-4B06-B152-BDCFCE4E1B4B}" name="Stock Carring (M)" dataDxfId="13483">
      <calculatedColumnFormula>VLOOKUP(L4,'Impostos e Frete'!$A$3:$C$7,3,0)</calculatedColumnFormula>
    </tableColumn>
    <tableColumn id="85" xr3:uid="{5966EED7-B188-42B3-8546-40BE71212AD5}" name="Payment Terms3" dataDxfId="13482">
      <calculatedColumnFormula>M4</calculatedColumnFormula>
    </tableColumn>
    <tableColumn id="86" xr3:uid="{4780A8A4-A995-4D59-91E8-895A4D783D46}" name="Working days" dataDxfId="13481">
      <calculatedColumnFormula>CG4-CF4</calculatedColumnFormula>
    </tableColumn>
    <tableColumn id="87" xr3:uid="{05203BD8-29F2-4130-9A20-C87A74C9842F}" name="Capital Cost" dataDxfId="13480">
      <calculatedColumnFormula>CD4*(1+VALUE($CI$2))^((CH4*-1)/30)-CD4</calculatedColumnFormula>
    </tableColumn>
    <tableColumn id="88" xr3:uid="{C56327B0-9BF1-4E69-ABB0-34734849063F}" name="Present Value (R$/KG)" dataDxfId="13479">
      <calculatedColumnFormula>CD4+CI4</calculatedColumnFormula>
    </tableColumn>
    <tableColumn id="89" xr3:uid="{1357FD80-E93A-4E81-9C63-FA19DF2E64B9}" name="Present Value (R$/M2)" dataDxfId="13478">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zoomScaleNormal="100" workbookViewId="0">
      <selection activeCell="D6" sqref="D6"/>
    </sheetView>
  </sheetViews>
  <sheetFormatPr defaultColWidth="0" defaultRowHeight="15" zeroHeight="1"/>
  <cols>
    <col min="1" max="1" width="1.140625" style="102" customWidth="1"/>
    <col min="2" max="2" width="8.85546875" customWidth="1"/>
    <col min="3" max="3" width="12.85546875" customWidth="1"/>
    <col min="4" max="4" width="13.5703125" customWidth="1"/>
    <col min="5" max="5" width="12.5703125" customWidth="1"/>
    <col min="6" max="6" width="1.5703125" customWidth="1"/>
    <col min="7" max="7" width="1.5703125" style="102" customWidth="1"/>
    <col min="8" max="8" width="92.42578125" customWidth="1"/>
    <col min="9" max="9" width="1.42578125" style="102" customWidth="1"/>
    <col min="10" max="17" width="0" hidden="1" customWidth="1"/>
    <col min="18" max="16384" width="8.85546875" hidden="1"/>
  </cols>
  <sheetData>
    <row r="1" spans="2:16" s="102" customFormat="1" ht="9" customHeight="1" thickBot="1"/>
    <row r="2" spans="2:16" ht="18.75">
      <c r="B2" s="77" t="s">
        <v>315</v>
      </c>
      <c r="C2" s="78"/>
      <c r="D2" s="78"/>
      <c r="E2" s="78"/>
      <c r="F2" s="79"/>
      <c r="H2" s="97" t="s">
        <v>322</v>
      </c>
    </row>
    <row r="3" spans="2:16">
      <c r="B3" s="80"/>
      <c r="F3" s="81"/>
      <c r="H3" s="98" t="s">
        <v>323</v>
      </c>
    </row>
    <row r="4" spans="2:16">
      <c r="B4" s="82" t="s">
        <v>243</v>
      </c>
      <c r="C4" s="4"/>
      <c r="D4" s="59" t="s">
        <v>312</v>
      </c>
      <c r="F4" s="81"/>
      <c r="H4" s="98" t="s">
        <v>327</v>
      </c>
    </row>
    <row r="5" spans="2:16">
      <c r="B5" s="80" t="s">
        <v>59</v>
      </c>
      <c r="C5" s="51">
        <v>600</v>
      </c>
      <c r="D5" s="83">
        <v>46174</v>
      </c>
      <c r="E5" s="134">
        <f>C5/25000</f>
        <v>2.4E-2</v>
      </c>
      <c r="F5" s="81"/>
      <c r="H5" s="99"/>
    </row>
    <row r="6" spans="2:16">
      <c r="B6" s="80" t="s">
        <v>60</v>
      </c>
      <c r="C6" s="52">
        <v>5500</v>
      </c>
      <c r="D6" s="224" t="s">
        <v>464</v>
      </c>
      <c r="E6" s="135">
        <f>C6/25000</f>
        <v>0.22</v>
      </c>
      <c r="F6" s="81"/>
      <c r="H6" s="100" t="s">
        <v>326</v>
      </c>
    </row>
    <row r="7" spans="2:16">
      <c r="B7" s="80" t="s">
        <v>208</v>
      </c>
      <c r="C7" s="52">
        <f>C6*1.2</f>
        <v>6600</v>
      </c>
      <c r="D7" s="83"/>
      <c r="F7" s="81"/>
      <c r="H7" s="99"/>
    </row>
    <row r="8" spans="2:16">
      <c r="B8" s="80" t="s">
        <v>58</v>
      </c>
      <c r="C8" s="53">
        <v>0</v>
      </c>
      <c r="D8" s="83" t="s">
        <v>324</v>
      </c>
      <c r="F8" s="81"/>
      <c r="H8" s="99"/>
    </row>
    <row r="9" spans="2:16">
      <c r="B9" s="80"/>
      <c r="D9" s="6"/>
      <c r="F9" s="81"/>
      <c r="H9" s="99"/>
    </row>
    <row r="10" spans="2:16">
      <c r="B10" s="80"/>
      <c r="D10" s="6"/>
      <c r="F10" s="81"/>
      <c r="H10" s="99"/>
      <c r="P10" s="4"/>
    </row>
    <row r="11" spans="2:16">
      <c r="B11" s="82" t="s">
        <v>316</v>
      </c>
      <c r="C11" s="4" t="s">
        <v>317</v>
      </c>
      <c r="D11" s="59" t="s">
        <v>312</v>
      </c>
      <c r="F11" s="81"/>
      <c r="H11" s="99"/>
    </row>
    <row r="12" spans="2:16">
      <c r="B12" s="80" t="s">
        <v>59</v>
      </c>
      <c r="C12" s="84">
        <v>0.13</v>
      </c>
      <c r="D12" s="104">
        <f>'[1]Custo por fornecedor'!$G$24</f>
        <v>46183</v>
      </c>
      <c r="E12" s="106" t="s">
        <v>342</v>
      </c>
      <c r="F12" s="81"/>
      <c r="H12" s="107" t="s">
        <v>471</v>
      </c>
    </row>
    <row r="13" spans="2:16">
      <c r="B13" s="80" t="s">
        <v>60</v>
      </c>
      <c r="C13" s="84">
        <v>0.14000000000000001</v>
      </c>
      <c r="D13" s="104">
        <f>'[1]Custo por fornecedor'!$G$24</f>
        <v>46183</v>
      </c>
      <c r="E13" s="106" t="s">
        <v>342</v>
      </c>
      <c r="F13" s="81"/>
      <c r="H13" s="107" t="s">
        <v>471</v>
      </c>
    </row>
    <row r="14" spans="2:16">
      <c r="B14" s="80" t="s">
        <v>208</v>
      </c>
      <c r="C14" s="86">
        <v>0.15</v>
      </c>
      <c r="D14" s="104">
        <f>'[1]Custo por fornecedor'!$G$24</f>
        <v>46183</v>
      </c>
      <c r="E14" s="106" t="s">
        <v>342</v>
      </c>
      <c r="F14" s="81"/>
      <c r="H14" s="107" t="s">
        <v>471</v>
      </c>
    </row>
    <row r="15" spans="2:16">
      <c r="B15" s="80" t="s">
        <v>58</v>
      </c>
      <c r="C15" s="84">
        <v>0</v>
      </c>
      <c r="D15" s="85" t="s">
        <v>325</v>
      </c>
      <c r="E15" s="106" t="s">
        <v>342</v>
      </c>
      <c r="F15" s="81"/>
      <c r="H15" s="107"/>
    </row>
    <row r="16" spans="2:16">
      <c r="B16" s="80" t="s">
        <v>457</v>
      </c>
      <c r="C16" s="84">
        <v>0.15</v>
      </c>
      <c r="D16" s="104">
        <f>'[1]Custo por fornecedor'!$G$24</f>
        <v>46183</v>
      </c>
      <c r="E16" s="106"/>
      <c r="F16" s="81"/>
      <c r="H16" s="107" t="s">
        <v>471</v>
      </c>
    </row>
    <row r="17" spans="2:8">
      <c r="B17" s="80"/>
      <c r="F17" s="81"/>
      <c r="H17" s="99"/>
    </row>
    <row r="18" spans="2:8">
      <c r="B18" s="82" t="s">
        <v>318</v>
      </c>
      <c r="D18" s="87" t="s">
        <v>319</v>
      </c>
      <c r="E18" s="88" t="s">
        <v>312</v>
      </c>
      <c r="F18" s="81"/>
      <c r="H18" s="99"/>
    </row>
    <row r="19" spans="2:8">
      <c r="B19" s="80" t="s">
        <v>227</v>
      </c>
      <c r="D19" s="89">
        <v>2300</v>
      </c>
      <c r="E19" s="105">
        <v>46174</v>
      </c>
      <c r="F19" s="81"/>
      <c r="H19" s="99"/>
    </row>
    <row r="20" spans="2:8">
      <c r="B20" s="80" t="s">
        <v>313</v>
      </c>
      <c r="D20" s="89">
        <v>5000</v>
      </c>
      <c r="E20" s="105">
        <v>46174</v>
      </c>
      <c r="F20" s="81"/>
      <c r="H20" s="99"/>
    </row>
    <row r="21" spans="2:8">
      <c r="B21" s="80"/>
      <c r="F21" s="81"/>
      <c r="H21" s="99"/>
    </row>
    <row r="22" spans="2:8">
      <c r="B22" s="80"/>
      <c r="F22" s="81"/>
      <c r="H22" s="99"/>
    </row>
    <row r="23" spans="2:8">
      <c r="B23" s="82" t="s">
        <v>320</v>
      </c>
      <c r="C23" s="59" t="s">
        <v>341</v>
      </c>
      <c r="D23" s="4" t="s">
        <v>320</v>
      </c>
      <c r="E23" s="59" t="s">
        <v>343</v>
      </c>
      <c r="F23" s="81"/>
      <c r="H23" s="99"/>
    </row>
    <row r="24" spans="2:8">
      <c r="B24" s="90" t="s">
        <v>147</v>
      </c>
      <c r="C24" s="91">
        <v>5</v>
      </c>
      <c r="D24" s="92" t="e" vm="1">
        <v>#VALUE!</v>
      </c>
      <c r="E24" s="93" cm="1">
        <f t="array" aca="1" ref="E24" ca="1">_FV(D24,"Fechamento anterior",TRUE)</f>
        <v>5.0890000000000004</v>
      </c>
      <c r="F24" s="81"/>
      <c r="H24" s="221" t="s">
        <v>458</v>
      </c>
    </row>
    <row r="25" spans="2:8">
      <c r="B25" s="90" t="s">
        <v>148</v>
      </c>
      <c r="C25" s="91">
        <v>5.9</v>
      </c>
      <c r="D25" s="92" t="e" vm="2">
        <v>#VALUE!</v>
      </c>
      <c r="E25" s="93" cm="1">
        <f t="array" aca="1" ref="E25" ca="1">_FV(D25,"Fechamento anterior",TRUE)</f>
        <v>5.9067999999999996</v>
      </c>
      <c r="F25" s="81"/>
      <c r="H25" s="221" t="s">
        <v>458</v>
      </c>
    </row>
    <row r="26" spans="2:8">
      <c r="B26" s="90" t="s">
        <v>245</v>
      </c>
      <c r="C26" s="91">
        <v>0.75</v>
      </c>
      <c r="D26" s="92" t="e" vm="3">
        <v>#VALUE!</v>
      </c>
      <c r="E26" s="93" cm="1">
        <f t="array" aca="1" ref="E26" ca="1">_FV(D26,"Fechamento anterior",TRUE)</f>
        <v>0.75319999999999998</v>
      </c>
      <c r="F26" s="81"/>
      <c r="H26" s="221" t="s">
        <v>458</v>
      </c>
    </row>
    <row r="27" spans="2:8">
      <c r="B27" s="90" t="s">
        <v>456</v>
      </c>
      <c r="C27" s="91">
        <v>7.0000000000000007E-2</v>
      </c>
      <c r="D27" s="92" t="e" vm="4">
        <v>#VALUE!</v>
      </c>
      <c r="E27" s="93" cm="1">
        <f t="array" aca="1" ref="E27" ca="1">_FV(D27,"Fechamento anterior",TRUE)</f>
        <v>7.0199999999999999E-2</v>
      </c>
      <c r="F27" s="81"/>
      <c r="H27" s="221" t="s">
        <v>458</v>
      </c>
    </row>
    <row r="28" spans="2:8">
      <c r="B28" s="80"/>
      <c r="F28" s="81"/>
      <c r="H28" s="99"/>
    </row>
    <row r="29" spans="2:8">
      <c r="B29" s="82" t="s">
        <v>321</v>
      </c>
      <c r="C29" s="30"/>
      <c r="D29" s="101">
        <v>1.4999999999999999E-2</v>
      </c>
      <c r="F29" s="81"/>
      <c r="H29" s="99"/>
    </row>
    <row r="30" spans="2:8" ht="15.7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topLeftCell="A34" zoomScale="90" zoomScaleNormal="90" workbookViewId="0">
      <selection activeCell="H16" sqref="H16"/>
    </sheetView>
  </sheetViews>
  <sheetFormatPr defaultRowHeight="15"/>
  <cols>
    <col min="1" max="1" width="3.42578125" customWidth="1"/>
    <col min="2" max="2" width="10.85546875" style="1" customWidth="1"/>
    <col min="3" max="4" width="7.5703125" style="1" customWidth="1"/>
    <col min="5" max="5" width="11.42578125" style="6" customWidth="1"/>
    <col min="6" max="6" width="10" style="42" customWidth="1"/>
    <col min="7" max="7" width="11.140625" style="49" customWidth="1"/>
    <col min="8" max="8" width="9.42578125" style="141" customWidth="1"/>
    <col min="9" max="9" width="7.42578125" style="42" customWidth="1"/>
    <col min="10" max="10" width="10.42578125" style="8" customWidth="1"/>
    <col min="11" max="11" width="9.42578125" style="8" customWidth="1"/>
    <col min="12" max="12" width="9.42578125" style="42" customWidth="1"/>
    <col min="13" max="13" width="9.85546875" style="42" customWidth="1"/>
    <col min="14" max="14" width="9.42578125" style="9" customWidth="1"/>
    <col min="15" max="15" width="9.85546875" style="9" customWidth="1"/>
    <col min="16" max="16" width="13.42578125" style="8" customWidth="1"/>
    <col min="17" max="17" width="4.5703125" style="8" customWidth="1"/>
    <col min="18" max="18" width="1.42578125" style="9" customWidth="1"/>
    <col min="19" max="19" width="1.5703125" customWidth="1"/>
  </cols>
  <sheetData>
    <row r="3" spans="2:18">
      <c r="G3" s="48"/>
      <c r="J3" s="9"/>
      <c r="K3" s="74"/>
    </row>
    <row r="5" spans="2:18" s="2" customFormat="1" ht="45">
      <c r="B5" s="136" t="s">
        <v>38</v>
      </c>
      <c r="C5" s="136" t="s">
        <v>349</v>
      </c>
      <c r="D5" s="136" t="s">
        <v>16</v>
      </c>
      <c r="E5" s="136" t="s">
        <v>7</v>
      </c>
      <c r="F5" s="136" t="s">
        <v>45</v>
      </c>
      <c r="G5" s="137" t="s">
        <v>138</v>
      </c>
      <c r="H5" s="140" t="s">
        <v>110</v>
      </c>
      <c r="I5" s="136" t="s">
        <v>140</v>
      </c>
      <c r="J5" s="137" t="s">
        <v>248</v>
      </c>
      <c r="K5" s="137" t="s">
        <v>249</v>
      </c>
      <c r="L5" s="136" t="s">
        <v>32</v>
      </c>
      <c r="M5" s="136" t="s">
        <v>136</v>
      </c>
      <c r="N5" s="137" t="s">
        <v>153</v>
      </c>
      <c r="O5" s="137" t="s">
        <v>154</v>
      </c>
      <c r="P5" s="136" t="s">
        <v>300</v>
      </c>
      <c r="Q5" s="138" t="s">
        <v>371</v>
      </c>
      <c r="R5"/>
    </row>
    <row r="6" spans="2:18">
      <c r="B6" s="256">
        <v>104</v>
      </c>
      <c r="C6" s="6">
        <v>1270</v>
      </c>
      <c r="D6" s="1">
        <v>68</v>
      </c>
      <c r="E6" s="27" t="s">
        <v>2</v>
      </c>
      <c r="F6" s="6" t="s">
        <v>51</v>
      </c>
      <c r="G6" s="7">
        <v>2190</v>
      </c>
      <c r="H6" t="s">
        <v>472</v>
      </c>
      <c r="I6">
        <v>600</v>
      </c>
      <c r="J6">
        <v>14.657493200000003</v>
      </c>
      <c r="K6">
        <v>0.99670953760000025</v>
      </c>
      <c r="L6">
        <v>120</v>
      </c>
      <c r="M6">
        <v>15</v>
      </c>
      <c r="N6">
        <v>14.548783468112243</v>
      </c>
      <c r="O6">
        <v>0.98931727583163254</v>
      </c>
      <c r="P6" s="139">
        <v>46174</v>
      </c>
      <c r="Q6" s="113"/>
      <c r="R6"/>
    </row>
    <row r="7" spans="2:18">
      <c r="B7" s="256">
        <v>104</v>
      </c>
      <c r="C7" s="6">
        <v>1270</v>
      </c>
      <c r="D7" s="1">
        <v>68</v>
      </c>
      <c r="E7" s="27" t="s">
        <v>2</v>
      </c>
      <c r="F7" s="6" t="s">
        <v>51</v>
      </c>
      <c r="G7" s="7">
        <v>2200</v>
      </c>
      <c r="H7" t="s">
        <v>472</v>
      </c>
      <c r="I7">
        <v>500</v>
      </c>
      <c r="J7">
        <v>14.724163200000003</v>
      </c>
      <c r="K7">
        <v>1.0012430976000002</v>
      </c>
      <c r="L7">
        <v>120</v>
      </c>
      <c r="M7">
        <v>15</v>
      </c>
      <c r="N7">
        <v>14.614958998988085</v>
      </c>
      <c r="O7">
        <v>0.99381721193118966</v>
      </c>
      <c r="P7" s="139">
        <v>46174</v>
      </c>
      <c r="Q7" s="113"/>
      <c r="R7"/>
    </row>
    <row r="8" spans="2:18">
      <c r="B8" s="256">
        <v>104</v>
      </c>
      <c r="C8" s="6">
        <v>1270</v>
      </c>
      <c r="D8" s="1">
        <v>68</v>
      </c>
      <c r="E8" s="27" t="s">
        <v>2</v>
      </c>
      <c r="F8" s="6" t="s">
        <v>51</v>
      </c>
      <c r="G8" s="7">
        <v>2210</v>
      </c>
      <c r="H8" t="s">
        <v>472</v>
      </c>
      <c r="I8">
        <v>200</v>
      </c>
      <c r="J8">
        <v>14.7908332</v>
      </c>
      <c r="K8">
        <v>1.0057766576</v>
      </c>
      <c r="L8">
        <v>120</v>
      </c>
      <c r="M8">
        <v>15</v>
      </c>
      <c r="N8">
        <v>14.681134529863922</v>
      </c>
      <c r="O8">
        <v>0.99831714803074667</v>
      </c>
      <c r="P8" s="139">
        <v>46174</v>
      </c>
      <c r="Q8" s="113"/>
      <c r="R8"/>
    </row>
    <row r="9" spans="2:18">
      <c r="B9" s="256">
        <v>104</v>
      </c>
      <c r="C9" s="6">
        <v>1270</v>
      </c>
      <c r="D9" s="1">
        <v>68</v>
      </c>
      <c r="E9" s="27" t="s">
        <v>2</v>
      </c>
      <c r="F9" s="6" t="s">
        <v>51</v>
      </c>
      <c r="G9" s="7">
        <v>2230</v>
      </c>
      <c r="H9" t="s">
        <v>472</v>
      </c>
      <c r="I9">
        <v>150</v>
      </c>
      <c r="J9">
        <v>14.9241732</v>
      </c>
      <c r="K9">
        <v>1.0148437775999999</v>
      </c>
      <c r="L9">
        <v>120</v>
      </c>
      <c r="M9">
        <v>15</v>
      </c>
      <c r="N9">
        <v>14.813485591615606</v>
      </c>
      <c r="O9">
        <v>1.0073170202298614</v>
      </c>
      <c r="P9" s="139">
        <v>46174</v>
      </c>
      <c r="Q9" s="113"/>
      <c r="R9"/>
    </row>
    <row r="10" spans="2:18">
      <c r="B10" s="256">
        <v>104</v>
      </c>
      <c r="C10" s="6">
        <v>1270</v>
      </c>
      <c r="D10" s="1">
        <v>68</v>
      </c>
      <c r="E10" s="27" t="s">
        <v>2</v>
      </c>
      <c r="F10" s="6" t="s">
        <v>51</v>
      </c>
      <c r="G10" s="7">
        <v>2250</v>
      </c>
      <c r="H10" t="s">
        <v>472</v>
      </c>
      <c r="I10">
        <v>100</v>
      </c>
      <c r="J10">
        <v>15.057513200000001</v>
      </c>
      <c r="K10">
        <v>1.0239108976</v>
      </c>
      <c r="L10">
        <v>120</v>
      </c>
      <c r="M10">
        <v>15</v>
      </c>
      <c r="N10">
        <v>14.945836653367291</v>
      </c>
      <c r="O10">
        <v>1.0163168924289758</v>
      </c>
      <c r="P10" s="139">
        <v>46174</v>
      </c>
      <c r="Q10" s="113"/>
      <c r="R10"/>
    </row>
    <row r="11" spans="2:18">
      <c r="B11" s="256">
        <v>104</v>
      </c>
      <c r="C11" s="6">
        <v>1270</v>
      </c>
      <c r="D11" s="1">
        <v>68</v>
      </c>
      <c r="E11" s="27" t="s">
        <v>2</v>
      </c>
      <c r="F11" s="6" t="s">
        <v>51</v>
      </c>
      <c r="G11" s="7">
        <v>2300</v>
      </c>
      <c r="H11" t="s">
        <v>472</v>
      </c>
      <c r="I11">
        <v>50</v>
      </c>
      <c r="J11">
        <v>15.3908632</v>
      </c>
      <c r="K11">
        <v>1.0465786976</v>
      </c>
      <c r="L11">
        <v>120</v>
      </c>
      <c r="M11">
        <v>15</v>
      </c>
      <c r="N11">
        <v>15.2767143077465</v>
      </c>
      <c r="O11">
        <v>1.038816572926762</v>
      </c>
      <c r="P11" s="139">
        <v>46174</v>
      </c>
      <c r="Q11" s="113"/>
      <c r="R11"/>
    </row>
    <row r="12" spans="2:18">
      <c r="B12" s="256">
        <v>104</v>
      </c>
      <c r="C12" s="6">
        <v>1270</v>
      </c>
      <c r="D12" s="1">
        <v>68</v>
      </c>
      <c r="E12" s="27" t="s">
        <v>2</v>
      </c>
      <c r="F12" s="6" t="s">
        <v>51</v>
      </c>
      <c r="G12" s="7">
        <v>2350</v>
      </c>
      <c r="H12" t="s">
        <v>472</v>
      </c>
      <c r="I12">
        <v>30</v>
      </c>
      <c r="J12">
        <v>15.724213200000003</v>
      </c>
      <c r="K12">
        <v>1.0692464976000002</v>
      </c>
      <c r="L12">
        <v>120</v>
      </c>
      <c r="M12">
        <v>15</v>
      </c>
      <c r="N12">
        <v>15.607591962125712</v>
      </c>
      <c r="O12">
        <v>1.0613162534245484</v>
      </c>
      <c r="P12" s="139">
        <v>46174</v>
      </c>
      <c r="Q12" s="113"/>
      <c r="R12"/>
    </row>
    <row r="13" spans="2:18">
      <c r="B13" s="256">
        <v>104</v>
      </c>
      <c r="C13" s="6">
        <v>1270</v>
      </c>
      <c r="D13" s="1">
        <v>68</v>
      </c>
      <c r="E13" s="27" t="s">
        <v>2</v>
      </c>
      <c r="F13" s="6" t="s">
        <v>51</v>
      </c>
      <c r="G13" s="7">
        <v>2270</v>
      </c>
      <c r="H13" t="s">
        <v>472</v>
      </c>
      <c r="I13">
        <v>70</v>
      </c>
      <c r="J13">
        <v>15.190853200000001</v>
      </c>
      <c r="K13">
        <v>1.0329780176000001</v>
      </c>
      <c r="L13">
        <v>120</v>
      </c>
      <c r="M13">
        <v>15</v>
      </c>
      <c r="N13">
        <v>15.078187715118975</v>
      </c>
      <c r="O13">
        <v>1.0253167646280903</v>
      </c>
      <c r="P13" s="139">
        <v>46174</v>
      </c>
      <c r="Q13" s="113"/>
      <c r="R13"/>
    </row>
    <row r="14" spans="2:18">
      <c r="B14" s="256">
        <v>104</v>
      </c>
      <c r="C14" s="6">
        <v>1270</v>
      </c>
      <c r="D14" s="250">
        <v>70</v>
      </c>
      <c r="E14" s="253" t="s">
        <v>108</v>
      </c>
      <c r="F14" s="6" t="s">
        <v>51</v>
      </c>
      <c r="G14" s="7">
        <v>2890</v>
      </c>
      <c r="H14">
        <v>500</v>
      </c>
      <c r="I14">
        <v>80</v>
      </c>
      <c r="J14">
        <v>19.501393200000003</v>
      </c>
      <c r="K14">
        <v>1.3650975240000001</v>
      </c>
      <c r="L14">
        <v>30</v>
      </c>
      <c r="M14">
        <v>-75</v>
      </c>
      <c r="N14">
        <v>20.240943124739587</v>
      </c>
      <c r="O14">
        <v>1.4168660187317712</v>
      </c>
      <c r="P14" s="139">
        <v>46174</v>
      </c>
      <c r="Q14" s="113"/>
      <c r="R14"/>
    </row>
    <row r="15" spans="2:18">
      <c r="B15" s="256">
        <v>104</v>
      </c>
      <c r="C15" s="6">
        <v>1270</v>
      </c>
      <c r="D15" s="250">
        <v>70</v>
      </c>
      <c r="E15" s="253" t="s">
        <v>108</v>
      </c>
      <c r="F15" s="6" t="s">
        <v>51</v>
      </c>
      <c r="G15" s="7">
        <v>2910</v>
      </c>
      <c r="H15">
        <v>500</v>
      </c>
      <c r="I15">
        <v>50</v>
      </c>
      <c r="J15">
        <v>19.634733199999999</v>
      </c>
      <c r="K15">
        <v>1.3744313240000001</v>
      </c>
      <c r="L15">
        <v>30</v>
      </c>
      <c r="M15">
        <v>-75</v>
      </c>
      <c r="N15">
        <v>20.379339767921611</v>
      </c>
      <c r="O15">
        <v>1.4265537837545128</v>
      </c>
      <c r="P15" s="139">
        <v>46174</v>
      </c>
      <c r="Q15" s="113"/>
      <c r="R15"/>
    </row>
    <row r="16" spans="2:18">
      <c r="B16" s="256">
        <v>104</v>
      </c>
      <c r="C16" s="6">
        <v>1270</v>
      </c>
      <c r="D16" s="250">
        <v>70</v>
      </c>
      <c r="E16" s="253" t="s">
        <v>108</v>
      </c>
      <c r="F16" s="6" t="s">
        <v>51</v>
      </c>
      <c r="G16" s="7">
        <v>2960</v>
      </c>
      <c r="H16">
        <v>500</v>
      </c>
      <c r="I16">
        <v>20</v>
      </c>
      <c r="J16">
        <v>19.968083200000002</v>
      </c>
      <c r="K16">
        <v>1.3977658240000002</v>
      </c>
      <c r="L16">
        <v>30</v>
      </c>
      <c r="M16">
        <v>-75</v>
      </c>
      <c r="N16">
        <v>20.725331375876674</v>
      </c>
      <c r="O16">
        <v>1.450773196311367</v>
      </c>
      <c r="P16" s="139">
        <v>46174</v>
      </c>
      <c r="Q16" s="113"/>
      <c r="R16"/>
    </row>
    <row r="17" spans="2:18">
      <c r="B17" s="256">
        <v>104</v>
      </c>
      <c r="C17" s="6">
        <v>1270</v>
      </c>
      <c r="D17" s="250">
        <v>70</v>
      </c>
      <c r="E17" s="253" t="s">
        <v>0</v>
      </c>
      <c r="F17" s="252" t="s">
        <v>267</v>
      </c>
      <c r="G17" s="7">
        <v>11650</v>
      </c>
      <c r="H17" s="110">
        <v>3300</v>
      </c>
      <c r="I17" s="6">
        <v>100</v>
      </c>
      <c r="J17">
        <v>11.172330000000001</v>
      </c>
      <c r="K17">
        <v>0.78206310000000012</v>
      </c>
      <c r="L17">
        <v>90</v>
      </c>
      <c r="M17">
        <v>-30</v>
      </c>
      <c r="N17">
        <v>11.339914949999999</v>
      </c>
      <c r="O17">
        <v>0.79379404649999985</v>
      </c>
      <c r="P17" s="139">
        <v>46023</v>
      </c>
      <c r="Q17" s="113"/>
      <c r="R17"/>
    </row>
    <row r="18" spans="2:18">
      <c r="B18" s="256">
        <v>104</v>
      </c>
      <c r="C18" s="6">
        <v>1270</v>
      </c>
      <c r="D18" s="250">
        <v>70</v>
      </c>
      <c r="E18" s="253" t="s">
        <v>0</v>
      </c>
      <c r="F18" s="252" t="s">
        <v>51</v>
      </c>
      <c r="G18" s="255">
        <v>1760</v>
      </c>
      <c r="H18" s="110">
        <v>400</v>
      </c>
      <c r="I18">
        <v>100</v>
      </c>
      <c r="J18">
        <v>13.049340000000001</v>
      </c>
      <c r="K18">
        <v>0.91345380000000009</v>
      </c>
      <c r="L18">
        <v>90</v>
      </c>
      <c r="M18">
        <v>-30</v>
      </c>
      <c r="N18">
        <v>13.245080099999999</v>
      </c>
      <c r="O18">
        <v>0.92715560699999988</v>
      </c>
      <c r="P18" s="139">
        <v>45717</v>
      </c>
      <c r="Q18" s="113"/>
      <c r="R18"/>
    </row>
    <row r="19" spans="2:18">
      <c r="B19" s="256">
        <v>104</v>
      </c>
      <c r="C19" s="6">
        <v>1270</v>
      </c>
      <c r="D19" s="250">
        <v>70</v>
      </c>
      <c r="E19" s="254" t="s">
        <v>47</v>
      </c>
      <c r="F19" s="6" t="s">
        <v>51</v>
      </c>
      <c r="G19" s="7">
        <v>2480</v>
      </c>
      <c r="H19">
        <v>300</v>
      </c>
      <c r="I19">
        <v>20</v>
      </c>
      <c r="J19">
        <v>16.767923199999998</v>
      </c>
      <c r="K19">
        <v>1.1737546240000001</v>
      </c>
      <c r="L19">
        <v>120</v>
      </c>
      <c r="M19">
        <v>15</v>
      </c>
      <c r="N19">
        <v>16.643561113624507</v>
      </c>
      <c r="O19">
        <v>1.1650492779537154</v>
      </c>
      <c r="P19" s="139">
        <v>46174</v>
      </c>
      <c r="Q19" s="113"/>
      <c r="R19"/>
    </row>
    <row r="20" spans="2:18">
      <c r="B20" s="256">
        <v>104</v>
      </c>
      <c r="C20" s="6">
        <v>1270</v>
      </c>
      <c r="D20" s="250">
        <v>70</v>
      </c>
      <c r="E20" s="254" t="s">
        <v>47</v>
      </c>
      <c r="F20" s="6" t="s">
        <v>51</v>
      </c>
      <c r="G20" s="7">
        <v>2560</v>
      </c>
      <c r="H20">
        <v>300</v>
      </c>
      <c r="I20">
        <v>10</v>
      </c>
      <c r="J20">
        <v>17.3012832</v>
      </c>
      <c r="K20">
        <v>1.2110898240000001</v>
      </c>
      <c r="L20">
        <v>120</v>
      </c>
      <c r="M20">
        <v>15</v>
      </c>
      <c r="N20">
        <v>17.172965360631245</v>
      </c>
      <c r="O20">
        <v>1.2021075752441872</v>
      </c>
      <c r="P20" s="139">
        <v>46174</v>
      </c>
      <c r="Q20" s="113"/>
      <c r="R20"/>
    </row>
    <row r="21" spans="2:18">
      <c r="B21" s="256">
        <v>104</v>
      </c>
      <c r="C21" s="6">
        <v>1270</v>
      </c>
      <c r="D21" s="250">
        <v>70</v>
      </c>
      <c r="E21" s="254" t="s">
        <v>47</v>
      </c>
      <c r="F21" s="6" t="s">
        <v>51</v>
      </c>
      <c r="G21" s="7">
        <v>2430</v>
      </c>
      <c r="H21">
        <v>300</v>
      </c>
      <c r="I21">
        <v>30</v>
      </c>
      <c r="J21">
        <v>16.434573199999999</v>
      </c>
      <c r="K21">
        <v>1.150420124</v>
      </c>
      <c r="L21">
        <v>120</v>
      </c>
      <c r="M21">
        <v>15</v>
      </c>
      <c r="N21">
        <v>16.312683459245299</v>
      </c>
      <c r="O21">
        <v>1.141887842147171</v>
      </c>
      <c r="P21" s="139">
        <v>46174</v>
      </c>
      <c r="Q21" s="113"/>
      <c r="R21"/>
    </row>
    <row r="22" spans="2:18">
      <c r="B22" s="256">
        <v>104</v>
      </c>
      <c r="C22" s="6">
        <v>1270</v>
      </c>
      <c r="D22" s="250">
        <v>70</v>
      </c>
      <c r="E22" s="254" t="s">
        <v>47</v>
      </c>
      <c r="F22" s="6" t="s">
        <v>51</v>
      </c>
      <c r="G22" s="7">
        <v>2380</v>
      </c>
      <c r="H22">
        <v>300</v>
      </c>
      <c r="I22">
        <v>50</v>
      </c>
      <c r="J22">
        <v>16.1012232</v>
      </c>
      <c r="K22">
        <v>1.127085624</v>
      </c>
      <c r="L22">
        <v>120</v>
      </c>
      <c r="M22">
        <v>15</v>
      </c>
      <c r="N22">
        <v>15.98180580486609</v>
      </c>
      <c r="O22">
        <v>1.1187264063406261</v>
      </c>
      <c r="P22" s="139">
        <v>46174</v>
      </c>
      <c r="Q22" s="113"/>
      <c r="R22"/>
    </row>
    <row r="23" spans="2:18">
      <c r="B23" s="256">
        <v>104</v>
      </c>
      <c r="C23" s="6">
        <v>1270</v>
      </c>
      <c r="D23" s="250">
        <v>80</v>
      </c>
      <c r="E23" s="253" t="s">
        <v>0</v>
      </c>
      <c r="F23" s="252" t="s">
        <v>267</v>
      </c>
      <c r="G23" s="7">
        <v>11650</v>
      </c>
      <c r="H23" s="110">
        <v>3300</v>
      </c>
      <c r="I23" s="6">
        <v>100</v>
      </c>
      <c r="J23">
        <v>11.172330000000001</v>
      </c>
      <c r="K23">
        <v>0.89378640000000009</v>
      </c>
      <c r="L23">
        <v>90</v>
      </c>
      <c r="M23">
        <v>-30</v>
      </c>
      <c r="N23">
        <v>11.339914949999999</v>
      </c>
      <c r="O23">
        <v>0.90719319599999992</v>
      </c>
      <c r="P23" s="139">
        <v>46023</v>
      </c>
      <c r="Q23" s="113"/>
      <c r="R23"/>
    </row>
    <row r="24" spans="2:18">
      <c r="B24" s="256">
        <v>104</v>
      </c>
      <c r="C24" s="6">
        <v>1270</v>
      </c>
      <c r="D24" s="250">
        <v>80</v>
      </c>
      <c r="E24" s="253" t="s">
        <v>0</v>
      </c>
      <c r="F24" s="252" t="s">
        <v>51</v>
      </c>
      <c r="G24" s="255">
        <v>1730</v>
      </c>
      <c r="H24" s="110">
        <v>400</v>
      </c>
      <c r="I24">
        <v>100</v>
      </c>
      <c r="J24">
        <v>12.84756</v>
      </c>
      <c r="K24">
        <v>1.0278048</v>
      </c>
      <c r="L24">
        <v>90</v>
      </c>
      <c r="M24">
        <v>-30</v>
      </c>
      <c r="N24">
        <v>13.040273399999998</v>
      </c>
      <c r="O24">
        <v>1.0432218719999999</v>
      </c>
      <c r="P24" s="139">
        <v>45717</v>
      </c>
      <c r="Q24" s="113"/>
      <c r="R24"/>
    </row>
    <row r="25" spans="2:18">
      <c r="B25" s="256">
        <v>104</v>
      </c>
      <c r="C25" s="6">
        <v>1845</v>
      </c>
      <c r="D25" s="250">
        <v>80</v>
      </c>
      <c r="E25" s="253" t="s">
        <v>1</v>
      </c>
      <c r="F25" s="252" t="s">
        <v>46</v>
      </c>
      <c r="G25" s="7">
        <v>14425</v>
      </c>
      <c r="H25" t="s">
        <v>472</v>
      </c>
      <c r="I25">
        <v>40</v>
      </c>
      <c r="J25">
        <v>14.625</v>
      </c>
      <c r="K25">
        <v>1.1700000000000002</v>
      </c>
      <c r="L25">
        <v>0</v>
      </c>
      <c r="M25">
        <v>-45</v>
      </c>
      <c r="N25">
        <v>14.955293416637947</v>
      </c>
      <c r="O25">
        <v>1.1964234733310357</v>
      </c>
      <c r="P25" s="139">
        <v>46174</v>
      </c>
      <c r="Q25" s="113"/>
      <c r="R25"/>
    </row>
    <row r="26" spans="2:18">
      <c r="B26" s="256">
        <v>104</v>
      </c>
      <c r="C26" s="6">
        <v>1855</v>
      </c>
      <c r="D26" s="250">
        <v>80</v>
      </c>
      <c r="E26" s="253" t="s">
        <v>108</v>
      </c>
      <c r="F26" s="6" t="s">
        <v>51</v>
      </c>
      <c r="G26" s="7">
        <v>1650</v>
      </c>
      <c r="H26">
        <v>500</v>
      </c>
      <c r="I26">
        <v>80</v>
      </c>
      <c r="J26">
        <v>11.234313199999999</v>
      </c>
      <c r="K26">
        <v>0.89874505599999988</v>
      </c>
      <c r="L26">
        <v>30</v>
      </c>
      <c r="M26">
        <v>-75</v>
      </c>
      <c r="N26">
        <v>11.66035124745401</v>
      </c>
      <c r="O26">
        <v>0.93282809979632075</v>
      </c>
      <c r="P26" s="139">
        <v>46174</v>
      </c>
      <c r="Q26" s="113"/>
      <c r="R26"/>
    </row>
    <row r="27" spans="2:18">
      <c r="B27" s="256">
        <v>104</v>
      </c>
      <c r="C27" s="6">
        <v>1855</v>
      </c>
      <c r="D27" s="250">
        <v>80</v>
      </c>
      <c r="E27" s="253" t="s">
        <v>108</v>
      </c>
      <c r="F27" s="6" t="s">
        <v>51</v>
      </c>
      <c r="G27" s="7">
        <v>1720</v>
      </c>
      <c r="H27">
        <v>500</v>
      </c>
      <c r="I27">
        <v>20</v>
      </c>
      <c r="J27">
        <v>11.701003200000001</v>
      </c>
      <c r="K27">
        <v>0.93608025600000011</v>
      </c>
      <c r="L27">
        <v>30</v>
      </c>
      <c r="M27">
        <v>-75</v>
      </c>
      <c r="N27">
        <v>12.1447394985911</v>
      </c>
      <c r="O27">
        <v>0.97157915988728805</v>
      </c>
      <c r="P27" s="139">
        <v>46174</v>
      </c>
      <c r="Q27" s="113"/>
      <c r="R27"/>
    </row>
    <row r="28" spans="2:18">
      <c r="B28" s="256">
        <v>104</v>
      </c>
      <c r="C28" s="6">
        <v>1855</v>
      </c>
      <c r="D28" s="250">
        <v>80</v>
      </c>
      <c r="E28" s="253" t="s">
        <v>108</v>
      </c>
      <c r="F28" s="6" t="s">
        <v>51</v>
      </c>
      <c r="G28" s="7">
        <v>1660</v>
      </c>
      <c r="H28">
        <v>500</v>
      </c>
      <c r="I28" s="6">
        <v>200</v>
      </c>
      <c r="J28">
        <v>11.300983200000001</v>
      </c>
      <c r="K28">
        <v>0.90407865600000015</v>
      </c>
      <c r="L28">
        <v>30</v>
      </c>
      <c r="M28">
        <v>-75</v>
      </c>
      <c r="N28">
        <v>11.729549569045025</v>
      </c>
      <c r="O28">
        <v>0.93836396552360202</v>
      </c>
      <c r="P28" s="139">
        <v>45992</v>
      </c>
      <c r="Q28" s="113"/>
      <c r="R28"/>
    </row>
    <row r="29" spans="2:18">
      <c r="B29" s="256">
        <v>104</v>
      </c>
      <c r="C29" s="6">
        <v>1855</v>
      </c>
      <c r="D29" s="250">
        <v>80</v>
      </c>
      <c r="E29" s="253" t="s">
        <v>108</v>
      </c>
      <c r="F29" s="6" t="s">
        <v>51</v>
      </c>
      <c r="G29" s="7">
        <v>1670</v>
      </c>
      <c r="H29">
        <v>500</v>
      </c>
      <c r="I29">
        <v>50</v>
      </c>
      <c r="J29">
        <v>11.367653199999999</v>
      </c>
      <c r="K29">
        <v>0.90941225599999997</v>
      </c>
      <c r="L29">
        <v>30</v>
      </c>
      <c r="M29">
        <v>-75</v>
      </c>
      <c r="N29">
        <v>11.798747890636035</v>
      </c>
      <c r="O29">
        <v>0.94389983125088284</v>
      </c>
      <c r="P29" s="139">
        <v>46174</v>
      </c>
      <c r="Q29" s="113"/>
      <c r="R29"/>
    </row>
    <row r="30" spans="2:18">
      <c r="B30" s="256">
        <v>104</v>
      </c>
      <c r="C30" s="6">
        <v>1855</v>
      </c>
      <c r="D30" s="250">
        <v>80</v>
      </c>
      <c r="E30" s="253" t="s">
        <v>0</v>
      </c>
      <c r="F30" s="252" t="s">
        <v>267</v>
      </c>
      <c r="G30" s="7">
        <v>11650</v>
      </c>
      <c r="H30" s="110">
        <v>3300</v>
      </c>
      <c r="I30" s="6">
        <v>100</v>
      </c>
      <c r="J30">
        <v>11.172330000000001</v>
      </c>
      <c r="K30">
        <v>0.89378640000000009</v>
      </c>
      <c r="L30">
        <v>90</v>
      </c>
      <c r="M30">
        <v>-30</v>
      </c>
      <c r="N30">
        <v>11.339914949999999</v>
      </c>
      <c r="O30">
        <v>0.90719319599999992</v>
      </c>
      <c r="P30" s="139">
        <v>46023</v>
      </c>
      <c r="Q30" s="113"/>
      <c r="R30"/>
    </row>
    <row r="31" spans="2:18">
      <c r="B31" s="256">
        <v>104</v>
      </c>
      <c r="C31" s="6">
        <v>1855</v>
      </c>
      <c r="D31" s="250">
        <v>80</v>
      </c>
      <c r="E31" s="253" t="s">
        <v>0</v>
      </c>
      <c r="F31" s="252" t="s">
        <v>51</v>
      </c>
      <c r="G31" s="255">
        <v>1730</v>
      </c>
      <c r="H31" s="110">
        <v>400</v>
      </c>
      <c r="I31">
        <v>100</v>
      </c>
      <c r="J31">
        <v>12.84756</v>
      </c>
      <c r="K31">
        <v>1.0278048</v>
      </c>
      <c r="L31">
        <v>90</v>
      </c>
      <c r="M31">
        <v>-30</v>
      </c>
      <c r="N31">
        <v>13.040273399999998</v>
      </c>
      <c r="O31">
        <v>1.0432218719999999</v>
      </c>
      <c r="P31" s="139">
        <v>45717</v>
      </c>
      <c r="Q31" s="113"/>
      <c r="R31"/>
    </row>
    <row r="32" spans="2:18">
      <c r="B32" s="256">
        <v>104</v>
      </c>
      <c r="C32" s="6">
        <v>1860</v>
      </c>
      <c r="D32" s="250">
        <v>80</v>
      </c>
      <c r="E32" s="253" t="s">
        <v>108</v>
      </c>
      <c r="F32" s="6" t="s">
        <v>51</v>
      </c>
      <c r="G32" s="7">
        <v>1650</v>
      </c>
      <c r="H32">
        <v>500</v>
      </c>
      <c r="I32">
        <v>80</v>
      </c>
      <c r="J32">
        <v>11.234313199999999</v>
      </c>
      <c r="K32">
        <v>0.89874505599999988</v>
      </c>
      <c r="L32">
        <v>30</v>
      </c>
      <c r="M32">
        <v>-75</v>
      </c>
      <c r="N32">
        <v>11.66035124745401</v>
      </c>
      <c r="O32">
        <v>0.93282809979632075</v>
      </c>
      <c r="P32" s="139">
        <v>46174</v>
      </c>
      <c r="Q32" s="113"/>
      <c r="R32"/>
    </row>
    <row r="33" spans="2:17" customFormat="1">
      <c r="B33" s="256">
        <v>104</v>
      </c>
      <c r="C33" s="6">
        <v>1860</v>
      </c>
      <c r="D33" s="250">
        <v>80</v>
      </c>
      <c r="E33" s="253" t="s">
        <v>108</v>
      </c>
      <c r="F33" s="6" t="s">
        <v>51</v>
      </c>
      <c r="G33" s="7">
        <v>1720</v>
      </c>
      <c r="H33">
        <v>500</v>
      </c>
      <c r="I33">
        <v>20</v>
      </c>
      <c r="J33">
        <v>11.701003200000001</v>
      </c>
      <c r="K33">
        <v>0.93608025600000011</v>
      </c>
      <c r="L33">
        <v>30</v>
      </c>
      <c r="M33">
        <v>-75</v>
      </c>
      <c r="N33">
        <v>12.1447394985911</v>
      </c>
      <c r="O33">
        <v>0.97157915988728805</v>
      </c>
      <c r="P33" s="139">
        <v>46174</v>
      </c>
      <c r="Q33" s="113"/>
    </row>
    <row r="34" spans="2:17" customFormat="1">
      <c r="B34" s="256">
        <v>104</v>
      </c>
      <c r="C34" s="6">
        <v>1860</v>
      </c>
      <c r="D34" s="250">
        <v>80</v>
      </c>
      <c r="E34" s="253" t="s">
        <v>108</v>
      </c>
      <c r="F34" s="6" t="s">
        <v>51</v>
      </c>
      <c r="G34" s="7">
        <v>1660</v>
      </c>
      <c r="H34">
        <v>500</v>
      </c>
      <c r="I34" s="6">
        <v>200</v>
      </c>
      <c r="J34">
        <v>11.300983200000001</v>
      </c>
      <c r="K34">
        <v>0.90407865600000015</v>
      </c>
      <c r="L34">
        <v>30</v>
      </c>
      <c r="M34">
        <v>-75</v>
      </c>
      <c r="N34">
        <v>11.729549569045025</v>
      </c>
      <c r="O34">
        <v>0.93836396552360202</v>
      </c>
      <c r="P34" s="139">
        <v>45992</v>
      </c>
      <c r="Q34" s="113"/>
    </row>
    <row r="35" spans="2:17" customFormat="1">
      <c r="B35" s="256">
        <v>104</v>
      </c>
      <c r="C35" s="6">
        <v>1860</v>
      </c>
      <c r="D35" s="250">
        <v>80</v>
      </c>
      <c r="E35" s="253" t="s">
        <v>108</v>
      </c>
      <c r="F35" s="6" t="s">
        <v>51</v>
      </c>
      <c r="G35" s="7">
        <v>1670</v>
      </c>
      <c r="H35">
        <v>500</v>
      </c>
      <c r="I35">
        <v>50</v>
      </c>
      <c r="J35">
        <v>11.367653199999999</v>
      </c>
      <c r="K35">
        <v>0.90941225599999997</v>
      </c>
      <c r="L35">
        <v>30</v>
      </c>
      <c r="M35">
        <v>-75</v>
      </c>
      <c r="N35">
        <v>11.798747890636035</v>
      </c>
      <c r="O35">
        <v>0.94389983125088284</v>
      </c>
      <c r="P35" s="139">
        <v>46174</v>
      </c>
      <c r="Q35" s="113"/>
    </row>
    <row r="36" spans="2:17" customFormat="1">
      <c r="B36" s="256">
        <v>104</v>
      </c>
      <c r="C36" s="6">
        <v>1860</v>
      </c>
      <c r="D36" s="250">
        <v>80</v>
      </c>
      <c r="E36" s="253" t="s">
        <v>1</v>
      </c>
      <c r="F36" s="252" t="s">
        <v>46</v>
      </c>
      <c r="G36" s="7">
        <v>14425</v>
      </c>
      <c r="H36" t="s">
        <v>472</v>
      </c>
      <c r="I36">
        <v>40</v>
      </c>
      <c r="J36">
        <v>14.625</v>
      </c>
      <c r="K36">
        <v>1.1700000000000002</v>
      </c>
      <c r="L36">
        <v>0</v>
      </c>
      <c r="M36">
        <v>-45</v>
      </c>
      <c r="N36">
        <v>14.955293416637947</v>
      </c>
      <c r="O36">
        <v>1.1964234733310357</v>
      </c>
      <c r="P36" s="139">
        <v>46174</v>
      </c>
      <c r="Q36" s="113"/>
    </row>
    <row r="37" spans="2:17" customFormat="1">
      <c r="B37" s="256">
        <v>104</v>
      </c>
      <c r="C37" s="6">
        <v>1860</v>
      </c>
      <c r="D37" s="250">
        <v>80</v>
      </c>
      <c r="E37" s="253" t="s">
        <v>0</v>
      </c>
      <c r="F37" s="252" t="s">
        <v>267</v>
      </c>
      <c r="G37" s="7">
        <v>11650</v>
      </c>
      <c r="H37" s="110">
        <v>3300</v>
      </c>
      <c r="I37" s="6">
        <v>100</v>
      </c>
      <c r="J37">
        <v>11.172330000000001</v>
      </c>
      <c r="K37">
        <v>0.89378640000000009</v>
      </c>
      <c r="L37">
        <v>90</v>
      </c>
      <c r="M37">
        <v>-30</v>
      </c>
      <c r="N37">
        <v>11.339914949999999</v>
      </c>
      <c r="O37">
        <v>0.90719319599999992</v>
      </c>
      <c r="P37" s="139">
        <v>46023</v>
      </c>
      <c r="Q37" s="113"/>
    </row>
    <row r="38" spans="2:17" customFormat="1">
      <c r="B38" s="256">
        <v>104</v>
      </c>
      <c r="C38" s="6">
        <v>1860</v>
      </c>
      <c r="D38" s="250">
        <v>80</v>
      </c>
      <c r="E38" s="253" t="s">
        <v>0</v>
      </c>
      <c r="F38" s="252" t="s">
        <v>51</v>
      </c>
      <c r="G38" s="255">
        <v>1730</v>
      </c>
      <c r="H38" s="110">
        <v>400</v>
      </c>
      <c r="I38">
        <v>100</v>
      </c>
      <c r="J38">
        <v>12.84756</v>
      </c>
      <c r="K38">
        <v>1.0278048</v>
      </c>
      <c r="L38">
        <v>90</v>
      </c>
      <c r="M38">
        <v>-30</v>
      </c>
      <c r="N38">
        <v>13.040273399999998</v>
      </c>
      <c r="O38">
        <v>1.0432218719999999</v>
      </c>
      <c r="P38" s="139">
        <v>45717</v>
      </c>
      <c r="Q38" s="113"/>
    </row>
    <row r="39" spans="2:17" customFormat="1">
      <c r="B39" s="256">
        <v>104</v>
      </c>
      <c r="C39" s="6">
        <v>1870</v>
      </c>
      <c r="D39" s="250">
        <v>70</v>
      </c>
      <c r="E39" s="254" t="s">
        <v>3</v>
      </c>
      <c r="F39" s="252" t="s">
        <v>267</v>
      </c>
      <c r="G39" s="7">
        <v>11700</v>
      </c>
      <c r="H39" s="110">
        <v>3300</v>
      </c>
      <c r="I39">
        <v>100</v>
      </c>
      <c r="J39">
        <v>11.215079999999999</v>
      </c>
      <c r="K39">
        <v>0.78505559999999996</v>
      </c>
      <c r="L39">
        <v>90</v>
      </c>
      <c r="M39">
        <v>-30</v>
      </c>
      <c r="N39">
        <v>11.383306199999998</v>
      </c>
      <c r="O39">
        <v>0.79683143399999989</v>
      </c>
      <c r="P39" s="139">
        <v>45962</v>
      </c>
      <c r="Q39" s="113"/>
    </row>
    <row r="40" spans="2:17" customFormat="1">
      <c r="B40" s="256">
        <v>104</v>
      </c>
      <c r="C40" s="6">
        <v>1870</v>
      </c>
      <c r="D40" s="250">
        <v>70</v>
      </c>
      <c r="E40" s="254" t="s">
        <v>3</v>
      </c>
      <c r="F40" s="252" t="s">
        <v>51</v>
      </c>
      <c r="G40" s="255">
        <v>1800</v>
      </c>
      <c r="H40" s="110">
        <v>400</v>
      </c>
      <c r="I40">
        <v>100</v>
      </c>
      <c r="J40">
        <v>13.318380000000001</v>
      </c>
      <c r="K40">
        <v>0.93228660000000008</v>
      </c>
      <c r="L40">
        <v>90</v>
      </c>
      <c r="M40">
        <v>-30</v>
      </c>
      <c r="N40">
        <v>13.518155699999999</v>
      </c>
      <c r="O40">
        <v>0.94627089899999994</v>
      </c>
      <c r="P40" s="139">
        <v>45444</v>
      </c>
      <c r="Q40" s="113"/>
    </row>
    <row r="41" spans="2:17" customFormat="1">
      <c r="B41" s="256">
        <v>104</v>
      </c>
      <c r="C41" s="6">
        <v>1870</v>
      </c>
      <c r="D41" s="250">
        <v>70</v>
      </c>
      <c r="E41" s="253" t="s">
        <v>108</v>
      </c>
      <c r="F41" s="6" t="s">
        <v>51</v>
      </c>
      <c r="G41" s="255">
        <v>2160</v>
      </c>
      <c r="H41" s="257">
        <v>500</v>
      </c>
      <c r="I41" s="252">
        <v>200</v>
      </c>
      <c r="J41">
        <v>14.634483200000002</v>
      </c>
      <c r="K41">
        <v>1.024413824</v>
      </c>
      <c r="L41">
        <v>30</v>
      </c>
      <c r="M41">
        <v>-75</v>
      </c>
      <c r="N41">
        <v>15.189465648595659</v>
      </c>
      <c r="O41">
        <v>1.0632625954016961</v>
      </c>
      <c r="P41" s="139">
        <v>45778</v>
      </c>
      <c r="Q41" s="113"/>
    </row>
    <row r="42" spans="2:17" customFormat="1">
      <c r="B42" s="256">
        <v>104</v>
      </c>
      <c r="C42" s="6">
        <v>1870</v>
      </c>
      <c r="D42" s="250">
        <v>70</v>
      </c>
      <c r="E42" s="253" t="s">
        <v>108</v>
      </c>
      <c r="F42" s="6" t="s">
        <v>51</v>
      </c>
      <c r="G42" s="7">
        <v>2690</v>
      </c>
      <c r="H42">
        <v>500</v>
      </c>
      <c r="I42">
        <v>80</v>
      </c>
      <c r="J42">
        <v>18.167993200000002</v>
      </c>
      <c r="K42">
        <v>1.2717595240000001</v>
      </c>
      <c r="L42">
        <v>30</v>
      </c>
      <c r="M42">
        <v>-75</v>
      </c>
      <c r="N42">
        <v>18.856976692919332</v>
      </c>
      <c r="O42">
        <v>1.3199883685043532</v>
      </c>
      <c r="P42" s="139">
        <v>46174</v>
      </c>
      <c r="Q42" s="113"/>
    </row>
    <row r="43" spans="2:17" customFormat="1">
      <c r="B43" s="256">
        <v>104</v>
      </c>
      <c r="C43" s="6">
        <v>1870</v>
      </c>
      <c r="D43" s="250">
        <v>70</v>
      </c>
      <c r="E43" s="253" t="s">
        <v>108</v>
      </c>
      <c r="F43" s="6" t="s">
        <v>51</v>
      </c>
      <c r="G43" s="7">
        <v>2760</v>
      </c>
      <c r="H43">
        <v>500</v>
      </c>
      <c r="I43">
        <v>20</v>
      </c>
      <c r="J43">
        <v>18.634683199999998</v>
      </c>
      <c r="K43">
        <v>1.3044278239999998</v>
      </c>
      <c r="L43">
        <v>30</v>
      </c>
      <c r="M43">
        <v>-75</v>
      </c>
      <c r="N43">
        <v>19.341364944056416</v>
      </c>
      <c r="O43">
        <v>1.3538955460839492</v>
      </c>
      <c r="P43" s="139">
        <v>46174</v>
      </c>
      <c r="Q43" s="113"/>
    </row>
    <row r="44" spans="2:17" customFormat="1">
      <c r="B44" s="256">
        <v>104</v>
      </c>
      <c r="C44" s="6">
        <v>1870</v>
      </c>
      <c r="D44" s="250">
        <v>70</v>
      </c>
      <c r="E44" s="253" t="s">
        <v>108</v>
      </c>
      <c r="F44" s="6" t="s">
        <v>51</v>
      </c>
      <c r="G44" s="7">
        <v>2710</v>
      </c>
      <c r="H44">
        <v>500</v>
      </c>
      <c r="I44">
        <v>50</v>
      </c>
      <c r="J44">
        <v>18.301333199999998</v>
      </c>
      <c r="K44">
        <v>1.281093324</v>
      </c>
      <c r="L44">
        <v>30</v>
      </c>
      <c r="M44">
        <v>-75</v>
      </c>
      <c r="N44">
        <v>18.995373336101355</v>
      </c>
      <c r="O44">
        <v>1.3296761335270948</v>
      </c>
      <c r="P44" s="139">
        <v>46174</v>
      </c>
      <c r="Q44" s="113"/>
    </row>
    <row r="45" spans="2:17" customFormat="1">
      <c r="B45" s="256">
        <v>104</v>
      </c>
      <c r="C45" s="6">
        <v>1870</v>
      </c>
      <c r="D45" s="250">
        <v>70</v>
      </c>
      <c r="E45" s="253" t="s">
        <v>1</v>
      </c>
      <c r="F45" s="252" t="s">
        <v>46</v>
      </c>
      <c r="G45" s="7">
        <v>14425</v>
      </c>
      <c r="H45" t="s">
        <v>472</v>
      </c>
      <c r="I45">
        <v>70</v>
      </c>
      <c r="J45">
        <v>14.625</v>
      </c>
      <c r="K45">
        <v>1.0237500000000002</v>
      </c>
      <c r="L45">
        <v>0</v>
      </c>
      <c r="M45">
        <v>-45</v>
      </c>
      <c r="N45">
        <v>14.955293416637947</v>
      </c>
      <c r="O45">
        <v>1.0468705391646562</v>
      </c>
      <c r="P45" s="139">
        <v>46174</v>
      </c>
      <c r="Q45" s="113"/>
    </row>
    <row r="46" spans="2:17" customFormat="1">
      <c r="B46" s="256">
        <v>104</v>
      </c>
      <c r="C46" s="6">
        <v>1870</v>
      </c>
      <c r="D46" s="250">
        <v>70</v>
      </c>
      <c r="E46" s="253" t="s">
        <v>0</v>
      </c>
      <c r="F46" s="252" t="s">
        <v>267</v>
      </c>
      <c r="G46" s="7">
        <v>11650</v>
      </c>
      <c r="H46" s="110">
        <v>3300</v>
      </c>
      <c r="I46" s="6">
        <v>100</v>
      </c>
      <c r="J46">
        <v>11.172330000000001</v>
      </c>
      <c r="K46">
        <v>0.78206310000000012</v>
      </c>
      <c r="L46">
        <v>90</v>
      </c>
      <c r="M46">
        <v>-30</v>
      </c>
      <c r="N46">
        <v>11.339914949999999</v>
      </c>
      <c r="O46">
        <v>0.79379404649999985</v>
      </c>
      <c r="P46" s="139">
        <v>46023</v>
      </c>
      <c r="Q46" s="113"/>
    </row>
    <row r="47" spans="2:17" customFormat="1">
      <c r="B47" s="256">
        <v>104</v>
      </c>
      <c r="C47" s="6">
        <v>1870</v>
      </c>
      <c r="D47" s="250">
        <v>70</v>
      </c>
      <c r="E47" s="253" t="s">
        <v>0</v>
      </c>
      <c r="F47" s="252" t="s">
        <v>51</v>
      </c>
      <c r="G47" s="255">
        <v>1760</v>
      </c>
      <c r="H47" s="110">
        <v>400</v>
      </c>
      <c r="I47">
        <v>100</v>
      </c>
      <c r="J47">
        <v>13.049340000000001</v>
      </c>
      <c r="K47">
        <v>0.91345380000000009</v>
      </c>
      <c r="L47">
        <v>90</v>
      </c>
      <c r="M47">
        <v>-30</v>
      </c>
      <c r="N47">
        <v>13.245080099999999</v>
      </c>
      <c r="O47">
        <v>0.92715560699999988</v>
      </c>
      <c r="P47" s="139">
        <v>45717</v>
      </c>
      <c r="Q47" s="113"/>
    </row>
    <row r="48" spans="2:17" customFormat="1">
      <c r="B48" s="256">
        <v>104</v>
      </c>
      <c r="C48" s="6">
        <v>1870</v>
      </c>
      <c r="D48" s="250">
        <v>70</v>
      </c>
      <c r="E48" s="254" t="s">
        <v>47</v>
      </c>
      <c r="F48" s="6" t="s">
        <v>51</v>
      </c>
      <c r="G48" s="7">
        <v>2480</v>
      </c>
      <c r="H48">
        <v>300</v>
      </c>
      <c r="I48">
        <v>20</v>
      </c>
      <c r="J48">
        <v>16.767923199999998</v>
      </c>
      <c r="K48">
        <v>1.1737546240000001</v>
      </c>
      <c r="L48">
        <v>120</v>
      </c>
      <c r="M48">
        <v>15</v>
      </c>
      <c r="N48">
        <v>16.643561113624507</v>
      </c>
      <c r="O48">
        <v>1.1650492779537154</v>
      </c>
      <c r="P48" s="139">
        <v>46174</v>
      </c>
      <c r="Q48" s="113"/>
    </row>
    <row r="49" spans="2:17" customFormat="1">
      <c r="B49" s="256">
        <v>104</v>
      </c>
      <c r="C49" s="6">
        <v>1870</v>
      </c>
      <c r="D49" s="250">
        <v>70</v>
      </c>
      <c r="E49" s="254" t="s">
        <v>47</v>
      </c>
      <c r="F49" s="6" t="s">
        <v>51</v>
      </c>
      <c r="G49" s="7">
        <v>2560</v>
      </c>
      <c r="H49">
        <v>300</v>
      </c>
      <c r="I49">
        <v>10</v>
      </c>
      <c r="J49">
        <v>17.3012832</v>
      </c>
      <c r="K49">
        <v>1.2110898240000001</v>
      </c>
      <c r="L49">
        <v>120</v>
      </c>
      <c r="M49">
        <v>15</v>
      </c>
      <c r="N49">
        <v>17.172965360631245</v>
      </c>
      <c r="O49">
        <v>1.2021075752441872</v>
      </c>
      <c r="P49" s="139">
        <v>46174</v>
      </c>
      <c r="Q49" s="113"/>
    </row>
    <row r="50" spans="2:17" customFormat="1">
      <c r="B50" s="256">
        <v>104</v>
      </c>
      <c r="C50" s="6">
        <v>1870</v>
      </c>
      <c r="D50" s="250">
        <v>70</v>
      </c>
      <c r="E50" s="254" t="s">
        <v>47</v>
      </c>
      <c r="F50" s="6" t="s">
        <v>51</v>
      </c>
      <c r="G50" s="7">
        <v>2430</v>
      </c>
      <c r="H50">
        <v>300</v>
      </c>
      <c r="I50">
        <v>30</v>
      </c>
      <c r="J50">
        <v>16.434573199999999</v>
      </c>
      <c r="K50">
        <v>1.150420124</v>
      </c>
      <c r="L50">
        <v>120</v>
      </c>
      <c r="M50">
        <v>15</v>
      </c>
      <c r="N50">
        <v>16.312683459245299</v>
      </c>
      <c r="O50">
        <v>1.141887842147171</v>
      </c>
      <c r="P50" s="139">
        <v>46174</v>
      </c>
      <c r="Q50" s="113"/>
    </row>
    <row r="51" spans="2:17" customFormat="1">
      <c r="B51" s="256">
        <v>104</v>
      </c>
      <c r="C51" s="6">
        <v>1870</v>
      </c>
      <c r="D51" s="250">
        <v>70</v>
      </c>
      <c r="E51" s="254" t="s">
        <v>47</v>
      </c>
      <c r="F51" s="6" t="s">
        <v>51</v>
      </c>
      <c r="G51" s="7">
        <v>2380</v>
      </c>
      <c r="H51">
        <v>300</v>
      </c>
      <c r="I51">
        <v>50</v>
      </c>
      <c r="J51">
        <v>16.1012232</v>
      </c>
      <c r="K51">
        <v>1.127085624</v>
      </c>
      <c r="L51">
        <v>120</v>
      </c>
      <c r="M51">
        <v>15</v>
      </c>
      <c r="N51">
        <v>15.98180580486609</v>
      </c>
      <c r="O51">
        <v>1.1187264063406261</v>
      </c>
      <c r="P51" s="139">
        <v>46174</v>
      </c>
      <c r="Q51" s="113"/>
    </row>
    <row r="52" spans="2:17" customFormat="1">
      <c r="B52" s="256">
        <v>104</v>
      </c>
      <c r="C52" s="6">
        <v>1870</v>
      </c>
      <c r="D52" s="250">
        <v>70</v>
      </c>
      <c r="E52" s="254" t="s">
        <v>240</v>
      </c>
      <c r="F52" s="252" t="s">
        <v>267</v>
      </c>
      <c r="G52" s="7">
        <v>12000</v>
      </c>
      <c r="H52" s="110">
        <v>3300</v>
      </c>
      <c r="I52" s="6" t="s">
        <v>472</v>
      </c>
      <c r="J52">
        <v>11.471579999999999</v>
      </c>
      <c r="K52">
        <v>0.80301059999999991</v>
      </c>
      <c r="L52">
        <v>90</v>
      </c>
      <c r="M52">
        <v>-30</v>
      </c>
      <c r="N52">
        <v>11.643653699999998</v>
      </c>
      <c r="O52">
        <v>0.81505575899999982</v>
      </c>
      <c r="P52" s="139">
        <v>46023</v>
      </c>
      <c r="Q52" s="113"/>
    </row>
    <row r="53" spans="2:17" customFormat="1">
      <c r="B53" s="256">
        <v>104</v>
      </c>
      <c r="C53" s="6">
        <v>1870</v>
      </c>
      <c r="D53" s="250">
        <v>80</v>
      </c>
      <c r="E53" s="27" t="s">
        <v>3</v>
      </c>
      <c r="F53" s="6" t="s">
        <v>267</v>
      </c>
      <c r="G53" s="7">
        <v>11700</v>
      </c>
      <c r="H53" s="143">
        <v>3300</v>
      </c>
      <c r="I53" s="6">
        <v>100</v>
      </c>
      <c r="J53">
        <v>11.215079999999999</v>
      </c>
      <c r="K53">
        <v>0.89720639999999996</v>
      </c>
      <c r="L53">
        <v>90</v>
      </c>
      <c r="M53">
        <v>-30</v>
      </c>
      <c r="N53">
        <v>11.383306199999998</v>
      </c>
      <c r="O53">
        <v>0.91066449599999988</v>
      </c>
      <c r="P53" s="139">
        <v>45962</v>
      </c>
      <c r="Q53" s="113"/>
    </row>
    <row r="54" spans="2:17" customFormat="1">
      <c r="B54" s="256">
        <v>104</v>
      </c>
      <c r="C54" s="6">
        <v>1870</v>
      </c>
      <c r="D54" s="250">
        <v>80</v>
      </c>
      <c r="E54" s="254" t="s">
        <v>2</v>
      </c>
      <c r="F54" s="252" t="s">
        <v>51</v>
      </c>
      <c r="G54" s="7">
        <v>2190</v>
      </c>
      <c r="H54" t="s">
        <v>472</v>
      </c>
      <c r="I54">
        <v>600</v>
      </c>
      <c r="J54">
        <v>14.657493200000003</v>
      </c>
      <c r="K54">
        <v>1.1725994560000004</v>
      </c>
      <c r="L54">
        <v>120</v>
      </c>
      <c r="M54">
        <v>15</v>
      </c>
      <c r="N54">
        <v>14.548783468112243</v>
      </c>
      <c r="O54">
        <v>1.1639026774489794</v>
      </c>
      <c r="P54" s="139">
        <v>46174</v>
      </c>
      <c r="Q54" s="113"/>
    </row>
    <row r="55" spans="2:17" customFormat="1">
      <c r="B55" s="256">
        <v>104</v>
      </c>
      <c r="C55" s="6">
        <v>1870</v>
      </c>
      <c r="D55" s="250">
        <v>80</v>
      </c>
      <c r="E55" s="254" t="s">
        <v>2</v>
      </c>
      <c r="F55" s="252" t="s">
        <v>51</v>
      </c>
      <c r="G55" s="255">
        <v>2200</v>
      </c>
      <c r="H55" s="7" t="s">
        <v>472</v>
      </c>
      <c r="I55">
        <v>500</v>
      </c>
      <c r="J55">
        <v>14.724163200000003</v>
      </c>
      <c r="K55">
        <v>1.1779330560000003</v>
      </c>
      <c r="L55">
        <v>120</v>
      </c>
      <c r="M55">
        <v>15</v>
      </c>
      <c r="N55">
        <v>14.614958998988085</v>
      </c>
      <c r="O55">
        <v>1.1691967199190467</v>
      </c>
      <c r="P55" s="139">
        <v>46174</v>
      </c>
      <c r="Q55" s="113"/>
    </row>
    <row r="56" spans="2:17" customFormat="1">
      <c r="B56" s="256">
        <v>104</v>
      </c>
      <c r="C56" s="6">
        <v>1870</v>
      </c>
      <c r="D56" s="250">
        <v>80</v>
      </c>
      <c r="E56" s="254" t="s">
        <v>2</v>
      </c>
      <c r="F56" s="252" t="s">
        <v>51</v>
      </c>
      <c r="G56" s="255">
        <v>2210</v>
      </c>
      <c r="H56" t="s">
        <v>472</v>
      </c>
      <c r="I56">
        <v>200</v>
      </c>
      <c r="J56">
        <v>14.7908332</v>
      </c>
      <c r="K56">
        <v>1.1832666559999998</v>
      </c>
      <c r="L56">
        <v>120</v>
      </c>
      <c r="M56">
        <v>15</v>
      </c>
      <c r="N56">
        <v>14.681134529863922</v>
      </c>
      <c r="O56">
        <v>1.1744907623891137</v>
      </c>
      <c r="P56" s="139">
        <v>46174</v>
      </c>
      <c r="Q56" s="113"/>
    </row>
    <row r="57" spans="2:17" customFormat="1">
      <c r="B57" s="256">
        <v>104</v>
      </c>
      <c r="C57" s="6">
        <v>1870</v>
      </c>
      <c r="D57" s="250">
        <v>80</v>
      </c>
      <c r="E57" s="254" t="s">
        <v>2</v>
      </c>
      <c r="F57" s="252" t="s">
        <v>51</v>
      </c>
      <c r="G57" s="7">
        <v>2230</v>
      </c>
      <c r="H57" t="s">
        <v>472</v>
      </c>
      <c r="I57">
        <v>150</v>
      </c>
      <c r="J57">
        <v>14.9241732</v>
      </c>
      <c r="K57">
        <v>1.1939338559999999</v>
      </c>
      <c r="L57">
        <v>120</v>
      </c>
      <c r="M57">
        <v>15</v>
      </c>
      <c r="N57">
        <v>14.813485591615606</v>
      </c>
      <c r="O57">
        <v>1.1850788473292486</v>
      </c>
      <c r="P57" s="139">
        <v>46174</v>
      </c>
      <c r="Q57" s="113"/>
    </row>
    <row r="58" spans="2:17" customFormat="1">
      <c r="B58" s="256">
        <v>104</v>
      </c>
      <c r="C58" s="6">
        <v>1870</v>
      </c>
      <c r="D58" s="250">
        <v>80</v>
      </c>
      <c r="E58" s="254" t="s">
        <v>2</v>
      </c>
      <c r="F58" s="252" t="s">
        <v>51</v>
      </c>
      <c r="G58" s="7">
        <v>2250</v>
      </c>
      <c r="H58" t="s">
        <v>472</v>
      </c>
      <c r="I58">
        <v>100</v>
      </c>
      <c r="J58">
        <v>15.057513200000001</v>
      </c>
      <c r="K58">
        <v>1.204601056</v>
      </c>
      <c r="L58">
        <v>120</v>
      </c>
      <c r="M58">
        <v>15</v>
      </c>
      <c r="N58">
        <v>14.945836653367291</v>
      </c>
      <c r="O58">
        <v>1.1956669322693834</v>
      </c>
      <c r="P58" s="139">
        <v>46174</v>
      </c>
      <c r="Q58" s="113"/>
    </row>
    <row r="59" spans="2:17" customFormat="1">
      <c r="B59" s="256">
        <v>104</v>
      </c>
      <c r="C59" s="6">
        <v>1870</v>
      </c>
      <c r="D59" s="250">
        <v>80</v>
      </c>
      <c r="E59" s="254" t="s">
        <v>2</v>
      </c>
      <c r="F59" s="252" t="s">
        <v>51</v>
      </c>
      <c r="G59" s="7">
        <v>2300</v>
      </c>
      <c r="H59" t="s">
        <v>472</v>
      </c>
      <c r="I59">
        <v>50</v>
      </c>
      <c r="J59">
        <v>15.3908632</v>
      </c>
      <c r="K59">
        <v>1.2312690559999999</v>
      </c>
      <c r="L59">
        <v>120</v>
      </c>
      <c r="M59">
        <v>15</v>
      </c>
      <c r="N59">
        <v>15.2767143077465</v>
      </c>
      <c r="O59">
        <v>1.22213714461972</v>
      </c>
      <c r="P59" s="139">
        <v>46174</v>
      </c>
      <c r="Q59" s="113"/>
    </row>
    <row r="60" spans="2:17" customFormat="1">
      <c r="B60" s="256">
        <v>104</v>
      </c>
      <c r="C60" s="6">
        <v>1870</v>
      </c>
      <c r="D60" s="250">
        <v>80</v>
      </c>
      <c r="E60" s="254" t="s">
        <v>2</v>
      </c>
      <c r="F60" s="252" t="s">
        <v>51</v>
      </c>
      <c r="G60" s="7">
        <v>2350</v>
      </c>
      <c r="H60" t="s">
        <v>472</v>
      </c>
      <c r="I60">
        <v>30</v>
      </c>
      <c r="J60">
        <v>15.724213200000003</v>
      </c>
      <c r="K60">
        <v>1.2579370560000003</v>
      </c>
      <c r="L60">
        <v>120</v>
      </c>
      <c r="M60">
        <v>15</v>
      </c>
      <c r="N60">
        <v>15.607591962125712</v>
      </c>
      <c r="O60">
        <v>1.2486073569700569</v>
      </c>
      <c r="P60" s="139">
        <v>46174</v>
      </c>
      <c r="Q60" s="113"/>
    </row>
    <row r="61" spans="2:17" customFormat="1">
      <c r="B61" s="256">
        <v>104</v>
      </c>
      <c r="C61" s="6">
        <v>1870</v>
      </c>
      <c r="D61" s="250">
        <v>80</v>
      </c>
      <c r="E61" s="254" t="s">
        <v>2</v>
      </c>
      <c r="F61" s="252" t="s">
        <v>51</v>
      </c>
      <c r="G61" s="7">
        <v>2270</v>
      </c>
      <c r="H61" t="s">
        <v>472</v>
      </c>
      <c r="I61">
        <v>70</v>
      </c>
      <c r="J61">
        <v>15.190853200000001</v>
      </c>
      <c r="K61">
        <v>1.2152682560000001</v>
      </c>
      <c r="L61">
        <v>120</v>
      </c>
      <c r="M61">
        <v>15</v>
      </c>
      <c r="N61">
        <v>15.078187715118975</v>
      </c>
      <c r="O61">
        <v>1.2062550172095181</v>
      </c>
      <c r="P61" s="139">
        <v>46174</v>
      </c>
      <c r="Q61" s="113"/>
    </row>
    <row r="62" spans="2:17" customFormat="1">
      <c r="B62" s="256">
        <v>104</v>
      </c>
      <c r="C62" s="6">
        <v>1870</v>
      </c>
      <c r="D62" s="250">
        <v>80</v>
      </c>
      <c r="E62" s="253" t="s">
        <v>108</v>
      </c>
      <c r="F62" s="6" t="s">
        <v>51</v>
      </c>
      <c r="G62" s="7">
        <v>1650</v>
      </c>
      <c r="H62">
        <v>500</v>
      </c>
      <c r="I62">
        <v>80</v>
      </c>
      <c r="J62">
        <v>11.234313199999999</v>
      </c>
      <c r="K62">
        <v>0.89874505599999988</v>
      </c>
      <c r="L62">
        <v>30</v>
      </c>
      <c r="M62">
        <v>-75</v>
      </c>
      <c r="N62">
        <v>11.66035124745401</v>
      </c>
      <c r="O62">
        <v>0.93282809979632075</v>
      </c>
      <c r="P62" s="139">
        <v>46174</v>
      </c>
      <c r="Q62" s="113"/>
    </row>
    <row r="63" spans="2:17" customFormat="1">
      <c r="B63" s="256">
        <v>104</v>
      </c>
      <c r="C63" s="6">
        <v>1870</v>
      </c>
      <c r="D63" s="250">
        <v>80</v>
      </c>
      <c r="E63" s="253" t="s">
        <v>108</v>
      </c>
      <c r="F63" s="6" t="s">
        <v>51</v>
      </c>
      <c r="G63" s="7">
        <v>1720</v>
      </c>
      <c r="H63">
        <v>500</v>
      </c>
      <c r="I63">
        <v>20</v>
      </c>
      <c r="J63">
        <v>11.701003200000001</v>
      </c>
      <c r="K63">
        <v>0.93608025600000011</v>
      </c>
      <c r="L63">
        <v>30</v>
      </c>
      <c r="M63">
        <v>-75</v>
      </c>
      <c r="N63">
        <v>12.1447394985911</v>
      </c>
      <c r="O63">
        <v>0.97157915988728805</v>
      </c>
      <c r="P63" s="139">
        <v>46174</v>
      </c>
      <c r="Q63" s="113"/>
    </row>
    <row r="64" spans="2:17" customFormat="1">
      <c r="B64" s="256">
        <v>104</v>
      </c>
      <c r="C64" s="6">
        <v>1870</v>
      </c>
      <c r="D64" s="250">
        <v>80</v>
      </c>
      <c r="E64" s="253" t="s">
        <v>108</v>
      </c>
      <c r="F64" s="6" t="s">
        <v>51</v>
      </c>
      <c r="G64" s="7">
        <v>1660</v>
      </c>
      <c r="H64">
        <v>500</v>
      </c>
      <c r="I64" s="6">
        <v>200</v>
      </c>
      <c r="J64">
        <v>11.300983200000001</v>
      </c>
      <c r="K64">
        <v>0.90407865600000015</v>
      </c>
      <c r="L64">
        <v>30</v>
      </c>
      <c r="M64">
        <v>-75</v>
      </c>
      <c r="N64">
        <v>11.729549569045025</v>
      </c>
      <c r="O64">
        <v>0.93836396552360202</v>
      </c>
      <c r="P64" s="139">
        <v>45992</v>
      </c>
      <c r="Q64" s="113"/>
    </row>
    <row r="65" spans="2:17" customFormat="1">
      <c r="B65" s="256">
        <v>104</v>
      </c>
      <c r="C65" s="6">
        <v>1870</v>
      </c>
      <c r="D65" s="250">
        <v>80</v>
      </c>
      <c r="E65" s="253" t="s">
        <v>108</v>
      </c>
      <c r="F65" s="6" t="s">
        <v>51</v>
      </c>
      <c r="G65" s="7">
        <v>1670</v>
      </c>
      <c r="H65">
        <v>500</v>
      </c>
      <c r="I65">
        <v>50</v>
      </c>
      <c r="J65">
        <v>11.367653199999999</v>
      </c>
      <c r="K65">
        <v>0.90941225599999997</v>
      </c>
      <c r="L65">
        <v>30</v>
      </c>
      <c r="M65">
        <v>-75</v>
      </c>
      <c r="N65">
        <v>11.798747890636035</v>
      </c>
      <c r="O65">
        <v>0.94389983125088284</v>
      </c>
      <c r="P65" s="139">
        <v>46174</v>
      </c>
      <c r="Q65" s="113"/>
    </row>
    <row r="66" spans="2:17" customFormat="1">
      <c r="B66" s="256">
        <v>104</v>
      </c>
      <c r="C66" s="6">
        <v>1870</v>
      </c>
      <c r="D66" s="250">
        <v>80</v>
      </c>
      <c r="E66" s="254" t="s">
        <v>240</v>
      </c>
      <c r="F66" s="252" t="s">
        <v>267</v>
      </c>
      <c r="G66" s="7">
        <v>12000</v>
      </c>
      <c r="H66" s="110">
        <v>3300</v>
      </c>
      <c r="I66" s="6" t="s">
        <v>472</v>
      </c>
      <c r="J66">
        <v>11.471579999999999</v>
      </c>
      <c r="K66">
        <v>0.91772639999999983</v>
      </c>
      <c r="L66">
        <v>90</v>
      </c>
      <c r="M66">
        <v>-30</v>
      </c>
      <c r="N66">
        <v>11.643653699999998</v>
      </c>
      <c r="O66">
        <v>0.93149229599999983</v>
      </c>
      <c r="P66" s="139">
        <v>46023</v>
      </c>
      <c r="Q66" s="113"/>
    </row>
    <row r="67" spans="2:17" customFormat="1">
      <c r="B67" s="256">
        <v>104</v>
      </c>
      <c r="C67" s="6">
        <v>2120</v>
      </c>
      <c r="D67" s="250">
        <v>70</v>
      </c>
      <c r="E67" s="253" t="s">
        <v>1</v>
      </c>
      <c r="F67" s="252" t="s">
        <v>46</v>
      </c>
      <c r="G67" s="7">
        <v>14425</v>
      </c>
      <c r="H67" t="s">
        <v>472</v>
      </c>
      <c r="I67">
        <v>70</v>
      </c>
      <c r="J67">
        <v>14.625</v>
      </c>
      <c r="K67">
        <v>1.0237500000000002</v>
      </c>
      <c r="L67">
        <v>0</v>
      </c>
      <c r="M67">
        <v>-45</v>
      </c>
      <c r="N67">
        <v>14.955293416637947</v>
      </c>
      <c r="O67">
        <v>1.0468705391646562</v>
      </c>
      <c r="P67" s="139">
        <v>46174</v>
      </c>
      <c r="Q67" s="113"/>
    </row>
    <row r="68" spans="2:17" customFormat="1">
      <c r="B68" s="256">
        <v>104</v>
      </c>
      <c r="C68" s="6">
        <v>2160</v>
      </c>
      <c r="D68" s="250">
        <v>70</v>
      </c>
      <c r="E68" s="253" t="s">
        <v>0</v>
      </c>
      <c r="F68" s="252" t="s">
        <v>267</v>
      </c>
      <c r="G68" s="7">
        <v>11650</v>
      </c>
      <c r="H68" s="110">
        <v>3300</v>
      </c>
      <c r="I68" s="6">
        <v>100</v>
      </c>
      <c r="J68">
        <v>11.172330000000001</v>
      </c>
      <c r="K68">
        <v>0.78206310000000012</v>
      </c>
      <c r="L68">
        <v>90</v>
      </c>
      <c r="M68">
        <v>-30</v>
      </c>
      <c r="N68">
        <v>11.339914949999999</v>
      </c>
      <c r="O68">
        <v>0.79379404649999985</v>
      </c>
      <c r="P68" s="139">
        <v>46023</v>
      </c>
      <c r="Q68" s="113"/>
    </row>
    <row r="69" spans="2:17" customFormat="1">
      <c r="B69" s="256">
        <v>104</v>
      </c>
      <c r="C69" s="6">
        <v>2160</v>
      </c>
      <c r="D69" s="250">
        <v>70</v>
      </c>
      <c r="E69" s="253" t="s">
        <v>0</v>
      </c>
      <c r="F69" s="252" t="s">
        <v>51</v>
      </c>
      <c r="G69" s="255">
        <v>1760</v>
      </c>
      <c r="H69" s="110">
        <v>400</v>
      </c>
      <c r="I69">
        <v>100</v>
      </c>
      <c r="J69">
        <v>13.049340000000001</v>
      </c>
      <c r="K69">
        <v>0.91345380000000009</v>
      </c>
      <c r="L69">
        <v>90</v>
      </c>
      <c r="M69">
        <v>-30</v>
      </c>
      <c r="N69">
        <v>13.245080099999999</v>
      </c>
      <c r="O69">
        <v>0.92715560699999988</v>
      </c>
      <c r="P69" s="139">
        <v>45717</v>
      </c>
      <c r="Q69" s="113"/>
    </row>
    <row r="70" spans="2:17" customFormat="1">
      <c r="B70" s="256">
        <v>104</v>
      </c>
      <c r="C70" s="6">
        <v>2175</v>
      </c>
      <c r="D70" s="250">
        <v>70</v>
      </c>
      <c r="E70" s="253" t="s">
        <v>108</v>
      </c>
      <c r="F70" s="6" t="s">
        <v>51</v>
      </c>
      <c r="G70" s="7">
        <v>2690</v>
      </c>
      <c r="H70">
        <v>500</v>
      </c>
      <c r="I70">
        <v>80</v>
      </c>
      <c r="J70">
        <v>18.167993200000002</v>
      </c>
      <c r="K70">
        <v>1.2717595240000001</v>
      </c>
      <c r="L70">
        <v>30</v>
      </c>
      <c r="M70">
        <v>-75</v>
      </c>
      <c r="N70">
        <v>18.856976692919332</v>
      </c>
      <c r="O70">
        <v>1.3199883685043532</v>
      </c>
      <c r="P70" s="139">
        <v>46174</v>
      </c>
      <c r="Q70" s="113"/>
    </row>
    <row r="71" spans="2:17" customFormat="1">
      <c r="B71" s="256">
        <v>104</v>
      </c>
      <c r="C71" s="6">
        <v>2175</v>
      </c>
      <c r="D71" s="250">
        <v>70</v>
      </c>
      <c r="E71" s="253" t="s">
        <v>108</v>
      </c>
      <c r="F71" s="6" t="s">
        <v>51</v>
      </c>
      <c r="G71" s="7">
        <v>2760</v>
      </c>
      <c r="H71">
        <v>500</v>
      </c>
      <c r="I71">
        <v>20</v>
      </c>
      <c r="J71">
        <v>18.634683199999998</v>
      </c>
      <c r="K71">
        <v>1.3044278239999998</v>
      </c>
      <c r="L71">
        <v>30</v>
      </c>
      <c r="M71">
        <v>-75</v>
      </c>
      <c r="N71">
        <v>19.341364944056416</v>
      </c>
      <c r="O71">
        <v>1.3538955460839492</v>
      </c>
      <c r="P71" s="139">
        <v>46174</v>
      </c>
      <c r="Q71" s="113"/>
    </row>
    <row r="72" spans="2:17" customFormat="1">
      <c r="B72" s="256">
        <v>104</v>
      </c>
      <c r="C72" s="6">
        <v>2175</v>
      </c>
      <c r="D72" s="250">
        <v>70</v>
      </c>
      <c r="E72" s="253" t="s">
        <v>108</v>
      </c>
      <c r="F72" s="6" t="s">
        <v>51</v>
      </c>
      <c r="G72" s="7">
        <v>2710</v>
      </c>
      <c r="H72">
        <v>500</v>
      </c>
      <c r="I72">
        <v>50</v>
      </c>
      <c r="J72">
        <v>18.301333199999998</v>
      </c>
      <c r="K72">
        <v>1.281093324</v>
      </c>
      <c r="L72">
        <v>30</v>
      </c>
      <c r="M72">
        <v>-75</v>
      </c>
      <c r="N72">
        <v>18.995373336101355</v>
      </c>
      <c r="O72">
        <v>1.3296761335270948</v>
      </c>
      <c r="P72" s="139">
        <v>46174</v>
      </c>
      <c r="Q72" s="113"/>
    </row>
    <row r="73" spans="2:17" customFormat="1">
      <c r="B73" s="256">
        <v>104</v>
      </c>
      <c r="C73" s="6">
        <v>2175</v>
      </c>
      <c r="D73" s="250">
        <v>70</v>
      </c>
      <c r="E73" s="253" t="s">
        <v>1</v>
      </c>
      <c r="F73" s="252" t="s">
        <v>46</v>
      </c>
      <c r="G73" s="7">
        <v>14425</v>
      </c>
      <c r="H73" t="s">
        <v>472</v>
      </c>
      <c r="I73">
        <v>70</v>
      </c>
      <c r="J73">
        <v>14.625</v>
      </c>
      <c r="K73">
        <v>1.0237500000000002</v>
      </c>
      <c r="L73">
        <v>0</v>
      </c>
      <c r="M73">
        <v>-45</v>
      </c>
      <c r="N73">
        <v>14.955293416637947</v>
      </c>
      <c r="O73">
        <v>1.0468705391646562</v>
      </c>
      <c r="P73" s="139">
        <v>46174</v>
      </c>
      <c r="Q73" s="113"/>
    </row>
    <row r="74" spans="2:17" customFormat="1">
      <c r="B74" s="256">
        <v>104</v>
      </c>
      <c r="C74" s="6">
        <v>2175</v>
      </c>
      <c r="D74" s="250">
        <v>70</v>
      </c>
      <c r="E74" s="253" t="s">
        <v>0</v>
      </c>
      <c r="F74" s="252" t="s">
        <v>267</v>
      </c>
      <c r="G74" s="7">
        <v>11650</v>
      </c>
      <c r="H74" s="110">
        <v>3300</v>
      </c>
      <c r="I74" s="6">
        <v>100</v>
      </c>
      <c r="J74">
        <v>11.172330000000001</v>
      </c>
      <c r="K74">
        <v>0.78206310000000012</v>
      </c>
      <c r="L74">
        <v>90</v>
      </c>
      <c r="M74">
        <v>-30</v>
      </c>
      <c r="N74">
        <v>11.339914949999999</v>
      </c>
      <c r="O74">
        <v>0.79379404649999985</v>
      </c>
      <c r="P74" s="139">
        <v>46023</v>
      </c>
      <c r="Q74" s="113"/>
    </row>
    <row r="75" spans="2:17" customFormat="1">
      <c r="B75" s="256">
        <v>104</v>
      </c>
      <c r="C75" s="6">
        <v>2175</v>
      </c>
      <c r="D75" s="250">
        <v>70</v>
      </c>
      <c r="E75" s="253" t="s">
        <v>0</v>
      </c>
      <c r="F75" s="252" t="s">
        <v>51</v>
      </c>
      <c r="G75" s="255">
        <v>1760</v>
      </c>
      <c r="H75" s="110">
        <v>400</v>
      </c>
      <c r="I75">
        <v>100</v>
      </c>
      <c r="J75">
        <v>13.049340000000001</v>
      </c>
      <c r="K75">
        <v>0.91345380000000009</v>
      </c>
      <c r="L75">
        <v>90</v>
      </c>
      <c r="M75">
        <v>-30</v>
      </c>
      <c r="N75">
        <v>13.245080099999999</v>
      </c>
      <c r="O75">
        <v>0.92715560699999988</v>
      </c>
      <c r="P75" s="139">
        <v>45717</v>
      </c>
      <c r="Q75" s="113"/>
    </row>
    <row r="76" spans="2:17" customFormat="1">
      <c r="B76" s="256">
        <v>104</v>
      </c>
      <c r="C76" s="6">
        <v>2175</v>
      </c>
      <c r="D76" s="250">
        <v>70</v>
      </c>
      <c r="E76" s="254" t="s">
        <v>47</v>
      </c>
      <c r="F76" s="6" t="s">
        <v>51</v>
      </c>
      <c r="G76" s="7">
        <v>2480</v>
      </c>
      <c r="H76">
        <v>300</v>
      </c>
      <c r="I76">
        <v>20</v>
      </c>
      <c r="J76">
        <v>16.767923199999998</v>
      </c>
      <c r="K76">
        <v>1.1737546240000001</v>
      </c>
      <c r="L76">
        <v>120</v>
      </c>
      <c r="M76">
        <v>15</v>
      </c>
      <c r="N76">
        <v>16.643561113624507</v>
      </c>
      <c r="O76">
        <v>1.1650492779537154</v>
      </c>
      <c r="P76" s="139">
        <v>46174</v>
      </c>
      <c r="Q76" s="113"/>
    </row>
    <row r="77" spans="2:17" customFormat="1">
      <c r="B77" s="256">
        <v>104</v>
      </c>
      <c r="C77" s="6">
        <v>2175</v>
      </c>
      <c r="D77" s="250">
        <v>70</v>
      </c>
      <c r="E77" s="254" t="s">
        <v>47</v>
      </c>
      <c r="F77" s="6" t="s">
        <v>51</v>
      </c>
      <c r="G77" s="7">
        <v>2560</v>
      </c>
      <c r="H77">
        <v>300</v>
      </c>
      <c r="I77">
        <v>10</v>
      </c>
      <c r="J77">
        <v>17.3012832</v>
      </c>
      <c r="K77">
        <v>1.2110898240000001</v>
      </c>
      <c r="L77">
        <v>120</v>
      </c>
      <c r="M77">
        <v>15</v>
      </c>
      <c r="N77">
        <v>17.172965360631245</v>
      </c>
      <c r="O77">
        <v>1.2021075752441872</v>
      </c>
      <c r="P77" s="139">
        <v>46174</v>
      </c>
      <c r="Q77" s="113"/>
    </row>
    <row r="78" spans="2:17" customFormat="1">
      <c r="B78" s="256">
        <v>104</v>
      </c>
      <c r="C78" s="6">
        <v>2175</v>
      </c>
      <c r="D78" s="250">
        <v>70</v>
      </c>
      <c r="E78" s="254" t="s">
        <v>47</v>
      </c>
      <c r="F78" s="6" t="s">
        <v>51</v>
      </c>
      <c r="G78" s="7">
        <v>2430</v>
      </c>
      <c r="H78">
        <v>300</v>
      </c>
      <c r="I78">
        <v>30</v>
      </c>
      <c r="J78">
        <v>16.434573199999999</v>
      </c>
      <c r="K78">
        <v>1.150420124</v>
      </c>
      <c r="L78">
        <v>120</v>
      </c>
      <c r="M78">
        <v>15</v>
      </c>
      <c r="N78">
        <v>16.312683459245299</v>
      </c>
      <c r="O78">
        <v>1.141887842147171</v>
      </c>
      <c r="P78" s="139">
        <v>46174</v>
      </c>
      <c r="Q78" s="113"/>
    </row>
    <row r="79" spans="2:17" customFormat="1">
      <c r="B79" s="256">
        <v>104</v>
      </c>
      <c r="C79" s="6">
        <v>2175</v>
      </c>
      <c r="D79" s="250">
        <v>70</v>
      </c>
      <c r="E79" s="254" t="s">
        <v>47</v>
      </c>
      <c r="F79" s="6" t="s">
        <v>51</v>
      </c>
      <c r="G79" s="7">
        <v>2380</v>
      </c>
      <c r="H79">
        <v>300</v>
      </c>
      <c r="I79">
        <v>50</v>
      </c>
      <c r="J79">
        <v>16.1012232</v>
      </c>
      <c r="K79">
        <v>1.127085624</v>
      </c>
      <c r="L79">
        <v>120</v>
      </c>
      <c r="M79">
        <v>15</v>
      </c>
      <c r="N79">
        <v>15.98180580486609</v>
      </c>
      <c r="O79">
        <v>1.1187264063406261</v>
      </c>
      <c r="P79" s="139">
        <v>46174</v>
      </c>
      <c r="Q79" s="113"/>
    </row>
    <row r="80" spans="2:17" customFormat="1">
      <c r="B80" s="256">
        <v>104</v>
      </c>
      <c r="C80" s="6">
        <v>2175</v>
      </c>
      <c r="D80" s="250">
        <v>80</v>
      </c>
      <c r="E80" s="253" t="s">
        <v>0</v>
      </c>
      <c r="F80" s="252" t="s">
        <v>267</v>
      </c>
      <c r="G80" s="7">
        <v>11650</v>
      </c>
      <c r="H80" s="110">
        <v>3300</v>
      </c>
      <c r="I80" s="6">
        <v>100</v>
      </c>
      <c r="J80">
        <v>11.172330000000001</v>
      </c>
      <c r="K80">
        <v>0.89378640000000009</v>
      </c>
      <c r="L80">
        <v>90</v>
      </c>
      <c r="M80">
        <v>-30</v>
      </c>
      <c r="N80">
        <v>11.339914949999999</v>
      </c>
      <c r="O80">
        <v>0.90719319599999992</v>
      </c>
      <c r="P80" s="139">
        <v>46023</v>
      </c>
      <c r="Q80" s="113"/>
    </row>
    <row r="81" spans="2:17" customFormat="1">
      <c r="B81" s="256">
        <v>104</v>
      </c>
      <c r="C81" s="6">
        <v>2175</v>
      </c>
      <c r="D81" s="250">
        <v>80</v>
      </c>
      <c r="E81" s="253" t="s">
        <v>0</v>
      </c>
      <c r="F81" s="252" t="s">
        <v>51</v>
      </c>
      <c r="G81" s="255">
        <v>1730</v>
      </c>
      <c r="H81" s="110">
        <v>400</v>
      </c>
      <c r="I81">
        <v>100</v>
      </c>
      <c r="J81">
        <v>12.84756</v>
      </c>
      <c r="K81">
        <v>1.0278048</v>
      </c>
      <c r="L81">
        <v>90</v>
      </c>
      <c r="M81">
        <v>-30</v>
      </c>
      <c r="N81">
        <v>13.040273399999998</v>
      </c>
      <c r="O81">
        <v>1.0432218719999999</v>
      </c>
      <c r="P81" s="139">
        <v>45717</v>
      </c>
      <c r="Q81" s="113"/>
    </row>
    <row r="82" spans="2:17" customFormat="1">
      <c r="B82" s="256">
        <v>104</v>
      </c>
      <c r="C82" s="6" t="s">
        <v>472</v>
      </c>
      <c r="Q82" s="113"/>
    </row>
    <row r="83" spans="2:17" customFormat="1">
      <c r="B83" s="256">
        <v>104</v>
      </c>
      <c r="C83" s="6">
        <v>1550</v>
      </c>
      <c r="D83" s="250">
        <v>80</v>
      </c>
      <c r="E83" s="253" t="s">
        <v>108</v>
      </c>
      <c r="F83" s="6" t="s">
        <v>51</v>
      </c>
      <c r="G83" s="7">
        <v>1850</v>
      </c>
      <c r="H83" s="110">
        <v>500</v>
      </c>
      <c r="I83" s="6">
        <v>80</v>
      </c>
      <c r="J83">
        <v>12.567713200000002</v>
      </c>
      <c r="K83">
        <v>1.0054170560000002</v>
      </c>
      <c r="L83">
        <v>30</v>
      </c>
      <c r="M83">
        <v>-75</v>
      </c>
      <c r="N83">
        <v>13.044317679274267</v>
      </c>
      <c r="O83">
        <v>1.0435454143419414</v>
      </c>
      <c r="P83" s="139">
        <v>45992</v>
      </c>
      <c r="Q83" s="113"/>
    </row>
    <row r="84" spans="2:17" customFormat="1">
      <c r="B84" s="256">
        <v>128</v>
      </c>
      <c r="C84" s="6">
        <v>1860</v>
      </c>
      <c r="D84" s="250">
        <v>65</v>
      </c>
      <c r="E84" s="254" t="s">
        <v>3</v>
      </c>
      <c r="F84" s="6" t="s">
        <v>267</v>
      </c>
      <c r="G84" s="255">
        <v>12100</v>
      </c>
      <c r="H84" s="251">
        <v>3300</v>
      </c>
      <c r="I84" s="252">
        <v>100</v>
      </c>
      <c r="J84">
        <v>11.557079999999999</v>
      </c>
      <c r="K84">
        <v>0.75121019999999994</v>
      </c>
      <c r="L84">
        <v>90</v>
      </c>
      <c r="M84">
        <v>-30</v>
      </c>
      <c r="N84">
        <v>11.730436199999998</v>
      </c>
      <c r="O84">
        <v>0.76247835299999989</v>
      </c>
      <c r="P84" s="139">
        <v>45809</v>
      </c>
      <c r="Q84" s="113"/>
    </row>
    <row r="85" spans="2:17" customFormat="1">
      <c r="B85" s="256">
        <v>128</v>
      </c>
      <c r="C85" s="6">
        <v>1870</v>
      </c>
      <c r="D85" s="250">
        <v>65</v>
      </c>
      <c r="E85" s="254" t="s">
        <v>3</v>
      </c>
      <c r="F85" s="6" t="s">
        <v>267</v>
      </c>
      <c r="G85" s="255">
        <v>12100</v>
      </c>
      <c r="H85" s="257">
        <v>3300</v>
      </c>
      <c r="I85" s="252">
        <v>100</v>
      </c>
      <c r="J85">
        <v>11.557079999999999</v>
      </c>
      <c r="K85">
        <v>0.75121019999999994</v>
      </c>
      <c r="L85">
        <v>90</v>
      </c>
      <c r="M85">
        <v>-30</v>
      </c>
      <c r="N85">
        <v>11.730436199999998</v>
      </c>
      <c r="O85">
        <v>0.76247835299999989</v>
      </c>
      <c r="P85" s="139">
        <v>45809</v>
      </c>
      <c r="Q85" s="113"/>
    </row>
    <row r="86" spans="2:17" customFormat="1">
      <c r="B86" s="256">
        <v>128</v>
      </c>
      <c r="C86" s="6">
        <v>1870</v>
      </c>
      <c r="D86" s="250">
        <v>65</v>
      </c>
      <c r="E86" s="254" t="s">
        <v>3</v>
      </c>
      <c r="F86" s="252" t="s">
        <v>51</v>
      </c>
      <c r="G86" s="255">
        <v>1600</v>
      </c>
      <c r="H86" s="110">
        <v>400</v>
      </c>
      <c r="I86">
        <v>100</v>
      </c>
      <c r="J86">
        <v>11.973180000000001</v>
      </c>
      <c r="K86">
        <v>0.77825670000000013</v>
      </c>
      <c r="L86">
        <v>90</v>
      </c>
      <c r="M86">
        <v>-30</v>
      </c>
      <c r="N86">
        <v>12.1527777</v>
      </c>
      <c r="O86">
        <v>0.78993055049999994</v>
      </c>
      <c r="P86" s="139">
        <v>45444</v>
      </c>
      <c r="Q86" s="113"/>
    </row>
    <row r="87" spans="2:17" customFormat="1">
      <c r="B87" s="256">
        <v>128</v>
      </c>
      <c r="C87" s="6">
        <v>1870</v>
      </c>
      <c r="D87" s="250">
        <v>65</v>
      </c>
      <c r="E87" s="253" t="s">
        <v>0</v>
      </c>
      <c r="F87" s="252" t="s">
        <v>267</v>
      </c>
      <c r="G87" s="7">
        <v>10950</v>
      </c>
      <c r="H87" s="110">
        <v>3300</v>
      </c>
      <c r="I87" s="6">
        <v>100</v>
      </c>
      <c r="J87">
        <v>10.573829999999997</v>
      </c>
      <c r="K87">
        <v>0.68729894999999985</v>
      </c>
      <c r="L87">
        <v>90</v>
      </c>
      <c r="M87">
        <v>-30</v>
      </c>
      <c r="N87">
        <v>10.732437449999995</v>
      </c>
      <c r="O87">
        <v>0.69760843424999963</v>
      </c>
      <c r="P87" s="139">
        <v>46023</v>
      </c>
      <c r="Q87" s="113"/>
    </row>
    <row r="88" spans="2:17" customFormat="1">
      <c r="B88" s="256">
        <v>128</v>
      </c>
      <c r="C88" s="6">
        <v>1870</v>
      </c>
      <c r="D88" s="250">
        <v>65</v>
      </c>
      <c r="E88" s="253" t="s">
        <v>0</v>
      </c>
      <c r="F88" s="252" t="s">
        <v>51</v>
      </c>
      <c r="G88" s="255">
        <v>1620</v>
      </c>
      <c r="H88" s="110">
        <v>400</v>
      </c>
      <c r="I88">
        <v>100</v>
      </c>
      <c r="J88">
        <v>12.107700000000003</v>
      </c>
      <c r="K88">
        <v>0.78700050000000021</v>
      </c>
      <c r="L88">
        <v>90</v>
      </c>
      <c r="M88">
        <v>-30</v>
      </c>
      <c r="N88">
        <v>12.289315500000003</v>
      </c>
      <c r="O88">
        <v>0.79880550750000012</v>
      </c>
      <c r="P88" s="139">
        <v>45717</v>
      </c>
      <c r="Q88" s="113"/>
    </row>
    <row r="89" spans="2:17" customFormat="1">
      <c r="B89" s="256">
        <v>128</v>
      </c>
      <c r="C89" s="6">
        <v>1870</v>
      </c>
      <c r="D89" s="250">
        <v>65</v>
      </c>
      <c r="E89" s="254" t="s">
        <v>240</v>
      </c>
      <c r="F89" s="252" t="s">
        <v>267</v>
      </c>
      <c r="G89" s="7">
        <v>11500</v>
      </c>
      <c r="H89" s="110">
        <v>3300</v>
      </c>
      <c r="I89" s="6" t="s">
        <v>472</v>
      </c>
      <c r="J89">
        <v>11.044079999999999</v>
      </c>
      <c r="K89">
        <v>0.71786519999999998</v>
      </c>
      <c r="L89">
        <v>90</v>
      </c>
      <c r="M89">
        <v>-30</v>
      </c>
      <c r="N89">
        <v>11.209741199999998</v>
      </c>
      <c r="O89">
        <v>0.72863317799999983</v>
      </c>
      <c r="P89" s="139">
        <v>46023</v>
      </c>
      <c r="Q89" s="113"/>
    </row>
    <row r="90" spans="2:17" customFormat="1">
      <c r="B90" s="256">
        <v>128</v>
      </c>
      <c r="C90" s="6">
        <v>2175</v>
      </c>
      <c r="D90" s="250">
        <v>65</v>
      </c>
      <c r="E90" s="253" t="s">
        <v>0</v>
      </c>
      <c r="F90" s="252" t="s">
        <v>267</v>
      </c>
      <c r="G90" s="7">
        <v>10950</v>
      </c>
      <c r="H90" s="110">
        <v>3300</v>
      </c>
      <c r="I90" s="6">
        <v>100</v>
      </c>
      <c r="J90">
        <v>10.573829999999997</v>
      </c>
      <c r="K90">
        <v>0.68729894999999985</v>
      </c>
      <c r="L90">
        <v>90</v>
      </c>
      <c r="M90">
        <v>-30</v>
      </c>
      <c r="N90">
        <v>10.732437449999995</v>
      </c>
      <c r="O90">
        <v>0.69760843424999963</v>
      </c>
      <c r="P90" s="139">
        <v>46023</v>
      </c>
      <c r="Q90" s="113"/>
    </row>
    <row r="91" spans="2:17" customFormat="1">
      <c r="B91" s="256">
        <v>128</v>
      </c>
      <c r="C91" s="6" t="s">
        <v>472</v>
      </c>
      <c r="Q91" s="113"/>
    </row>
    <row r="92" spans="2:17" customFormat="1">
      <c r="B92" s="256">
        <v>244</v>
      </c>
      <c r="C92" s="6">
        <v>1270</v>
      </c>
      <c r="D92" s="250">
        <v>65</v>
      </c>
      <c r="E92" s="253" t="s">
        <v>108</v>
      </c>
      <c r="F92" s="6" t="s">
        <v>51</v>
      </c>
      <c r="G92" s="7">
        <v>2190</v>
      </c>
      <c r="H92">
        <v>500</v>
      </c>
      <c r="I92">
        <v>80</v>
      </c>
      <c r="J92">
        <v>14.834493200000002</v>
      </c>
      <c r="K92">
        <v>0.96424205800000018</v>
      </c>
      <c r="L92">
        <v>30</v>
      </c>
      <c r="M92">
        <v>-75</v>
      </c>
      <c r="N92">
        <v>15.3970606133687</v>
      </c>
      <c r="O92">
        <v>1.0008089398689655</v>
      </c>
      <c r="P92" s="139">
        <v>46174</v>
      </c>
      <c r="Q92" s="113"/>
    </row>
    <row r="93" spans="2:17" customFormat="1">
      <c r="B93" s="256">
        <v>244</v>
      </c>
      <c r="C93" s="6">
        <v>1270</v>
      </c>
      <c r="D93" s="250">
        <v>65</v>
      </c>
      <c r="E93" s="253" t="s">
        <v>108</v>
      </c>
      <c r="F93" s="6" t="s">
        <v>51</v>
      </c>
      <c r="G93" s="7">
        <v>2210</v>
      </c>
      <c r="H93">
        <v>500</v>
      </c>
      <c r="I93">
        <v>50</v>
      </c>
      <c r="J93">
        <v>14.967833199999999</v>
      </c>
      <c r="K93">
        <v>0.97290915799999989</v>
      </c>
      <c r="L93">
        <v>30</v>
      </c>
      <c r="M93">
        <v>-75</v>
      </c>
      <c r="N93">
        <v>15.535457256550721</v>
      </c>
      <c r="O93">
        <v>1.0098047216757968</v>
      </c>
      <c r="P93" s="139">
        <v>46174</v>
      </c>
      <c r="Q93" s="113"/>
    </row>
    <row r="94" spans="2:17" customFormat="1">
      <c r="B94" s="256">
        <v>244</v>
      </c>
      <c r="C94" s="6">
        <v>1270</v>
      </c>
      <c r="D94" s="250">
        <v>65</v>
      </c>
      <c r="E94" s="253" t="s">
        <v>108</v>
      </c>
      <c r="F94" s="6" t="s">
        <v>51</v>
      </c>
      <c r="G94" s="7">
        <v>2240</v>
      </c>
      <c r="H94">
        <v>500</v>
      </c>
      <c r="I94">
        <v>20</v>
      </c>
      <c r="J94">
        <v>15.167843200000004</v>
      </c>
      <c r="K94">
        <v>0.98590980800000017</v>
      </c>
      <c r="L94">
        <v>30</v>
      </c>
      <c r="M94">
        <v>-75</v>
      </c>
      <c r="N94">
        <v>15.743052221323763</v>
      </c>
      <c r="O94">
        <v>1.0232983943860445</v>
      </c>
      <c r="P94" s="139">
        <v>46174</v>
      </c>
      <c r="Q94" s="113"/>
    </row>
    <row r="95" spans="2:17" customFormat="1">
      <c r="B95" s="256">
        <v>244</v>
      </c>
      <c r="C95" s="6">
        <v>1870</v>
      </c>
      <c r="D95" s="250">
        <v>65</v>
      </c>
      <c r="E95" s="27" t="s">
        <v>3</v>
      </c>
      <c r="F95" s="252" t="s">
        <v>267</v>
      </c>
      <c r="G95" s="255">
        <v>13500</v>
      </c>
      <c r="H95" s="257">
        <v>3300</v>
      </c>
      <c r="I95" s="6">
        <v>100</v>
      </c>
      <c r="J95">
        <v>12.75408</v>
      </c>
      <c r="K95">
        <v>0.82901519999999995</v>
      </c>
      <c r="L95">
        <v>90</v>
      </c>
      <c r="M95">
        <v>-30</v>
      </c>
      <c r="N95">
        <v>12.9453912</v>
      </c>
      <c r="O95">
        <v>0.84145042800000003</v>
      </c>
      <c r="P95" s="139">
        <v>45809</v>
      </c>
      <c r="Q95" s="113"/>
    </row>
    <row r="96" spans="2:17" customFormat="1">
      <c r="B96" s="256">
        <v>244</v>
      </c>
      <c r="C96" s="6">
        <v>1870</v>
      </c>
      <c r="D96" s="250">
        <v>65</v>
      </c>
      <c r="E96" s="27" t="s">
        <v>3</v>
      </c>
      <c r="F96" s="252" t="s">
        <v>51</v>
      </c>
      <c r="G96" s="255">
        <v>1800</v>
      </c>
      <c r="H96" s="110">
        <v>400</v>
      </c>
      <c r="I96">
        <v>100</v>
      </c>
      <c r="J96">
        <v>13.318380000000001</v>
      </c>
      <c r="K96">
        <v>0.86569470000000004</v>
      </c>
      <c r="L96">
        <v>90</v>
      </c>
      <c r="M96">
        <v>-30</v>
      </c>
      <c r="N96">
        <v>13.518155699999999</v>
      </c>
      <c r="O96">
        <v>0.87868012049999999</v>
      </c>
      <c r="P96" s="139">
        <v>45323</v>
      </c>
      <c r="Q96" s="113"/>
    </row>
    <row r="97" spans="2:17" customFormat="1">
      <c r="B97" s="256">
        <v>244</v>
      </c>
      <c r="C97" s="6">
        <v>1870</v>
      </c>
      <c r="D97" s="250">
        <v>65</v>
      </c>
      <c r="E97" s="254" t="s">
        <v>2</v>
      </c>
      <c r="F97" t="s">
        <v>51</v>
      </c>
      <c r="G97" s="7">
        <v>2190</v>
      </c>
      <c r="H97" t="s">
        <v>472</v>
      </c>
      <c r="I97">
        <v>100</v>
      </c>
      <c r="J97">
        <v>14.657493200000003</v>
      </c>
      <c r="K97">
        <v>0.95273705800000019</v>
      </c>
      <c r="L97">
        <v>120</v>
      </c>
      <c r="M97">
        <v>15</v>
      </c>
      <c r="N97">
        <v>14.548783468112243</v>
      </c>
      <c r="O97">
        <v>0.94567092542729581</v>
      </c>
      <c r="P97" s="139">
        <v>46174</v>
      </c>
      <c r="Q97" s="113"/>
    </row>
    <row r="98" spans="2:17" customFormat="1">
      <c r="B98" s="256">
        <v>244</v>
      </c>
      <c r="C98" s="6">
        <v>1870</v>
      </c>
      <c r="D98" s="250">
        <v>65</v>
      </c>
      <c r="E98" s="254" t="s">
        <v>2</v>
      </c>
      <c r="F98" t="s">
        <v>51</v>
      </c>
      <c r="G98" s="255">
        <v>2210</v>
      </c>
      <c r="H98" s="7" t="s">
        <v>472</v>
      </c>
      <c r="I98">
        <v>70</v>
      </c>
      <c r="J98">
        <v>14.7908332</v>
      </c>
      <c r="K98">
        <v>0.9614041579999999</v>
      </c>
      <c r="L98">
        <v>120</v>
      </c>
      <c r="M98">
        <v>15</v>
      </c>
      <c r="N98">
        <v>14.681134529863922</v>
      </c>
      <c r="O98">
        <v>0.95427374444115498</v>
      </c>
      <c r="P98" s="139">
        <v>46174</v>
      </c>
      <c r="Q98" s="113"/>
    </row>
    <row r="99" spans="2:17" customFormat="1">
      <c r="B99" s="256">
        <v>244</v>
      </c>
      <c r="C99" s="6">
        <v>1870</v>
      </c>
      <c r="D99" s="250">
        <v>65</v>
      </c>
      <c r="E99" s="254" t="s">
        <v>2</v>
      </c>
      <c r="F99" t="s">
        <v>51</v>
      </c>
      <c r="G99" s="7">
        <v>2240</v>
      </c>
      <c r="H99" t="s">
        <v>472</v>
      </c>
      <c r="I99">
        <v>50</v>
      </c>
      <c r="J99">
        <v>14.990843200000004</v>
      </c>
      <c r="K99">
        <v>0.97440480800000029</v>
      </c>
      <c r="L99">
        <v>120</v>
      </c>
      <c r="M99">
        <v>15</v>
      </c>
      <c r="N99">
        <v>14.879661122491452</v>
      </c>
      <c r="O99">
        <v>0.96717797296194441</v>
      </c>
      <c r="P99" s="139">
        <v>46174</v>
      </c>
      <c r="Q99" s="113"/>
    </row>
    <row r="100" spans="2:17" customFormat="1">
      <c r="B100" s="256">
        <v>244</v>
      </c>
      <c r="C100" s="6">
        <v>1870</v>
      </c>
      <c r="D100" s="250">
        <v>65</v>
      </c>
      <c r="E100" s="254" t="s">
        <v>2</v>
      </c>
      <c r="F100" t="s">
        <v>51</v>
      </c>
      <c r="G100" s="7">
        <v>2290</v>
      </c>
      <c r="H100" t="s">
        <v>472</v>
      </c>
      <c r="I100">
        <v>30</v>
      </c>
      <c r="J100">
        <v>15.324193200000002</v>
      </c>
      <c r="K100">
        <v>0.99607255800000005</v>
      </c>
      <c r="L100">
        <v>120</v>
      </c>
      <c r="M100">
        <v>15</v>
      </c>
      <c r="N100">
        <v>15.21053877687066</v>
      </c>
      <c r="O100">
        <v>0.9886850204965929</v>
      </c>
      <c r="P100" s="139">
        <v>46174</v>
      </c>
      <c r="Q100" s="113"/>
    </row>
    <row r="101" spans="2:17" customFormat="1">
      <c r="B101" s="256">
        <v>244</v>
      </c>
      <c r="C101" s="6">
        <v>1870</v>
      </c>
      <c r="D101" s="250">
        <v>65</v>
      </c>
      <c r="E101" s="253" t="s">
        <v>108</v>
      </c>
      <c r="F101" s="6" t="s">
        <v>51</v>
      </c>
      <c r="G101" s="7">
        <v>1990</v>
      </c>
      <c r="H101">
        <v>500</v>
      </c>
      <c r="I101">
        <v>80</v>
      </c>
      <c r="J101">
        <v>13.501093200000001</v>
      </c>
      <c r="K101">
        <v>0.87757105800000013</v>
      </c>
      <c r="L101">
        <v>30</v>
      </c>
      <c r="M101">
        <v>-75</v>
      </c>
      <c r="N101">
        <v>14.013094181548444</v>
      </c>
      <c r="O101">
        <v>0.91085112180064887</v>
      </c>
      <c r="P101" s="139">
        <v>46174</v>
      </c>
      <c r="Q101" s="113"/>
    </row>
    <row r="102" spans="2:17" customFormat="1">
      <c r="B102" s="256">
        <v>244</v>
      </c>
      <c r="C102" s="6">
        <v>1870</v>
      </c>
      <c r="D102" s="250">
        <v>65</v>
      </c>
      <c r="E102" s="253" t="s">
        <v>108</v>
      </c>
      <c r="F102" s="6" t="s">
        <v>51</v>
      </c>
      <c r="G102" s="7">
        <v>2010</v>
      </c>
      <c r="H102">
        <v>500</v>
      </c>
      <c r="I102">
        <v>50</v>
      </c>
      <c r="J102">
        <v>13.6344332</v>
      </c>
      <c r="K102">
        <v>0.88623815800000005</v>
      </c>
      <c r="L102">
        <v>30</v>
      </c>
      <c r="M102">
        <v>-75</v>
      </c>
      <c r="N102">
        <v>14.151490824730468</v>
      </c>
      <c r="O102">
        <v>0.91984690360748034</v>
      </c>
      <c r="P102" s="139">
        <v>46174</v>
      </c>
      <c r="Q102" s="113"/>
    </row>
    <row r="103" spans="2:17" customFormat="1">
      <c r="B103" s="256">
        <v>244</v>
      </c>
      <c r="C103" s="6">
        <v>1870</v>
      </c>
      <c r="D103" s="250">
        <v>65</v>
      </c>
      <c r="E103" s="253" t="s">
        <v>108</v>
      </c>
      <c r="F103" s="6" t="s">
        <v>51</v>
      </c>
      <c r="G103" s="7">
        <v>2040</v>
      </c>
      <c r="H103">
        <v>500</v>
      </c>
      <c r="I103">
        <v>20</v>
      </c>
      <c r="J103">
        <v>13.834443200000003</v>
      </c>
      <c r="K103">
        <v>0.89923880800000022</v>
      </c>
      <c r="L103">
        <v>30</v>
      </c>
      <c r="M103">
        <v>-75</v>
      </c>
      <c r="N103">
        <v>14.359085789503508</v>
      </c>
      <c r="O103">
        <v>0.93334057631772804</v>
      </c>
      <c r="P103" s="139">
        <v>46174</v>
      </c>
      <c r="Q103" s="113"/>
    </row>
    <row r="104" spans="2:17" customFormat="1">
      <c r="B104" s="256">
        <v>244</v>
      </c>
      <c r="C104" s="6">
        <v>1870</v>
      </c>
      <c r="D104" s="250">
        <v>65</v>
      </c>
      <c r="E104" s="5" t="s">
        <v>0</v>
      </c>
      <c r="F104" s="6" t="s">
        <v>267</v>
      </c>
      <c r="G104" s="7">
        <v>13000</v>
      </c>
      <c r="H104" s="110">
        <v>3300</v>
      </c>
      <c r="I104" s="6">
        <v>100</v>
      </c>
      <c r="J104">
        <v>12.32658</v>
      </c>
      <c r="K104">
        <v>0.80122769999999999</v>
      </c>
      <c r="L104">
        <v>90</v>
      </c>
      <c r="M104">
        <v>-30</v>
      </c>
      <c r="N104">
        <v>12.511478699999998</v>
      </c>
      <c r="O104">
        <v>0.81324611549999992</v>
      </c>
      <c r="P104" s="139">
        <v>45992</v>
      </c>
      <c r="Q104" s="113"/>
    </row>
    <row r="105" spans="2:17" customFormat="1">
      <c r="B105" s="256">
        <v>244</v>
      </c>
      <c r="C105" s="6" t="s">
        <v>472</v>
      </c>
      <c r="Q105" s="113"/>
    </row>
    <row r="106" spans="2:17" customFormat="1">
      <c r="B106" s="256">
        <v>248</v>
      </c>
      <c r="C106" s="6">
        <v>1270</v>
      </c>
      <c r="D106" s="1">
        <v>65</v>
      </c>
      <c r="E106" s="254" t="s">
        <v>3</v>
      </c>
      <c r="F106" s="6" t="s">
        <v>51</v>
      </c>
      <c r="G106" s="255">
        <v>1530</v>
      </c>
      <c r="H106" s="110">
        <v>400</v>
      </c>
      <c r="I106" s="6">
        <v>100</v>
      </c>
      <c r="J106">
        <v>11.502360000000001</v>
      </c>
      <c r="K106">
        <v>0.74765340000000013</v>
      </c>
      <c r="L106">
        <v>90</v>
      </c>
      <c r="M106">
        <v>-30</v>
      </c>
      <c r="N106">
        <v>11.6748954</v>
      </c>
      <c r="O106">
        <v>0.75886820100000008</v>
      </c>
      <c r="P106" s="139">
        <v>45809</v>
      </c>
      <c r="Q106" s="113"/>
    </row>
    <row r="107" spans="2:17" customFormat="1">
      <c r="B107" s="256">
        <v>248</v>
      </c>
      <c r="C107" s="6">
        <v>1270</v>
      </c>
      <c r="D107" s="1">
        <v>65</v>
      </c>
      <c r="E107" s="253" t="s">
        <v>108</v>
      </c>
      <c r="F107" s="6" t="s">
        <v>51</v>
      </c>
      <c r="G107" s="255">
        <v>2700</v>
      </c>
      <c r="H107" s="110">
        <v>500</v>
      </c>
      <c r="I107" s="6">
        <v>20</v>
      </c>
      <c r="J107">
        <v>18.234663200000004</v>
      </c>
      <c r="K107">
        <v>1.1852531080000004</v>
      </c>
      <c r="L107">
        <v>30</v>
      </c>
      <c r="M107">
        <v>-75</v>
      </c>
      <c r="N107">
        <v>18.926175014510346</v>
      </c>
      <c r="O107">
        <v>1.2302013759431725</v>
      </c>
      <c r="P107" s="139">
        <v>46174</v>
      </c>
      <c r="Q107" s="113"/>
    </row>
    <row r="108" spans="2:17" customFormat="1">
      <c r="B108" s="256">
        <v>248</v>
      </c>
      <c r="C108" s="6">
        <v>1270</v>
      </c>
      <c r="D108" s="1">
        <v>65</v>
      </c>
      <c r="E108" s="253" t="s">
        <v>108</v>
      </c>
      <c r="F108" s="6" t="s">
        <v>51</v>
      </c>
      <c r="G108" s="7">
        <v>2650</v>
      </c>
      <c r="H108">
        <v>500</v>
      </c>
      <c r="I108">
        <v>80</v>
      </c>
      <c r="J108">
        <v>17.901313199999997</v>
      </c>
      <c r="K108">
        <v>1.163585358</v>
      </c>
      <c r="L108">
        <v>30</v>
      </c>
      <c r="M108">
        <v>-75</v>
      </c>
      <c r="N108">
        <v>18.580183406555278</v>
      </c>
      <c r="O108">
        <v>1.2077119214260932</v>
      </c>
      <c r="P108" s="139">
        <v>46174</v>
      </c>
      <c r="Q108" s="113"/>
    </row>
    <row r="109" spans="2:17" customFormat="1">
      <c r="B109" s="256">
        <v>248</v>
      </c>
      <c r="C109" s="6">
        <v>1270</v>
      </c>
      <c r="D109" s="1">
        <v>65</v>
      </c>
      <c r="E109" s="253" t="s">
        <v>108</v>
      </c>
      <c r="F109" s="6" t="s">
        <v>51</v>
      </c>
      <c r="G109" s="7">
        <v>2670</v>
      </c>
      <c r="H109">
        <v>500</v>
      </c>
      <c r="I109">
        <v>50</v>
      </c>
      <c r="J109">
        <v>18.034653199999997</v>
      </c>
      <c r="K109">
        <v>1.1722524579999998</v>
      </c>
      <c r="L109">
        <v>30</v>
      </c>
      <c r="M109">
        <v>-75</v>
      </c>
      <c r="N109">
        <v>18.718580049737302</v>
      </c>
      <c r="O109">
        <v>1.2167077032329248</v>
      </c>
      <c r="P109" s="139">
        <v>46174</v>
      </c>
      <c r="Q109" s="113"/>
    </row>
    <row r="110" spans="2:17" customFormat="1">
      <c r="B110" s="256">
        <v>248</v>
      </c>
      <c r="C110" s="6">
        <v>1870</v>
      </c>
      <c r="D110" s="1">
        <v>65</v>
      </c>
      <c r="E110" s="254" t="s">
        <v>3</v>
      </c>
      <c r="F110" s="6" t="s">
        <v>267</v>
      </c>
      <c r="G110" s="7">
        <v>12300</v>
      </c>
      <c r="H110" s="110">
        <v>3300</v>
      </c>
      <c r="I110" s="6">
        <v>100</v>
      </c>
      <c r="J110">
        <v>11.728080000000002</v>
      </c>
      <c r="K110">
        <v>0.76232520000000015</v>
      </c>
      <c r="L110">
        <v>90</v>
      </c>
      <c r="M110">
        <v>-30</v>
      </c>
      <c r="N110">
        <v>11.904001200000002</v>
      </c>
      <c r="O110">
        <v>0.77376007800000013</v>
      </c>
      <c r="P110" s="139">
        <v>46023</v>
      </c>
      <c r="Q110" s="113"/>
    </row>
    <row r="111" spans="2:17" customFormat="1">
      <c r="B111" s="256">
        <v>248</v>
      </c>
      <c r="C111" s="6">
        <v>1870</v>
      </c>
      <c r="D111" s="1">
        <v>65</v>
      </c>
      <c r="E111" s="254" t="s">
        <v>3</v>
      </c>
      <c r="F111" s="6" t="s">
        <v>51</v>
      </c>
      <c r="G111" s="255">
        <v>1530</v>
      </c>
      <c r="H111" s="110">
        <v>400</v>
      </c>
      <c r="I111" s="6">
        <v>100</v>
      </c>
      <c r="J111">
        <v>11.502360000000001</v>
      </c>
      <c r="K111">
        <v>0.74765340000000013</v>
      </c>
      <c r="L111">
        <v>90</v>
      </c>
      <c r="M111">
        <v>-30</v>
      </c>
      <c r="N111">
        <v>11.6748954</v>
      </c>
      <c r="O111">
        <v>0.75886820100000008</v>
      </c>
      <c r="P111" s="139">
        <v>45809</v>
      </c>
      <c r="Q111" s="113"/>
    </row>
    <row r="112" spans="2:17" customFormat="1">
      <c r="B112" s="256">
        <v>248</v>
      </c>
      <c r="C112" s="6">
        <v>1870</v>
      </c>
      <c r="D112" s="1">
        <v>65</v>
      </c>
      <c r="E112" s="254" t="s">
        <v>2</v>
      </c>
      <c r="F112" t="s">
        <v>51</v>
      </c>
      <c r="G112" s="7">
        <v>2350</v>
      </c>
      <c r="H112" t="s">
        <v>472</v>
      </c>
      <c r="I112">
        <v>100</v>
      </c>
      <c r="J112">
        <v>15.724213200000003</v>
      </c>
      <c r="K112">
        <v>1.0220738580000002</v>
      </c>
      <c r="L112">
        <v>120</v>
      </c>
      <c r="M112">
        <v>15</v>
      </c>
      <c r="N112">
        <v>15.607591962125712</v>
      </c>
      <c r="O112">
        <v>1.0144934775381713</v>
      </c>
      <c r="P112" s="139">
        <v>46174</v>
      </c>
      <c r="Q112" s="113"/>
    </row>
    <row r="113" spans="2:17" customFormat="1">
      <c r="B113" s="256">
        <v>248</v>
      </c>
      <c r="C113" s="6">
        <v>1870</v>
      </c>
      <c r="D113" s="1">
        <v>65</v>
      </c>
      <c r="E113" s="254" t="s">
        <v>2</v>
      </c>
      <c r="F113" t="s">
        <v>51</v>
      </c>
      <c r="G113" s="255">
        <v>2370</v>
      </c>
      <c r="H113" s="7" t="s">
        <v>472</v>
      </c>
      <c r="I113">
        <v>70</v>
      </c>
      <c r="J113">
        <v>15.857553200000003</v>
      </c>
      <c r="K113">
        <v>1.0307409580000002</v>
      </c>
      <c r="L113">
        <v>120</v>
      </c>
      <c r="M113">
        <v>15</v>
      </c>
      <c r="N113">
        <v>15.739943023877396</v>
      </c>
      <c r="O113">
        <v>1.0230962965520307</v>
      </c>
      <c r="P113" s="139">
        <v>46174</v>
      </c>
      <c r="Q113" s="113"/>
    </row>
    <row r="114" spans="2:17" customFormat="1">
      <c r="B114" s="256">
        <v>248</v>
      </c>
      <c r="C114" s="6">
        <v>1870</v>
      </c>
      <c r="D114" s="1">
        <v>65</v>
      </c>
      <c r="E114" s="254" t="s">
        <v>2</v>
      </c>
      <c r="F114" t="s">
        <v>51</v>
      </c>
      <c r="G114" s="7">
        <v>2400</v>
      </c>
      <c r="H114" t="s">
        <v>472</v>
      </c>
      <c r="I114">
        <v>50</v>
      </c>
      <c r="J114">
        <v>16.057563200000001</v>
      </c>
      <c r="K114">
        <v>1.0437416079999999</v>
      </c>
      <c r="L114">
        <v>120</v>
      </c>
      <c r="M114">
        <v>15</v>
      </c>
      <c r="N114">
        <v>15.93846961650492</v>
      </c>
      <c r="O114">
        <v>1.0360005250728199</v>
      </c>
      <c r="P114" s="139">
        <v>46174</v>
      </c>
      <c r="Q114" s="113"/>
    </row>
    <row r="115" spans="2:17" customFormat="1">
      <c r="B115" s="256">
        <v>248</v>
      </c>
      <c r="C115" s="6">
        <v>1870</v>
      </c>
      <c r="D115" s="1">
        <v>65</v>
      </c>
      <c r="E115" s="254" t="s">
        <v>2</v>
      </c>
      <c r="F115" t="s">
        <v>51</v>
      </c>
      <c r="G115" s="7">
        <v>2450</v>
      </c>
      <c r="H115" t="s">
        <v>472</v>
      </c>
      <c r="I115">
        <v>30</v>
      </c>
      <c r="J115">
        <v>16.3909132</v>
      </c>
      <c r="K115">
        <v>1.0654093579999999</v>
      </c>
      <c r="L115">
        <v>120</v>
      </c>
      <c r="M115">
        <v>15</v>
      </c>
      <c r="N115">
        <v>16.269347270884129</v>
      </c>
      <c r="O115">
        <v>1.0575075726074683</v>
      </c>
      <c r="P115" s="139">
        <v>46174</v>
      </c>
      <c r="Q115" s="113"/>
    </row>
    <row r="116" spans="2:17" customFormat="1">
      <c r="B116" s="256">
        <v>248</v>
      </c>
      <c r="C116" s="6">
        <v>1870</v>
      </c>
      <c r="D116" s="1">
        <v>65</v>
      </c>
      <c r="E116" s="253" t="s">
        <v>108</v>
      </c>
      <c r="F116" s="6" t="s">
        <v>51</v>
      </c>
      <c r="G116" s="7">
        <v>2450</v>
      </c>
      <c r="H116">
        <v>500</v>
      </c>
      <c r="I116">
        <v>80</v>
      </c>
      <c r="J116">
        <v>16.5679132</v>
      </c>
      <c r="K116">
        <v>1.076914358</v>
      </c>
      <c r="L116">
        <v>30</v>
      </c>
      <c r="M116">
        <v>-75</v>
      </c>
      <c r="N116">
        <v>17.196216974735027</v>
      </c>
      <c r="O116">
        <v>1.1177541033577767</v>
      </c>
      <c r="P116" s="139">
        <v>46174</v>
      </c>
      <c r="Q116" s="113"/>
    </row>
    <row r="117" spans="2:17" customFormat="1">
      <c r="B117" s="256">
        <v>248</v>
      </c>
      <c r="C117" s="6">
        <v>1870</v>
      </c>
      <c r="D117" s="1">
        <v>65</v>
      </c>
      <c r="E117" s="253" t="s">
        <v>108</v>
      </c>
      <c r="F117" s="6" t="s">
        <v>51</v>
      </c>
      <c r="G117" s="7">
        <v>2470</v>
      </c>
      <c r="H117">
        <v>500</v>
      </c>
      <c r="I117">
        <v>50</v>
      </c>
      <c r="J117">
        <v>16.7012532</v>
      </c>
      <c r="K117">
        <v>1.0855814579999998</v>
      </c>
      <c r="L117">
        <v>30</v>
      </c>
      <c r="M117">
        <v>-75</v>
      </c>
      <c r="N117">
        <v>17.33461361791705</v>
      </c>
      <c r="O117">
        <v>1.1267498851646083</v>
      </c>
      <c r="P117" s="139">
        <v>46174</v>
      </c>
      <c r="Q117" s="113"/>
    </row>
    <row r="118" spans="2:17" customFormat="1">
      <c r="B118" s="256">
        <v>248</v>
      </c>
      <c r="C118" s="6">
        <v>1870</v>
      </c>
      <c r="D118" s="1">
        <v>65</v>
      </c>
      <c r="E118" s="253" t="s">
        <v>108</v>
      </c>
      <c r="F118" s="6" t="s">
        <v>51</v>
      </c>
      <c r="G118" s="255">
        <v>2500</v>
      </c>
      <c r="H118" s="255">
        <v>500</v>
      </c>
      <c r="I118">
        <v>20</v>
      </c>
      <c r="J118">
        <v>16.901263199999999</v>
      </c>
      <c r="K118">
        <v>1.098582108</v>
      </c>
      <c r="L118">
        <v>30</v>
      </c>
      <c r="M118">
        <v>-75</v>
      </c>
      <c r="N118">
        <v>17.542208582690087</v>
      </c>
      <c r="O118">
        <v>1.1402435578748558</v>
      </c>
      <c r="P118" s="139">
        <v>46174</v>
      </c>
      <c r="Q118" s="113"/>
    </row>
    <row r="119" spans="2:17" customFormat="1">
      <c r="B119" s="256">
        <v>248</v>
      </c>
      <c r="C119" s="6">
        <v>1870</v>
      </c>
      <c r="D119" s="1">
        <v>65</v>
      </c>
      <c r="E119" s="253" t="s">
        <v>0</v>
      </c>
      <c r="F119" s="6" t="s">
        <v>51</v>
      </c>
      <c r="G119" s="255">
        <v>1800</v>
      </c>
      <c r="H119" s="110">
        <v>400</v>
      </c>
      <c r="I119" s="6">
        <v>100</v>
      </c>
      <c r="J119">
        <v>13.318380000000001</v>
      </c>
      <c r="K119">
        <v>0.86569470000000004</v>
      </c>
      <c r="L119">
        <v>90</v>
      </c>
      <c r="M119">
        <v>-30</v>
      </c>
      <c r="N119">
        <v>13.518155699999999</v>
      </c>
      <c r="O119">
        <v>0.87868012049999999</v>
      </c>
      <c r="P119" s="139">
        <v>45901</v>
      </c>
      <c r="Q119" s="113"/>
    </row>
    <row r="120" spans="2:17" customFormat="1">
      <c r="B120" s="256">
        <v>248</v>
      </c>
      <c r="C120" s="6" t="s">
        <v>472</v>
      </c>
      <c r="Q120" s="113"/>
    </row>
    <row r="121" spans="2:17" customFormat="1">
      <c r="B121" s="256">
        <v>301</v>
      </c>
      <c r="C121" s="6">
        <v>1270</v>
      </c>
      <c r="D121" s="1">
        <v>65</v>
      </c>
      <c r="E121" s="253" t="s">
        <v>108</v>
      </c>
      <c r="F121" s="6" t="s">
        <v>51</v>
      </c>
      <c r="G121" s="7">
        <v>2450</v>
      </c>
      <c r="H121" s="7">
        <v>500</v>
      </c>
      <c r="I121">
        <v>80</v>
      </c>
      <c r="J121">
        <v>16.5679132</v>
      </c>
      <c r="K121">
        <v>1.076914358</v>
      </c>
      <c r="L121">
        <v>30</v>
      </c>
      <c r="M121">
        <v>-75</v>
      </c>
      <c r="N121">
        <v>17.196216974735027</v>
      </c>
      <c r="O121">
        <v>1.1177541033577767</v>
      </c>
      <c r="P121" s="139">
        <v>46174</v>
      </c>
      <c r="Q121" s="113"/>
    </row>
    <row r="122" spans="2:17" customFormat="1">
      <c r="B122" s="256">
        <v>301</v>
      </c>
      <c r="C122" s="6">
        <v>1270</v>
      </c>
      <c r="D122" s="1">
        <v>65</v>
      </c>
      <c r="E122" s="253" t="s">
        <v>108</v>
      </c>
      <c r="F122" s="6" t="s">
        <v>51</v>
      </c>
      <c r="G122" s="7">
        <v>2470</v>
      </c>
      <c r="H122">
        <v>500</v>
      </c>
      <c r="I122">
        <v>50</v>
      </c>
      <c r="J122">
        <v>16.7012532</v>
      </c>
      <c r="K122">
        <v>1.0855814579999998</v>
      </c>
      <c r="L122">
        <v>30</v>
      </c>
      <c r="M122">
        <v>-75</v>
      </c>
      <c r="N122">
        <v>17.33461361791705</v>
      </c>
      <c r="O122">
        <v>1.1267498851646083</v>
      </c>
      <c r="P122" s="139">
        <v>46174</v>
      </c>
      <c r="Q122" s="113"/>
    </row>
    <row r="123" spans="2:17" customFormat="1">
      <c r="B123" s="256">
        <v>301</v>
      </c>
      <c r="C123" s="6">
        <v>1270</v>
      </c>
      <c r="D123" s="1">
        <v>65</v>
      </c>
      <c r="E123" s="253" t="s">
        <v>108</v>
      </c>
      <c r="F123" s="6" t="s">
        <v>51</v>
      </c>
      <c r="G123" s="255">
        <v>2500</v>
      </c>
      <c r="H123">
        <v>500</v>
      </c>
      <c r="I123" s="6">
        <v>20</v>
      </c>
      <c r="J123">
        <v>16.901263199999999</v>
      </c>
      <c r="K123">
        <v>1.098582108</v>
      </c>
      <c r="L123">
        <v>30</v>
      </c>
      <c r="M123">
        <v>-75</v>
      </c>
      <c r="N123">
        <v>17.542208582690087</v>
      </c>
      <c r="O123">
        <v>1.1402435578748558</v>
      </c>
      <c r="P123" s="139">
        <v>46174</v>
      </c>
      <c r="Q123" s="113"/>
    </row>
    <row r="124" spans="2:17" customFormat="1">
      <c r="B124" s="256">
        <v>301</v>
      </c>
      <c r="C124" s="6">
        <v>1870</v>
      </c>
      <c r="D124" s="1">
        <v>65</v>
      </c>
      <c r="E124" s="254" t="s">
        <v>3</v>
      </c>
      <c r="F124" s="252" t="s">
        <v>267</v>
      </c>
      <c r="G124" s="255">
        <v>13650</v>
      </c>
      <c r="H124" s="257">
        <v>3300</v>
      </c>
      <c r="I124" s="6">
        <v>100</v>
      </c>
      <c r="J124">
        <v>12.882330000000001</v>
      </c>
      <c r="K124">
        <v>0.83735145000000011</v>
      </c>
      <c r="L124">
        <v>90</v>
      </c>
      <c r="M124">
        <v>-30</v>
      </c>
      <c r="N124">
        <v>13.07556495</v>
      </c>
      <c r="O124">
        <v>0.84991172174999996</v>
      </c>
      <c r="P124" s="139">
        <v>45809</v>
      </c>
      <c r="Q124" s="113"/>
    </row>
    <row r="125" spans="2:17" customFormat="1">
      <c r="B125" s="256">
        <v>301</v>
      </c>
      <c r="C125" s="6">
        <v>1870</v>
      </c>
      <c r="D125" s="1">
        <v>65</v>
      </c>
      <c r="E125" s="254" t="s">
        <v>3</v>
      </c>
      <c r="F125" s="252" t="s">
        <v>51</v>
      </c>
      <c r="G125" s="255">
        <v>1800</v>
      </c>
      <c r="H125" s="110">
        <v>400</v>
      </c>
      <c r="I125">
        <v>100</v>
      </c>
      <c r="J125">
        <v>13.318380000000001</v>
      </c>
      <c r="K125">
        <v>0.86569470000000004</v>
      </c>
      <c r="L125">
        <v>90</v>
      </c>
      <c r="M125">
        <v>-30</v>
      </c>
      <c r="N125">
        <v>13.518155699999999</v>
      </c>
      <c r="O125">
        <v>0.87868012049999999</v>
      </c>
      <c r="P125" s="139">
        <v>45323</v>
      </c>
      <c r="Q125" s="113"/>
    </row>
    <row r="126" spans="2:17" customFormat="1">
      <c r="B126" s="256">
        <v>301</v>
      </c>
      <c r="C126" s="6">
        <v>1870</v>
      </c>
      <c r="D126" s="1">
        <v>65</v>
      </c>
      <c r="E126" s="253" t="s">
        <v>108</v>
      </c>
      <c r="F126" s="6" t="s">
        <v>51</v>
      </c>
      <c r="G126" s="7">
        <v>2250</v>
      </c>
      <c r="H126">
        <v>500</v>
      </c>
      <c r="I126">
        <v>80</v>
      </c>
      <c r="J126">
        <v>15.2345132</v>
      </c>
      <c r="K126">
        <v>0.99024335800000007</v>
      </c>
      <c r="L126">
        <v>30</v>
      </c>
      <c r="M126">
        <v>-75</v>
      </c>
      <c r="N126">
        <v>15.812250542914773</v>
      </c>
      <c r="O126">
        <v>1.0277962852894602</v>
      </c>
      <c r="P126" s="139">
        <v>46174</v>
      </c>
      <c r="Q126" s="113"/>
    </row>
    <row r="127" spans="2:17" customFormat="1">
      <c r="B127" s="256">
        <v>301</v>
      </c>
      <c r="C127" s="6">
        <v>1870</v>
      </c>
      <c r="D127" s="1">
        <v>65</v>
      </c>
      <c r="E127" s="253" t="s">
        <v>108</v>
      </c>
      <c r="F127" s="6" t="s">
        <v>51</v>
      </c>
      <c r="G127" s="255">
        <v>2300</v>
      </c>
      <c r="H127" s="255">
        <v>500</v>
      </c>
      <c r="I127">
        <v>20</v>
      </c>
      <c r="J127">
        <v>15.5678632</v>
      </c>
      <c r="K127">
        <v>1.0119111080000001</v>
      </c>
      <c r="L127">
        <v>30</v>
      </c>
      <c r="M127">
        <v>-75</v>
      </c>
      <c r="N127">
        <v>16.158242150869835</v>
      </c>
      <c r="O127">
        <v>1.0502857398065393</v>
      </c>
      <c r="P127" s="139">
        <v>46174</v>
      </c>
      <c r="Q127" s="113"/>
    </row>
    <row r="128" spans="2:17" customFormat="1">
      <c r="B128" s="256">
        <v>301</v>
      </c>
      <c r="C128" s="6">
        <v>1870</v>
      </c>
      <c r="D128" s="1">
        <v>65</v>
      </c>
      <c r="E128" s="253" t="s">
        <v>108</v>
      </c>
      <c r="F128" s="6" t="s">
        <v>51</v>
      </c>
      <c r="G128" s="7">
        <v>2270</v>
      </c>
      <c r="H128">
        <v>500</v>
      </c>
      <c r="I128">
        <v>50</v>
      </c>
      <c r="J128">
        <v>15.367853200000001</v>
      </c>
      <c r="K128">
        <v>0.998910458</v>
      </c>
      <c r="L128">
        <v>30</v>
      </c>
      <c r="M128">
        <v>-75</v>
      </c>
      <c r="N128">
        <v>15.950647186096798</v>
      </c>
      <c r="O128">
        <v>1.036792067096292</v>
      </c>
      <c r="P128" s="139">
        <v>46174</v>
      </c>
      <c r="Q128" s="113"/>
    </row>
    <row r="129" spans="2:17" customFormat="1">
      <c r="B129" s="256">
        <v>301</v>
      </c>
      <c r="C129" s="6">
        <v>1870</v>
      </c>
      <c r="D129" s="1">
        <v>65</v>
      </c>
      <c r="E129" s="27" t="s">
        <v>469</v>
      </c>
      <c r="F129" t="s">
        <v>51</v>
      </c>
      <c r="G129" s="7">
        <v>2240</v>
      </c>
      <c r="H129" t="s">
        <v>472</v>
      </c>
      <c r="I129">
        <v>50</v>
      </c>
      <c r="J129">
        <v>15.167843200000004</v>
      </c>
      <c r="K129">
        <v>0.98590980800000017</v>
      </c>
      <c r="L129">
        <v>60</v>
      </c>
      <c r="M129">
        <v>-45</v>
      </c>
      <c r="N129">
        <v>15.51039627716627</v>
      </c>
      <c r="O129">
        <v>1.0081757580158075</v>
      </c>
      <c r="P129" s="139">
        <v>46174</v>
      </c>
      <c r="Q129" s="113"/>
    </row>
    <row r="130" spans="2:17" customFormat="1">
      <c r="B130" s="256">
        <v>301</v>
      </c>
      <c r="C130" s="6">
        <v>1870</v>
      </c>
      <c r="D130" s="1">
        <v>65</v>
      </c>
      <c r="E130" s="27" t="s">
        <v>469</v>
      </c>
      <c r="F130" t="s">
        <v>51</v>
      </c>
      <c r="G130" s="7">
        <v>2390</v>
      </c>
      <c r="H130" t="s">
        <v>472</v>
      </c>
      <c r="I130">
        <v>20</v>
      </c>
      <c r="J130">
        <v>16.167893199999998</v>
      </c>
      <c r="K130">
        <v>1.0509130579999999</v>
      </c>
      <c r="L130">
        <v>60</v>
      </c>
      <c r="M130">
        <v>-45</v>
      </c>
      <c r="N130">
        <v>16.533031571614728</v>
      </c>
      <c r="O130">
        <v>1.0746470521549574</v>
      </c>
      <c r="P130" s="139">
        <v>46174</v>
      </c>
      <c r="Q130" s="113"/>
    </row>
    <row r="131" spans="2:17" customFormat="1">
      <c r="B131" s="256">
        <v>301</v>
      </c>
      <c r="C131" s="6">
        <v>1870</v>
      </c>
      <c r="D131" s="1">
        <v>65</v>
      </c>
      <c r="E131" s="27" t="s">
        <v>469</v>
      </c>
      <c r="F131" t="s">
        <v>51</v>
      </c>
      <c r="G131" s="7">
        <v>2090</v>
      </c>
      <c r="H131" t="s">
        <v>472</v>
      </c>
      <c r="I131">
        <v>100</v>
      </c>
      <c r="J131">
        <v>14.1677932</v>
      </c>
      <c r="K131">
        <v>0.92090655799999999</v>
      </c>
      <c r="L131">
        <v>60</v>
      </c>
      <c r="M131">
        <v>-45</v>
      </c>
      <c r="N131">
        <v>14.487760982717802</v>
      </c>
      <c r="O131">
        <v>0.94170446387665707</v>
      </c>
      <c r="P131" s="139">
        <v>46174</v>
      </c>
      <c r="Q131" s="113"/>
    </row>
    <row r="132" spans="2:17" customFormat="1">
      <c r="B132" s="256">
        <v>301</v>
      </c>
      <c r="C132" s="6">
        <v>2120</v>
      </c>
      <c r="D132" s="1">
        <v>65</v>
      </c>
      <c r="E132" s="253" t="s">
        <v>108</v>
      </c>
      <c r="F132" s="6" t="s">
        <v>51</v>
      </c>
      <c r="G132" s="7">
        <v>2250</v>
      </c>
      <c r="H132">
        <v>500</v>
      </c>
      <c r="I132">
        <v>80</v>
      </c>
      <c r="J132">
        <v>15.2345132</v>
      </c>
      <c r="K132">
        <v>0.99024335800000007</v>
      </c>
      <c r="L132">
        <v>30</v>
      </c>
      <c r="M132">
        <v>-75</v>
      </c>
      <c r="N132">
        <v>15.812250542914773</v>
      </c>
      <c r="O132">
        <v>1.0277962852894602</v>
      </c>
      <c r="P132" s="139">
        <v>46174</v>
      </c>
      <c r="Q132" s="113"/>
    </row>
    <row r="133" spans="2:17" customFormat="1">
      <c r="B133" s="256">
        <v>301</v>
      </c>
      <c r="C133" s="6">
        <v>2120</v>
      </c>
      <c r="D133" s="1">
        <v>65</v>
      </c>
      <c r="E133" s="253" t="s">
        <v>108</v>
      </c>
      <c r="F133" s="6" t="s">
        <v>51</v>
      </c>
      <c r="G133" s="255">
        <v>2300</v>
      </c>
      <c r="H133" s="255">
        <v>500</v>
      </c>
      <c r="I133">
        <v>20</v>
      </c>
      <c r="J133">
        <v>15.5678632</v>
      </c>
      <c r="K133">
        <v>1.0119111080000001</v>
      </c>
      <c r="L133">
        <v>30</v>
      </c>
      <c r="M133">
        <v>-75</v>
      </c>
      <c r="N133">
        <v>16.158242150869835</v>
      </c>
      <c r="O133">
        <v>1.0502857398065393</v>
      </c>
      <c r="P133" s="139">
        <v>46174</v>
      </c>
      <c r="Q133" s="113"/>
    </row>
    <row r="134" spans="2:17" customFormat="1">
      <c r="B134" s="256">
        <v>301</v>
      </c>
      <c r="C134" s="6">
        <v>2120</v>
      </c>
      <c r="D134" s="1">
        <v>65</v>
      </c>
      <c r="E134" s="253" t="s">
        <v>108</v>
      </c>
      <c r="F134" s="6" t="s">
        <v>51</v>
      </c>
      <c r="G134" s="7">
        <v>2270</v>
      </c>
      <c r="H134">
        <v>500</v>
      </c>
      <c r="I134">
        <v>50</v>
      </c>
      <c r="J134">
        <v>15.367853200000001</v>
      </c>
      <c r="K134">
        <v>0.998910458</v>
      </c>
      <c r="L134">
        <v>30</v>
      </c>
      <c r="M134">
        <v>-75</v>
      </c>
      <c r="N134">
        <v>15.950647186096798</v>
      </c>
      <c r="O134">
        <v>1.036792067096292</v>
      </c>
      <c r="P134" s="139">
        <v>46174</v>
      </c>
      <c r="Q134" s="113"/>
    </row>
    <row r="135" spans="2:17" customFormat="1">
      <c r="B135" s="256">
        <v>301</v>
      </c>
      <c r="C135" s="6" t="s">
        <v>472</v>
      </c>
      <c r="Q135" s="113"/>
    </row>
    <row r="136" spans="2:17" customFormat="1">
      <c r="B136" s="256">
        <v>308</v>
      </c>
      <c r="C136" s="6">
        <v>1860</v>
      </c>
      <c r="D136" s="250">
        <v>72</v>
      </c>
      <c r="E136" s="253" t="s">
        <v>0</v>
      </c>
      <c r="F136" s="6" t="s">
        <v>51</v>
      </c>
      <c r="G136" s="255">
        <v>1600</v>
      </c>
      <c r="H136" s="110">
        <v>400</v>
      </c>
      <c r="I136" s="6">
        <v>100</v>
      </c>
      <c r="J136">
        <v>11.973180000000001</v>
      </c>
      <c r="K136">
        <v>0.86206896000000011</v>
      </c>
      <c r="L136">
        <v>90</v>
      </c>
      <c r="M136">
        <v>-30</v>
      </c>
      <c r="N136">
        <v>12.1527777</v>
      </c>
      <c r="O136">
        <v>0.87499999439999998</v>
      </c>
      <c r="P136" s="139">
        <v>45261</v>
      </c>
      <c r="Q136" s="113"/>
    </row>
    <row r="137" spans="2:17" customFormat="1">
      <c r="B137" s="256">
        <v>380</v>
      </c>
      <c r="C137" s="6">
        <v>1870</v>
      </c>
      <c r="D137" s="250">
        <v>68</v>
      </c>
      <c r="E137" s="254" t="s">
        <v>47</v>
      </c>
      <c r="F137" s="6" t="s">
        <v>51</v>
      </c>
      <c r="G137" s="7">
        <v>2370</v>
      </c>
      <c r="H137">
        <v>300</v>
      </c>
      <c r="I137">
        <v>50</v>
      </c>
      <c r="J137">
        <v>16.034553200000001</v>
      </c>
      <c r="K137">
        <v>1.0903496176000003</v>
      </c>
      <c r="L137">
        <v>120</v>
      </c>
      <c r="M137">
        <v>15</v>
      </c>
      <c r="N137">
        <v>15.915630273990249</v>
      </c>
      <c r="O137">
        <v>1.082262858631337</v>
      </c>
      <c r="P137" s="139">
        <v>46174</v>
      </c>
      <c r="Q137" s="113"/>
    </row>
    <row r="138" spans="2:17" customFormat="1">
      <c r="B138" s="256">
        <v>380</v>
      </c>
      <c r="C138" s="6">
        <v>1870</v>
      </c>
      <c r="D138" s="250">
        <v>68</v>
      </c>
      <c r="E138" s="254" t="s">
        <v>47</v>
      </c>
      <c r="F138" s="6" t="s">
        <v>51</v>
      </c>
      <c r="G138" s="7">
        <v>2420</v>
      </c>
      <c r="H138">
        <v>300</v>
      </c>
      <c r="I138">
        <v>30</v>
      </c>
      <c r="J138">
        <v>16.367903200000001</v>
      </c>
      <c r="K138">
        <v>1.1130174176000001</v>
      </c>
      <c r="L138">
        <v>120</v>
      </c>
      <c r="M138">
        <v>15</v>
      </c>
      <c r="N138">
        <v>16.246507928369457</v>
      </c>
      <c r="O138">
        <v>1.1047625391291231</v>
      </c>
      <c r="P138" s="139">
        <v>46174</v>
      </c>
      <c r="Q138" s="113"/>
    </row>
    <row r="139" spans="2:17" customFormat="1">
      <c r="B139" s="256">
        <v>380</v>
      </c>
      <c r="C139" s="6">
        <v>1870</v>
      </c>
      <c r="D139" s="250">
        <v>68</v>
      </c>
      <c r="E139" s="254" t="s">
        <v>47</v>
      </c>
      <c r="F139" s="6" t="s">
        <v>51</v>
      </c>
      <c r="G139" s="7">
        <v>2470</v>
      </c>
      <c r="H139">
        <v>300</v>
      </c>
      <c r="I139">
        <v>20</v>
      </c>
      <c r="J139">
        <v>16.7012532</v>
      </c>
      <c r="K139">
        <v>1.1356852175999999</v>
      </c>
      <c r="L139">
        <v>120</v>
      </c>
      <c r="M139">
        <v>15</v>
      </c>
      <c r="N139">
        <v>16.577385582748668</v>
      </c>
      <c r="O139">
        <v>1.1272622196269095</v>
      </c>
      <c r="P139" s="139">
        <v>46174</v>
      </c>
      <c r="Q139" s="113"/>
    </row>
    <row r="140" spans="2:17" customFormat="1">
      <c r="B140" s="256">
        <v>380</v>
      </c>
      <c r="C140" s="6">
        <v>1870</v>
      </c>
      <c r="D140" s="250">
        <v>68</v>
      </c>
      <c r="E140" s="254" t="s">
        <v>47</v>
      </c>
      <c r="F140" s="6" t="s">
        <v>51</v>
      </c>
      <c r="G140" s="7">
        <v>2550</v>
      </c>
      <c r="H140">
        <v>300</v>
      </c>
      <c r="I140">
        <v>10</v>
      </c>
      <c r="J140">
        <v>17.234613199999998</v>
      </c>
      <c r="K140">
        <v>1.1719536975999998</v>
      </c>
      <c r="L140">
        <v>120</v>
      </c>
      <c r="M140">
        <v>15</v>
      </c>
      <c r="N140">
        <v>17.1067898297554</v>
      </c>
      <c r="O140">
        <v>1.1632617084233672</v>
      </c>
      <c r="P140" s="139">
        <v>46174</v>
      </c>
      <c r="Q140" s="113"/>
    </row>
    <row r="141" spans="2:17" customFormat="1">
      <c r="B141" s="256">
        <v>380</v>
      </c>
      <c r="C141" s="6" t="s">
        <v>472</v>
      </c>
      <c r="Q141" s="113"/>
    </row>
    <row r="142" spans="2:17" customFormat="1">
      <c r="B142" s="256">
        <v>399</v>
      </c>
      <c r="C142" s="6">
        <v>1270</v>
      </c>
      <c r="D142" s="250">
        <v>67</v>
      </c>
      <c r="E142" s="253" t="s">
        <v>1</v>
      </c>
      <c r="F142" s="252" t="s">
        <v>46</v>
      </c>
      <c r="G142" s="7">
        <v>17581</v>
      </c>
      <c r="H142" t="s">
        <v>472</v>
      </c>
      <c r="I142">
        <v>50</v>
      </c>
      <c r="J142">
        <v>17.780999999999999</v>
      </c>
      <c r="K142">
        <v>1.1913269999999998</v>
      </c>
      <c r="L142">
        <v>0</v>
      </c>
      <c r="M142">
        <v>-45</v>
      </c>
      <c r="N142">
        <v>18.18256904213602</v>
      </c>
      <c r="O142">
        <v>1.2182321258231132</v>
      </c>
      <c r="P142" s="139">
        <v>46174</v>
      </c>
      <c r="Q142" s="113"/>
    </row>
    <row r="143" spans="2:17" customFormat="1">
      <c r="B143" s="256">
        <v>399</v>
      </c>
      <c r="C143" s="6">
        <v>1270</v>
      </c>
      <c r="D143" s="250">
        <v>68</v>
      </c>
      <c r="E143" s="254" t="s">
        <v>47</v>
      </c>
      <c r="F143" s="6" t="s">
        <v>51</v>
      </c>
      <c r="G143" s="255">
        <v>2640</v>
      </c>
      <c r="H143">
        <v>300</v>
      </c>
      <c r="I143">
        <v>50</v>
      </c>
      <c r="J143">
        <v>17.834643200000002</v>
      </c>
      <c r="K143">
        <v>1.2127557376000002</v>
      </c>
      <c r="L143">
        <v>120</v>
      </c>
      <c r="M143">
        <v>15</v>
      </c>
      <c r="N143">
        <v>17.702369607637984</v>
      </c>
      <c r="O143">
        <v>1.2037611333193829</v>
      </c>
      <c r="P143" s="139">
        <v>46174</v>
      </c>
      <c r="Q143" s="113"/>
    </row>
    <row r="144" spans="2:17" customFormat="1">
      <c r="B144" s="256">
        <v>399</v>
      </c>
      <c r="C144" s="6">
        <v>1270</v>
      </c>
      <c r="D144" s="250">
        <v>68</v>
      </c>
      <c r="E144" s="254" t="s">
        <v>47</v>
      </c>
      <c r="F144" s="6" t="s">
        <v>51</v>
      </c>
      <c r="G144" s="255">
        <v>2690</v>
      </c>
      <c r="H144">
        <v>300</v>
      </c>
      <c r="I144">
        <v>30</v>
      </c>
      <c r="J144">
        <v>18.167993200000002</v>
      </c>
      <c r="K144">
        <v>1.2354235376000002</v>
      </c>
      <c r="L144">
        <v>120</v>
      </c>
      <c r="M144">
        <v>15</v>
      </c>
      <c r="N144">
        <v>18.033247262017191</v>
      </c>
      <c r="O144">
        <v>1.2262608138171691</v>
      </c>
      <c r="P144" s="139">
        <v>46174</v>
      </c>
      <c r="Q144" s="113"/>
    </row>
    <row r="145" spans="2:17" customFormat="1">
      <c r="B145" s="256">
        <v>399</v>
      </c>
      <c r="C145" s="6">
        <v>1270</v>
      </c>
      <c r="D145" s="250">
        <v>68</v>
      </c>
      <c r="E145" s="254" t="s">
        <v>47</v>
      </c>
      <c r="F145" s="6" t="s">
        <v>51</v>
      </c>
      <c r="G145" s="7">
        <v>2740</v>
      </c>
      <c r="H145">
        <v>300</v>
      </c>
      <c r="I145">
        <v>20</v>
      </c>
      <c r="J145">
        <v>18.501343200000004</v>
      </c>
      <c r="K145">
        <v>1.2580913376000005</v>
      </c>
      <c r="L145">
        <v>120</v>
      </c>
      <c r="M145">
        <v>15</v>
      </c>
      <c r="N145">
        <v>18.364124916396403</v>
      </c>
      <c r="O145">
        <v>1.2487604943149553</v>
      </c>
      <c r="P145" s="139">
        <v>46174</v>
      </c>
      <c r="Q145" s="113"/>
    </row>
    <row r="146" spans="2:17" customFormat="1">
      <c r="B146" s="256">
        <v>399</v>
      </c>
      <c r="C146" s="6">
        <v>1270</v>
      </c>
      <c r="D146" s="250">
        <v>68</v>
      </c>
      <c r="E146" s="254" t="s">
        <v>47</v>
      </c>
      <c r="F146" s="6" t="s">
        <v>51</v>
      </c>
      <c r="G146" s="7">
        <v>2820</v>
      </c>
      <c r="H146">
        <v>300</v>
      </c>
      <c r="I146">
        <v>10</v>
      </c>
      <c r="J146">
        <v>19.034703199999999</v>
      </c>
      <c r="K146">
        <v>1.2943598176</v>
      </c>
      <c r="L146">
        <v>120</v>
      </c>
      <c r="M146">
        <v>15</v>
      </c>
      <c r="N146">
        <v>18.893529163403134</v>
      </c>
      <c r="O146">
        <v>1.2847599831114132</v>
      </c>
      <c r="P146" s="139">
        <v>46174</v>
      </c>
      <c r="Q146" s="113"/>
    </row>
    <row r="147" spans="2:17" customFormat="1">
      <c r="B147" s="256">
        <v>399</v>
      </c>
      <c r="C147" s="6">
        <v>1870</v>
      </c>
      <c r="D147" s="250">
        <v>67</v>
      </c>
      <c r="E147" s="253" t="s">
        <v>1</v>
      </c>
      <c r="F147" s="252" t="s">
        <v>46</v>
      </c>
      <c r="G147" s="7">
        <v>17581</v>
      </c>
      <c r="H147" t="s">
        <v>472</v>
      </c>
      <c r="I147">
        <v>50</v>
      </c>
      <c r="J147">
        <v>17.780999999999999</v>
      </c>
      <c r="K147">
        <v>1.1913269999999998</v>
      </c>
      <c r="L147">
        <v>0</v>
      </c>
      <c r="M147">
        <v>-45</v>
      </c>
      <c r="N147">
        <v>18.18256904213602</v>
      </c>
      <c r="O147">
        <v>1.2182321258231132</v>
      </c>
      <c r="P147" s="139">
        <v>46174</v>
      </c>
      <c r="Q147" s="113"/>
    </row>
    <row r="148" spans="2:17" customFormat="1">
      <c r="B148" s="256">
        <v>399</v>
      </c>
      <c r="C148" s="6">
        <v>1870</v>
      </c>
      <c r="D148" s="250">
        <v>68</v>
      </c>
      <c r="E148" s="254" t="s">
        <v>67</v>
      </c>
      <c r="F148" s="252" t="s">
        <v>51</v>
      </c>
      <c r="G148" s="255">
        <v>2370</v>
      </c>
      <c r="H148" t="s">
        <v>472</v>
      </c>
      <c r="I148" s="252">
        <v>100</v>
      </c>
      <c r="J148">
        <v>16.034553200000001</v>
      </c>
      <c r="K148">
        <v>1.0903496176000003</v>
      </c>
      <c r="L148">
        <v>90</v>
      </c>
      <c r="M148">
        <v>-15</v>
      </c>
      <c r="N148">
        <v>16.154364728100106</v>
      </c>
      <c r="O148">
        <v>1.0984968015108072</v>
      </c>
      <c r="P148" s="139">
        <v>45536</v>
      </c>
      <c r="Q148" s="113"/>
    </row>
    <row r="149" spans="2:17" customFormat="1">
      <c r="B149" s="256">
        <v>399</v>
      </c>
      <c r="C149" s="6">
        <v>1870</v>
      </c>
      <c r="D149" s="250">
        <v>68</v>
      </c>
      <c r="E149" s="254" t="s">
        <v>67</v>
      </c>
      <c r="F149" s="252" t="s">
        <v>51</v>
      </c>
      <c r="G149" s="255">
        <v>2450</v>
      </c>
      <c r="H149" t="s">
        <v>472</v>
      </c>
      <c r="I149" s="252">
        <v>50</v>
      </c>
      <c r="J149">
        <v>16.5679132</v>
      </c>
      <c r="K149">
        <v>1.1266180976</v>
      </c>
      <c r="L149">
        <v>90</v>
      </c>
      <c r="M149">
        <v>-15</v>
      </c>
      <c r="N149">
        <v>16.691710038811937</v>
      </c>
      <c r="O149">
        <v>1.1350362826392117</v>
      </c>
      <c r="P149" s="139">
        <v>45536</v>
      </c>
      <c r="Q149" s="113"/>
    </row>
    <row r="150" spans="2:17" customFormat="1">
      <c r="B150" s="256">
        <v>399</v>
      </c>
      <c r="C150" s="6">
        <v>1870</v>
      </c>
      <c r="D150" s="250">
        <v>68</v>
      </c>
      <c r="E150" s="254" t="s">
        <v>47</v>
      </c>
      <c r="F150" s="6" t="s">
        <v>51</v>
      </c>
      <c r="G150" s="255">
        <v>2640</v>
      </c>
      <c r="H150">
        <v>300</v>
      </c>
      <c r="I150">
        <v>50</v>
      </c>
      <c r="J150">
        <v>17.834643200000002</v>
      </c>
      <c r="K150">
        <v>1.2127557376000002</v>
      </c>
      <c r="L150">
        <v>120</v>
      </c>
      <c r="M150">
        <v>15</v>
      </c>
      <c r="N150">
        <v>17.702369607637984</v>
      </c>
      <c r="O150">
        <v>1.2037611333193829</v>
      </c>
      <c r="P150" s="139">
        <v>46174</v>
      </c>
      <c r="Q150" s="113"/>
    </row>
    <row r="151" spans="2:17" customFormat="1">
      <c r="B151" s="256">
        <v>399</v>
      </c>
      <c r="C151" s="6">
        <v>1870</v>
      </c>
      <c r="D151" s="250">
        <v>68</v>
      </c>
      <c r="E151" s="254" t="s">
        <v>47</v>
      </c>
      <c r="F151" s="6" t="s">
        <v>51</v>
      </c>
      <c r="G151" s="255">
        <v>2690</v>
      </c>
      <c r="H151">
        <v>300</v>
      </c>
      <c r="I151">
        <v>30</v>
      </c>
      <c r="J151">
        <v>18.167993200000002</v>
      </c>
      <c r="K151">
        <v>1.2354235376000002</v>
      </c>
      <c r="L151">
        <v>120</v>
      </c>
      <c r="M151">
        <v>15</v>
      </c>
      <c r="N151">
        <v>18.033247262017191</v>
      </c>
      <c r="O151">
        <v>1.2262608138171691</v>
      </c>
      <c r="P151" s="139">
        <v>46174</v>
      </c>
      <c r="Q151" s="113"/>
    </row>
    <row r="152" spans="2:17" customFormat="1">
      <c r="B152" s="256">
        <v>399</v>
      </c>
      <c r="C152" s="6">
        <v>1870</v>
      </c>
      <c r="D152" s="250">
        <v>68</v>
      </c>
      <c r="E152" s="254" t="s">
        <v>47</v>
      </c>
      <c r="F152" s="6" t="s">
        <v>51</v>
      </c>
      <c r="G152" s="7">
        <v>2740</v>
      </c>
      <c r="H152">
        <v>300</v>
      </c>
      <c r="I152">
        <v>20</v>
      </c>
      <c r="J152">
        <v>18.501343200000004</v>
      </c>
      <c r="K152">
        <v>1.2580913376000005</v>
      </c>
      <c r="L152">
        <v>120</v>
      </c>
      <c r="M152">
        <v>15</v>
      </c>
      <c r="N152">
        <v>18.364124916396403</v>
      </c>
      <c r="O152">
        <v>1.2487604943149553</v>
      </c>
      <c r="P152" s="139">
        <v>46174</v>
      </c>
      <c r="Q152" s="113"/>
    </row>
    <row r="153" spans="2:17" customFormat="1">
      <c r="B153" s="256">
        <v>399</v>
      </c>
      <c r="C153" s="6">
        <v>1870</v>
      </c>
      <c r="D153" s="250">
        <v>68</v>
      </c>
      <c r="E153" s="254" t="s">
        <v>47</v>
      </c>
      <c r="F153" s="6" t="s">
        <v>51</v>
      </c>
      <c r="G153" s="7">
        <v>2820</v>
      </c>
      <c r="H153">
        <v>300</v>
      </c>
      <c r="I153">
        <v>10</v>
      </c>
      <c r="J153">
        <v>19.034703199999999</v>
      </c>
      <c r="K153">
        <v>1.2943598176</v>
      </c>
      <c r="L153">
        <v>120</v>
      </c>
      <c r="M153">
        <v>15</v>
      </c>
      <c r="N153">
        <v>18.893529163403134</v>
      </c>
      <c r="O153">
        <v>1.2847599831114132</v>
      </c>
      <c r="P153" s="139">
        <v>46174</v>
      </c>
      <c r="Q153" s="113"/>
    </row>
    <row r="154" spans="2:17" customFormat="1">
      <c r="B154" s="256">
        <v>399</v>
      </c>
      <c r="C154" s="6">
        <v>2175</v>
      </c>
      <c r="D154" s="250">
        <v>67</v>
      </c>
      <c r="E154" s="253" t="s">
        <v>1</v>
      </c>
      <c r="F154" s="252" t="s">
        <v>46</v>
      </c>
      <c r="G154" s="7">
        <v>17581</v>
      </c>
      <c r="H154" t="s">
        <v>472</v>
      </c>
      <c r="I154">
        <v>50</v>
      </c>
      <c r="J154">
        <v>17.780999999999999</v>
      </c>
      <c r="K154">
        <v>1.1913269999999998</v>
      </c>
      <c r="L154">
        <v>0</v>
      </c>
      <c r="M154">
        <v>-45</v>
      </c>
      <c r="N154">
        <v>18.18256904213602</v>
      </c>
      <c r="O154">
        <v>1.2182321258231132</v>
      </c>
      <c r="P154" s="139">
        <v>46174</v>
      </c>
      <c r="Q154" s="113"/>
    </row>
    <row r="155" spans="2:17" customFormat="1">
      <c r="B155" s="256">
        <v>399</v>
      </c>
      <c r="C155" s="6">
        <v>2175</v>
      </c>
      <c r="D155" s="250">
        <v>68</v>
      </c>
      <c r="E155" s="254" t="s">
        <v>47</v>
      </c>
      <c r="F155" s="6" t="s">
        <v>51</v>
      </c>
      <c r="G155" s="255">
        <v>2640</v>
      </c>
      <c r="H155">
        <v>300</v>
      </c>
      <c r="I155">
        <v>50</v>
      </c>
      <c r="J155">
        <v>17.834643200000002</v>
      </c>
      <c r="K155">
        <v>1.2127557376000002</v>
      </c>
      <c r="L155">
        <v>120</v>
      </c>
      <c r="M155">
        <v>15</v>
      </c>
      <c r="N155">
        <v>17.702369607637984</v>
      </c>
      <c r="O155">
        <v>1.2037611333193829</v>
      </c>
      <c r="P155" s="139">
        <v>46174</v>
      </c>
      <c r="Q155" s="113"/>
    </row>
    <row r="156" spans="2:17" customFormat="1">
      <c r="B156" s="256">
        <v>399</v>
      </c>
      <c r="C156" s="6">
        <v>2175</v>
      </c>
      <c r="D156" s="250">
        <v>68</v>
      </c>
      <c r="E156" s="254" t="s">
        <v>47</v>
      </c>
      <c r="F156" s="6" t="s">
        <v>51</v>
      </c>
      <c r="G156" s="255">
        <v>2690</v>
      </c>
      <c r="H156">
        <v>300</v>
      </c>
      <c r="I156">
        <v>30</v>
      </c>
      <c r="J156">
        <v>18.167993200000002</v>
      </c>
      <c r="K156">
        <v>1.2354235376000002</v>
      </c>
      <c r="L156">
        <v>120</v>
      </c>
      <c r="M156">
        <v>15</v>
      </c>
      <c r="N156">
        <v>18.033247262017191</v>
      </c>
      <c r="O156">
        <v>1.2262608138171691</v>
      </c>
      <c r="P156" s="139">
        <v>46174</v>
      </c>
      <c r="Q156" s="113"/>
    </row>
    <row r="157" spans="2:17" customFormat="1">
      <c r="B157" s="256">
        <v>399</v>
      </c>
      <c r="C157" s="6">
        <v>2175</v>
      </c>
      <c r="D157" s="250">
        <v>68</v>
      </c>
      <c r="E157" s="254" t="s">
        <v>47</v>
      </c>
      <c r="F157" s="6" t="s">
        <v>51</v>
      </c>
      <c r="G157" s="7">
        <v>2740</v>
      </c>
      <c r="H157">
        <v>300</v>
      </c>
      <c r="I157">
        <v>20</v>
      </c>
      <c r="J157">
        <v>18.501343200000004</v>
      </c>
      <c r="K157">
        <v>1.2580913376000005</v>
      </c>
      <c r="L157">
        <v>120</v>
      </c>
      <c r="M157">
        <v>15</v>
      </c>
      <c r="N157">
        <v>18.364124916396403</v>
      </c>
      <c r="O157">
        <v>1.2487604943149553</v>
      </c>
      <c r="P157" s="139">
        <v>46174</v>
      </c>
      <c r="Q157" s="113"/>
    </row>
    <row r="158" spans="2:17" customFormat="1">
      <c r="B158" s="256">
        <v>399</v>
      </c>
      <c r="C158" s="6">
        <v>2175</v>
      </c>
      <c r="D158" s="250">
        <v>68</v>
      </c>
      <c r="E158" s="254" t="s">
        <v>47</v>
      </c>
      <c r="F158" s="6" t="s">
        <v>51</v>
      </c>
      <c r="G158" s="7">
        <v>2820</v>
      </c>
      <c r="H158">
        <v>300</v>
      </c>
      <c r="I158">
        <v>10</v>
      </c>
      <c r="J158">
        <v>19.034703199999999</v>
      </c>
      <c r="K158">
        <v>1.2943598176</v>
      </c>
      <c r="L158">
        <v>120</v>
      </c>
      <c r="M158">
        <v>15</v>
      </c>
      <c r="N158">
        <v>18.893529163403134</v>
      </c>
      <c r="O158">
        <v>1.2847599831114132</v>
      </c>
      <c r="P158" s="139">
        <v>46174</v>
      </c>
      <c r="Q158" s="113"/>
    </row>
    <row r="159" spans="2:17" customFormat="1">
      <c r="B159" s="256">
        <v>399</v>
      </c>
      <c r="C159" s="6" t="s">
        <v>472</v>
      </c>
      <c r="Q159" s="113"/>
    </row>
    <row r="160" spans="2:17" customFormat="1">
      <c r="B160" s="256">
        <v>399</v>
      </c>
      <c r="C160" s="6">
        <v>1550</v>
      </c>
      <c r="D160" s="250">
        <v>67</v>
      </c>
      <c r="E160" s="253" t="s">
        <v>1</v>
      </c>
      <c r="F160" s="252" t="s">
        <v>46</v>
      </c>
      <c r="G160" s="7">
        <v>17581</v>
      </c>
      <c r="H160" t="s">
        <v>472</v>
      </c>
      <c r="I160">
        <v>50</v>
      </c>
      <c r="J160">
        <v>17.780999999999999</v>
      </c>
      <c r="K160">
        <v>1.1913269999999998</v>
      </c>
      <c r="L160">
        <v>0</v>
      </c>
      <c r="M160">
        <v>-45</v>
      </c>
      <c r="N160">
        <v>18.18256904213602</v>
      </c>
      <c r="O160">
        <v>1.2182321258231132</v>
      </c>
      <c r="P160" s="139">
        <v>46174</v>
      </c>
      <c r="Q160" s="113"/>
    </row>
    <row r="161" spans="2:17" customFormat="1">
      <c r="B161" s="256">
        <v>399</v>
      </c>
      <c r="C161" s="6">
        <v>1330</v>
      </c>
      <c r="D161" s="250">
        <v>67</v>
      </c>
      <c r="E161" s="253" t="s">
        <v>1</v>
      </c>
      <c r="F161" s="252" t="s">
        <v>46</v>
      </c>
      <c r="G161" s="7">
        <v>17581</v>
      </c>
      <c r="H161" t="s">
        <v>472</v>
      </c>
      <c r="I161">
        <v>50</v>
      </c>
      <c r="J161">
        <v>17.780999999999999</v>
      </c>
      <c r="K161">
        <v>1.1913269999999998</v>
      </c>
      <c r="L161">
        <v>0</v>
      </c>
      <c r="M161">
        <v>-45</v>
      </c>
      <c r="N161">
        <v>18.18256904213602</v>
      </c>
      <c r="O161">
        <v>1.2182321258231132</v>
      </c>
      <c r="P161" s="139">
        <v>46174</v>
      </c>
      <c r="Q161" s="113"/>
    </row>
    <row r="162" spans="2:17" customFormat="1">
      <c r="B162" s="256">
        <v>408</v>
      </c>
      <c r="C162" s="6">
        <v>1870</v>
      </c>
      <c r="D162" s="250">
        <v>65</v>
      </c>
      <c r="E162" s="253" t="s">
        <v>108</v>
      </c>
      <c r="F162" s="6" t="s">
        <v>51</v>
      </c>
      <c r="G162" s="7">
        <v>2360</v>
      </c>
      <c r="H162">
        <v>500</v>
      </c>
      <c r="I162">
        <v>50</v>
      </c>
      <c r="J162">
        <v>15.967883199999999</v>
      </c>
      <c r="K162">
        <v>1.037912408</v>
      </c>
      <c r="L162">
        <v>30</v>
      </c>
      <c r="M162">
        <v>-75</v>
      </c>
      <c r="N162">
        <v>16.573432080415913</v>
      </c>
      <c r="O162">
        <v>1.0772730852270342</v>
      </c>
      <c r="P162" s="139">
        <v>46174</v>
      </c>
      <c r="Q162" s="113"/>
    </row>
    <row r="163" spans="2:17" customFormat="1">
      <c r="B163" s="256">
        <v>408</v>
      </c>
      <c r="C163" s="6">
        <v>1870</v>
      </c>
      <c r="D163" s="250">
        <v>65</v>
      </c>
      <c r="E163" s="253" t="s">
        <v>108</v>
      </c>
      <c r="F163" s="6" t="s">
        <v>51</v>
      </c>
      <c r="G163" s="7">
        <v>2390</v>
      </c>
      <c r="H163">
        <v>500</v>
      </c>
      <c r="I163">
        <v>20</v>
      </c>
      <c r="J163">
        <v>16.167893199999998</v>
      </c>
      <c r="K163">
        <v>1.0509130579999999</v>
      </c>
      <c r="L163">
        <v>30</v>
      </c>
      <c r="M163">
        <v>-75</v>
      </c>
      <c r="N163">
        <v>16.781027045188949</v>
      </c>
      <c r="O163">
        <v>1.0907667579372817</v>
      </c>
      <c r="P163" s="139">
        <v>46174</v>
      </c>
      <c r="Q163" s="113"/>
    </row>
    <row r="164" spans="2:17" customFormat="1">
      <c r="B164" s="256">
        <v>408</v>
      </c>
      <c r="C164" s="6">
        <v>1870</v>
      </c>
      <c r="D164" s="250">
        <v>65</v>
      </c>
      <c r="E164" s="253" t="s">
        <v>108</v>
      </c>
      <c r="F164" s="6" t="s">
        <v>51</v>
      </c>
      <c r="G164" s="7">
        <v>2340</v>
      </c>
      <c r="H164">
        <v>500</v>
      </c>
      <c r="I164">
        <v>80</v>
      </c>
      <c r="J164">
        <v>15.834543199999999</v>
      </c>
      <c r="K164">
        <v>1.0292453079999999</v>
      </c>
      <c r="L164">
        <v>30</v>
      </c>
      <c r="M164">
        <v>-75</v>
      </c>
      <c r="N164">
        <v>16.435035437233886</v>
      </c>
      <c r="O164">
        <v>1.0682773034202024</v>
      </c>
      <c r="P164" s="139">
        <v>46174</v>
      </c>
      <c r="Q164" s="113"/>
    </row>
    <row r="165" spans="2:17" customFormat="1">
      <c r="B165" s="256">
        <v>483</v>
      </c>
      <c r="C165" s="6">
        <v>1870</v>
      </c>
      <c r="D165" s="250">
        <v>68</v>
      </c>
      <c r="E165" s="254" t="s">
        <v>3</v>
      </c>
      <c r="F165" s="252" t="s">
        <v>267</v>
      </c>
      <c r="G165" s="7">
        <v>12000</v>
      </c>
      <c r="H165" s="110">
        <v>3300</v>
      </c>
      <c r="I165" s="6">
        <v>100</v>
      </c>
      <c r="J165">
        <v>11.471579999999999</v>
      </c>
      <c r="K165">
        <v>0.78006743999999995</v>
      </c>
      <c r="L165">
        <v>90</v>
      </c>
      <c r="M165">
        <v>-30</v>
      </c>
      <c r="N165">
        <v>11.643653699999998</v>
      </c>
      <c r="O165">
        <v>0.79176845159999987</v>
      </c>
      <c r="P165" s="139">
        <v>46023</v>
      </c>
      <c r="Q165" s="113"/>
    </row>
    <row r="166" spans="2:17" customFormat="1">
      <c r="B166" s="256">
        <v>483</v>
      </c>
      <c r="C166" s="6">
        <v>1870</v>
      </c>
      <c r="D166" s="250">
        <v>68</v>
      </c>
      <c r="E166" s="254" t="s">
        <v>3</v>
      </c>
      <c r="F166" s="252" t="s">
        <v>267</v>
      </c>
      <c r="G166" s="7">
        <v>12000</v>
      </c>
      <c r="H166" s="110">
        <v>3300</v>
      </c>
      <c r="I166" s="6">
        <v>100</v>
      </c>
      <c r="J166">
        <v>11.471579999999999</v>
      </c>
      <c r="K166">
        <v>0.78006743999999995</v>
      </c>
      <c r="L166">
        <v>90</v>
      </c>
      <c r="M166">
        <v>-30</v>
      </c>
      <c r="N166">
        <v>11.643653699999998</v>
      </c>
      <c r="O166">
        <v>0.79176845159999987</v>
      </c>
      <c r="P166" s="139">
        <v>46174</v>
      </c>
      <c r="Q166" s="113"/>
    </row>
    <row r="167" spans="2:17" customFormat="1">
      <c r="B167" s="256">
        <v>483</v>
      </c>
      <c r="C167" s="6">
        <v>1870</v>
      </c>
      <c r="D167" s="250">
        <v>68</v>
      </c>
      <c r="E167" s="254" t="s">
        <v>3</v>
      </c>
      <c r="F167" s="252" t="s">
        <v>51</v>
      </c>
      <c r="G167" s="255">
        <v>1650</v>
      </c>
      <c r="H167" s="110">
        <v>400</v>
      </c>
      <c r="I167" s="6">
        <v>150</v>
      </c>
      <c r="J167">
        <v>12.309479999999999</v>
      </c>
      <c r="K167">
        <v>0.83704464000000001</v>
      </c>
      <c r="L167">
        <v>90</v>
      </c>
      <c r="M167">
        <v>-30</v>
      </c>
      <c r="N167">
        <v>12.494122199999998</v>
      </c>
      <c r="O167">
        <v>0.84960030959999977</v>
      </c>
      <c r="P167" s="139">
        <v>45444</v>
      </c>
      <c r="Q167" s="113"/>
    </row>
    <row r="168" spans="2:17" customFormat="1">
      <c r="B168" s="256">
        <v>483</v>
      </c>
      <c r="C168" s="6">
        <v>1870</v>
      </c>
      <c r="D168" s="250">
        <v>68</v>
      </c>
      <c r="E168" s="254" t="s">
        <v>3</v>
      </c>
      <c r="F168" s="252" t="s">
        <v>51</v>
      </c>
      <c r="G168" s="255">
        <v>1800</v>
      </c>
      <c r="H168" s="7">
        <v>400</v>
      </c>
      <c r="I168" s="6">
        <v>100</v>
      </c>
      <c r="J168">
        <v>13.318380000000001</v>
      </c>
      <c r="K168">
        <v>0.90564984000000004</v>
      </c>
      <c r="L168">
        <v>90</v>
      </c>
      <c r="M168">
        <v>-30</v>
      </c>
      <c r="N168">
        <v>13.518155699999999</v>
      </c>
      <c r="O168">
        <v>0.91923458759999999</v>
      </c>
      <c r="P168" s="139">
        <v>45323</v>
      </c>
      <c r="Q168" s="113"/>
    </row>
    <row r="169" spans="2:17" customFormat="1">
      <c r="B169" s="256">
        <v>483</v>
      </c>
      <c r="C169" s="6">
        <v>1870</v>
      </c>
      <c r="D169" s="250">
        <v>68</v>
      </c>
      <c r="E169" s="254" t="s">
        <v>2</v>
      </c>
      <c r="F169" t="s">
        <v>51</v>
      </c>
      <c r="G169" s="7">
        <v>1770</v>
      </c>
      <c r="H169" t="s">
        <v>472</v>
      </c>
      <c r="I169">
        <v>200</v>
      </c>
      <c r="J169">
        <v>11.857353200000002</v>
      </c>
      <c r="K169">
        <v>0.80630001760000014</v>
      </c>
      <c r="L169">
        <v>120</v>
      </c>
      <c r="M169">
        <v>15</v>
      </c>
      <c r="N169">
        <v>11.76941117132688</v>
      </c>
      <c r="O169">
        <v>0.80031995965022784</v>
      </c>
      <c r="P169" s="139">
        <v>46174</v>
      </c>
      <c r="Q169" s="113"/>
    </row>
    <row r="170" spans="2:17" customFormat="1">
      <c r="B170" s="256">
        <v>483</v>
      </c>
      <c r="C170" s="6">
        <v>1870</v>
      </c>
      <c r="D170" s="250">
        <v>68</v>
      </c>
      <c r="E170" s="253" t="s">
        <v>108</v>
      </c>
      <c r="F170" s="6" t="s">
        <v>51</v>
      </c>
      <c r="G170" s="7">
        <v>2020</v>
      </c>
      <c r="H170">
        <v>500</v>
      </c>
      <c r="I170">
        <v>80</v>
      </c>
      <c r="J170">
        <v>13.701103200000002</v>
      </c>
      <c r="K170">
        <v>0.93167501760000015</v>
      </c>
      <c r="L170">
        <v>30</v>
      </c>
      <c r="M170">
        <v>-75</v>
      </c>
      <c r="N170">
        <v>14.220689146321483</v>
      </c>
      <c r="O170">
        <v>0.96700686194986085</v>
      </c>
      <c r="P170" s="139">
        <v>46174</v>
      </c>
      <c r="Q170" s="113"/>
    </row>
    <row r="171" spans="2:17" customFormat="1">
      <c r="B171" s="256">
        <v>483</v>
      </c>
      <c r="C171" s="6">
        <v>1870</v>
      </c>
      <c r="D171" s="250">
        <v>68</v>
      </c>
      <c r="E171" s="253" t="s">
        <v>108</v>
      </c>
      <c r="F171" s="6" t="s">
        <v>51</v>
      </c>
      <c r="G171" s="7">
        <v>2040</v>
      </c>
      <c r="H171">
        <v>500</v>
      </c>
      <c r="I171">
        <v>50</v>
      </c>
      <c r="J171">
        <v>13.834443200000003</v>
      </c>
      <c r="K171">
        <v>0.94074213760000014</v>
      </c>
      <c r="L171">
        <v>30</v>
      </c>
      <c r="M171">
        <v>-75</v>
      </c>
      <c r="N171">
        <v>14.359085789503508</v>
      </c>
      <c r="O171">
        <v>0.97641783368623858</v>
      </c>
      <c r="P171" s="139">
        <v>46174</v>
      </c>
      <c r="Q171" s="113"/>
    </row>
    <row r="172" spans="2:17" customFormat="1">
      <c r="B172" s="256">
        <v>483</v>
      </c>
      <c r="C172" s="6">
        <v>1870</v>
      </c>
      <c r="D172" s="250">
        <v>68</v>
      </c>
      <c r="E172" s="253" t="s">
        <v>108</v>
      </c>
      <c r="F172" s="6" t="s">
        <v>51</v>
      </c>
      <c r="G172" s="7">
        <v>2070</v>
      </c>
      <c r="H172">
        <v>500</v>
      </c>
      <c r="I172">
        <v>20</v>
      </c>
      <c r="J172">
        <v>14.0344532</v>
      </c>
      <c r="K172">
        <v>0.95434281759999995</v>
      </c>
      <c r="L172">
        <v>30</v>
      </c>
      <c r="M172">
        <v>-75</v>
      </c>
      <c r="N172">
        <v>14.566680754276543</v>
      </c>
      <c r="O172">
        <v>0.99053429129080484</v>
      </c>
      <c r="P172" s="139">
        <v>46174</v>
      </c>
      <c r="Q172" s="113"/>
    </row>
    <row r="173" spans="2:17" customFormat="1">
      <c r="B173" s="256">
        <v>483</v>
      </c>
      <c r="C173" s="6">
        <v>1870</v>
      </c>
      <c r="D173" s="250">
        <v>68</v>
      </c>
      <c r="E173" s="253" t="s">
        <v>0</v>
      </c>
      <c r="F173" s="252" t="s">
        <v>267</v>
      </c>
      <c r="G173" s="7">
        <v>11900</v>
      </c>
      <c r="H173" s="110">
        <v>3300</v>
      </c>
      <c r="I173" s="6">
        <v>100</v>
      </c>
      <c r="J173">
        <v>11.386080000000002</v>
      </c>
      <c r="K173">
        <v>0.77425344000000007</v>
      </c>
      <c r="L173">
        <v>90</v>
      </c>
      <c r="M173">
        <v>-30</v>
      </c>
      <c r="N173">
        <v>11.5568712</v>
      </c>
      <c r="O173">
        <v>0.78586724159999988</v>
      </c>
      <c r="P173" s="139">
        <v>46023</v>
      </c>
      <c r="Q173" s="113"/>
    </row>
    <row r="174" spans="2:17" customFormat="1">
      <c r="B174" s="256">
        <v>483</v>
      </c>
      <c r="C174" s="6">
        <v>1870</v>
      </c>
      <c r="D174" s="250">
        <v>68</v>
      </c>
      <c r="E174" s="253" t="s">
        <v>0</v>
      </c>
      <c r="F174" s="252" t="s">
        <v>51</v>
      </c>
      <c r="G174" s="255">
        <v>1600</v>
      </c>
      <c r="H174" s="110">
        <v>400</v>
      </c>
      <c r="I174">
        <v>100</v>
      </c>
      <c r="J174">
        <v>11.973180000000001</v>
      </c>
      <c r="K174">
        <v>0.81417624000000011</v>
      </c>
      <c r="L174">
        <v>90</v>
      </c>
      <c r="M174">
        <v>-30</v>
      </c>
      <c r="N174">
        <v>12.1527777</v>
      </c>
      <c r="O174">
        <v>0.82638888359999996</v>
      </c>
      <c r="P174" s="139">
        <v>45717</v>
      </c>
      <c r="Q174" s="113"/>
    </row>
    <row r="175" spans="2:17" customFormat="1">
      <c r="B175" s="256">
        <v>483</v>
      </c>
      <c r="C175" s="6">
        <v>1870</v>
      </c>
      <c r="D175" s="1">
        <v>70</v>
      </c>
      <c r="E175" s="27" t="s">
        <v>67</v>
      </c>
      <c r="F175" s="6" t="s">
        <v>51</v>
      </c>
      <c r="G175" s="7">
        <v>1750</v>
      </c>
      <c r="H175" s="6" t="s">
        <v>472</v>
      </c>
      <c r="I175" s="6">
        <v>300</v>
      </c>
      <c r="J175">
        <v>11.901013200000001</v>
      </c>
      <c r="K175">
        <v>0.83307092400000005</v>
      </c>
      <c r="L175">
        <v>90</v>
      </c>
      <c r="M175">
        <v>-15</v>
      </c>
      <c r="N175">
        <v>11.989938570083371</v>
      </c>
      <c r="O175">
        <v>0.83929569990583597</v>
      </c>
      <c r="P175" s="139">
        <v>46023</v>
      </c>
      <c r="Q175" s="113"/>
    </row>
    <row r="176" spans="2:17" customFormat="1">
      <c r="B176" s="256">
        <v>483</v>
      </c>
      <c r="C176" s="6">
        <v>1870</v>
      </c>
      <c r="D176" s="1">
        <v>70</v>
      </c>
      <c r="E176" s="27" t="s">
        <v>67</v>
      </c>
      <c r="F176" s="6" t="s">
        <v>51</v>
      </c>
      <c r="G176" s="7">
        <v>1850</v>
      </c>
      <c r="H176" t="s">
        <v>472</v>
      </c>
      <c r="I176">
        <v>300</v>
      </c>
      <c r="J176">
        <v>12.567713200000002</v>
      </c>
      <c r="K176">
        <v>0.87973992400000012</v>
      </c>
      <c r="L176">
        <v>90</v>
      </c>
      <c r="M176">
        <v>-15</v>
      </c>
      <c r="N176">
        <v>12.661620208473169</v>
      </c>
      <c r="O176">
        <v>0.88631341459312185</v>
      </c>
      <c r="P176" s="139">
        <v>46174</v>
      </c>
      <c r="Q176" s="113"/>
    </row>
    <row r="177" spans="2:17" customFormat="1">
      <c r="B177" s="256">
        <v>483</v>
      </c>
      <c r="C177" s="6">
        <v>1870</v>
      </c>
      <c r="D177" s="1">
        <v>70</v>
      </c>
      <c r="E177" s="27" t="s">
        <v>67</v>
      </c>
      <c r="F177" s="6" t="s">
        <v>51</v>
      </c>
      <c r="G177" s="7">
        <v>1900</v>
      </c>
      <c r="H177" t="s">
        <v>472</v>
      </c>
      <c r="I177" s="6">
        <v>100</v>
      </c>
      <c r="J177">
        <v>12.901063200000001</v>
      </c>
      <c r="K177">
        <v>0.90307442400000015</v>
      </c>
      <c r="L177">
        <v>90</v>
      </c>
      <c r="M177">
        <v>-15</v>
      </c>
      <c r="N177">
        <v>12.997461027668065</v>
      </c>
      <c r="O177">
        <v>0.90982227193676446</v>
      </c>
      <c r="P177" s="139">
        <v>46023</v>
      </c>
      <c r="Q177" s="113"/>
    </row>
    <row r="178" spans="2:17" customFormat="1">
      <c r="B178" s="256">
        <v>483</v>
      </c>
      <c r="C178" s="6">
        <v>1870</v>
      </c>
      <c r="D178" s="1">
        <v>70</v>
      </c>
      <c r="E178" s="27" t="s">
        <v>67</v>
      </c>
      <c r="F178" s="6" t="s">
        <v>51</v>
      </c>
      <c r="G178" s="7">
        <v>2050</v>
      </c>
      <c r="H178" t="s">
        <v>472</v>
      </c>
      <c r="I178" s="6">
        <v>50</v>
      </c>
      <c r="J178">
        <v>13.901113199999999</v>
      </c>
      <c r="K178">
        <v>0.97307792399999993</v>
      </c>
      <c r="L178">
        <v>90</v>
      </c>
      <c r="M178">
        <v>-15</v>
      </c>
      <c r="N178">
        <v>14.004983485252756</v>
      </c>
      <c r="O178">
        <v>0.98034884396769295</v>
      </c>
      <c r="P178" s="139">
        <v>46023</v>
      </c>
      <c r="Q178" s="113"/>
    </row>
    <row r="179" spans="2:17" customFormat="1">
      <c r="B179" s="256">
        <v>483</v>
      </c>
      <c r="C179" s="6">
        <v>1870</v>
      </c>
      <c r="D179" s="1">
        <v>70</v>
      </c>
      <c r="E179" s="27" t="s">
        <v>67</v>
      </c>
      <c r="F179" s="6" t="s">
        <v>51</v>
      </c>
      <c r="G179" s="7">
        <v>2220</v>
      </c>
      <c r="H179" t="s">
        <v>472</v>
      </c>
      <c r="I179">
        <v>50</v>
      </c>
      <c r="J179">
        <v>15.034503200000003</v>
      </c>
      <c r="K179">
        <v>1.0524152240000002</v>
      </c>
      <c r="L179">
        <v>90</v>
      </c>
      <c r="M179">
        <v>-15</v>
      </c>
      <c r="N179">
        <v>15.146842270515412</v>
      </c>
      <c r="O179">
        <v>1.0602789589360788</v>
      </c>
      <c r="P179" s="139">
        <v>46174</v>
      </c>
      <c r="Q179" s="113"/>
    </row>
    <row r="180" spans="2:17" customFormat="1">
      <c r="B180" s="256">
        <v>483</v>
      </c>
      <c r="C180" s="6">
        <v>1870</v>
      </c>
      <c r="D180" s="1">
        <v>70</v>
      </c>
      <c r="E180" s="27" t="s">
        <v>67</v>
      </c>
      <c r="F180" s="6" t="s">
        <v>51</v>
      </c>
      <c r="G180" s="7">
        <v>2350</v>
      </c>
      <c r="H180" t="s">
        <v>472</v>
      </c>
      <c r="I180" s="6">
        <v>25</v>
      </c>
      <c r="J180">
        <v>15.901213200000003</v>
      </c>
      <c r="K180">
        <v>1.1130849240000003</v>
      </c>
      <c r="L180">
        <v>90</v>
      </c>
      <c r="M180">
        <v>-15</v>
      </c>
      <c r="N180">
        <v>16.020028400422145</v>
      </c>
      <c r="O180">
        <v>1.1214019880295503</v>
      </c>
      <c r="P180" s="139">
        <v>46023</v>
      </c>
      <c r="Q180" s="113"/>
    </row>
    <row r="181" spans="2:17" customFormat="1">
      <c r="B181" s="256">
        <v>483</v>
      </c>
      <c r="C181" s="6">
        <v>1870</v>
      </c>
      <c r="D181" s="1">
        <v>70</v>
      </c>
      <c r="E181" s="27" t="s">
        <v>67</v>
      </c>
      <c r="F181" s="6" t="s">
        <v>51</v>
      </c>
      <c r="G181" s="7">
        <v>2590</v>
      </c>
      <c r="H181" t="s">
        <v>472</v>
      </c>
      <c r="I181">
        <v>25</v>
      </c>
      <c r="J181">
        <v>17.501293199999999</v>
      </c>
      <c r="K181">
        <v>1.2250905240000001</v>
      </c>
      <c r="L181">
        <v>90</v>
      </c>
      <c r="M181">
        <v>-15</v>
      </c>
      <c r="N181">
        <v>17.632064332557654</v>
      </c>
      <c r="O181">
        <v>1.2342445032790359</v>
      </c>
      <c r="P181" s="139">
        <v>46174</v>
      </c>
      <c r="Q181" s="113"/>
    </row>
    <row r="182" spans="2:17" customFormat="1">
      <c r="B182" s="256">
        <v>483</v>
      </c>
      <c r="C182" s="6">
        <v>1870</v>
      </c>
      <c r="D182" s="1">
        <v>70</v>
      </c>
      <c r="E182" s="27" t="s">
        <v>67</v>
      </c>
      <c r="F182" s="6" t="s">
        <v>51</v>
      </c>
      <c r="G182" s="7">
        <v>2040</v>
      </c>
      <c r="H182" t="s">
        <v>472</v>
      </c>
      <c r="I182">
        <v>150</v>
      </c>
      <c r="J182">
        <v>13.834443200000003</v>
      </c>
      <c r="K182">
        <v>0.96841102400000023</v>
      </c>
      <c r="L182">
        <v>90</v>
      </c>
      <c r="M182">
        <v>-15</v>
      </c>
      <c r="N182">
        <v>13.93781532141378</v>
      </c>
      <c r="O182">
        <v>0.97564707249896465</v>
      </c>
      <c r="P182" s="139">
        <v>46174</v>
      </c>
      <c r="Q182" s="113"/>
    </row>
    <row r="183" spans="2:17" customFormat="1">
      <c r="B183" s="256">
        <v>483</v>
      </c>
      <c r="C183" s="6">
        <v>1870</v>
      </c>
      <c r="D183" s="1">
        <v>70</v>
      </c>
      <c r="E183" s="27" t="s">
        <v>67</v>
      </c>
      <c r="F183" s="6" t="s">
        <v>51</v>
      </c>
      <c r="G183" s="7">
        <v>2090</v>
      </c>
      <c r="H183" t="s">
        <v>472</v>
      </c>
      <c r="I183">
        <v>100</v>
      </c>
      <c r="J183">
        <v>14.1677932</v>
      </c>
      <c r="K183">
        <v>0.99174552400000004</v>
      </c>
      <c r="L183">
        <v>90</v>
      </c>
      <c r="M183">
        <v>-15</v>
      </c>
      <c r="N183">
        <v>14.273656140608676</v>
      </c>
      <c r="O183">
        <v>0.99915592984260726</v>
      </c>
      <c r="P183" s="139">
        <v>46174</v>
      </c>
      <c r="Q183" s="113"/>
    </row>
    <row r="184" spans="2:17" customFormat="1">
      <c r="B184" s="256">
        <v>483</v>
      </c>
      <c r="C184" s="6">
        <v>1870</v>
      </c>
      <c r="D184" s="1">
        <v>70</v>
      </c>
      <c r="E184" s="27" t="s">
        <v>67</v>
      </c>
      <c r="F184" s="6" t="s">
        <v>51</v>
      </c>
      <c r="G184" s="7">
        <v>1790</v>
      </c>
      <c r="H184" s="28" t="s">
        <v>472</v>
      </c>
      <c r="I184" s="6">
        <v>150</v>
      </c>
      <c r="J184">
        <v>12.167693200000002</v>
      </c>
      <c r="K184">
        <v>0.85173852400000016</v>
      </c>
      <c r="L184">
        <v>90</v>
      </c>
      <c r="M184">
        <v>-15</v>
      </c>
      <c r="N184">
        <v>12.25861122543929</v>
      </c>
      <c r="O184">
        <v>0.85810278578075039</v>
      </c>
      <c r="P184" s="139">
        <v>46023</v>
      </c>
      <c r="Q184" s="113"/>
    </row>
    <row r="185" spans="2:17" customFormat="1">
      <c r="B185" s="256">
        <v>497</v>
      </c>
      <c r="C185" s="6">
        <v>1855</v>
      </c>
      <c r="D185" s="250">
        <v>80</v>
      </c>
      <c r="E185" s="253" t="s">
        <v>1</v>
      </c>
      <c r="F185" s="252" t="s">
        <v>46</v>
      </c>
      <c r="G185" s="7">
        <v>24864</v>
      </c>
      <c r="H185" t="s">
        <v>472</v>
      </c>
      <c r="I185">
        <v>20</v>
      </c>
      <c r="J185">
        <v>25.064</v>
      </c>
      <c r="K185">
        <v>2.0051199999999998</v>
      </c>
      <c r="L185">
        <v>0</v>
      </c>
      <c r="M185">
        <v>-45</v>
      </c>
      <c r="N185">
        <v>25.63004951758041</v>
      </c>
      <c r="O185">
        <v>2.0504039614064329</v>
      </c>
      <c r="P185" s="139">
        <v>46174</v>
      </c>
      <c r="Q185" s="113"/>
    </row>
    <row r="186" spans="2:17" customFormat="1">
      <c r="B186" s="256">
        <v>664</v>
      </c>
      <c r="C186" s="6" t="s">
        <v>472</v>
      </c>
      <c r="Q186" s="113"/>
    </row>
    <row r="187" spans="2:17" customFormat="1">
      <c r="B187" s="256">
        <v>689</v>
      </c>
      <c r="C187" s="6">
        <v>1270</v>
      </c>
      <c r="D187" s="250">
        <v>68</v>
      </c>
      <c r="E187" s="254" t="s">
        <v>3</v>
      </c>
      <c r="F187" s="252" t="s">
        <v>267</v>
      </c>
      <c r="G187" s="7">
        <v>12000</v>
      </c>
      <c r="H187" s="110">
        <v>3300</v>
      </c>
      <c r="I187" s="6">
        <v>100</v>
      </c>
      <c r="J187">
        <v>11.471579999999999</v>
      </c>
      <c r="K187">
        <v>0.78006743999999995</v>
      </c>
      <c r="L187">
        <v>90</v>
      </c>
      <c r="M187">
        <v>-30</v>
      </c>
      <c r="N187">
        <v>11.643653699999998</v>
      </c>
      <c r="O187">
        <v>0.79176845159999987</v>
      </c>
      <c r="P187" s="139">
        <v>46023</v>
      </c>
      <c r="Q187" s="113"/>
    </row>
    <row r="188" spans="2:17" customFormat="1">
      <c r="B188" s="256">
        <v>689</v>
      </c>
      <c r="C188" s="6">
        <v>1270</v>
      </c>
      <c r="D188" s="250">
        <v>68</v>
      </c>
      <c r="E188" s="254" t="s">
        <v>3</v>
      </c>
      <c r="F188" s="252" t="s">
        <v>51</v>
      </c>
      <c r="G188" s="255">
        <v>1650</v>
      </c>
      <c r="H188" s="110">
        <v>400</v>
      </c>
      <c r="I188">
        <v>100</v>
      </c>
      <c r="J188">
        <v>12.309479999999999</v>
      </c>
      <c r="K188">
        <v>0.83704464000000001</v>
      </c>
      <c r="L188">
        <v>90</v>
      </c>
      <c r="M188">
        <v>-30</v>
      </c>
      <c r="N188">
        <v>12.494122199999998</v>
      </c>
      <c r="O188">
        <v>0.84960030959999977</v>
      </c>
      <c r="P188" s="139">
        <v>45444</v>
      </c>
      <c r="Q188" s="113"/>
    </row>
    <row r="189" spans="2:17" customFormat="1">
      <c r="B189" s="256">
        <v>689</v>
      </c>
      <c r="C189" s="6">
        <v>1870</v>
      </c>
      <c r="D189" s="250">
        <v>68</v>
      </c>
      <c r="E189" s="254" t="s">
        <v>3</v>
      </c>
      <c r="F189" s="252" t="s">
        <v>267</v>
      </c>
      <c r="G189" s="7">
        <v>12000</v>
      </c>
      <c r="H189" s="110">
        <v>3300</v>
      </c>
      <c r="I189">
        <v>100</v>
      </c>
      <c r="J189">
        <v>11.471579999999999</v>
      </c>
      <c r="K189">
        <v>0.78006743999999995</v>
      </c>
      <c r="L189">
        <v>90</v>
      </c>
      <c r="M189">
        <v>-30</v>
      </c>
      <c r="N189">
        <v>11.643653699999998</v>
      </c>
      <c r="O189">
        <v>0.79176845159999987</v>
      </c>
      <c r="P189" s="139">
        <v>46023</v>
      </c>
      <c r="Q189" s="113"/>
    </row>
    <row r="190" spans="2:17" customFormat="1">
      <c r="B190" s="256">
        <v>689</v>
      </c>
      <c r="C190" s="6">
        <v>1870</v>
      </c>
      <c r="D190" s="250">
        <v>68</v>
      </c>
      <c r="E190" s="254" t="s">
        <v>3</v>
      </c>
      <c r="F190" s="252" t="s">
        <v>51</v>
      </c>
      <c r="G190" s="255">
        <v>1650</v>
      </c>
      <c r="H190" s="110">
        <v>400</v>
      </c>
      <c r="I190" s="6">
        <v>150</v>
      </c>
      <c r="J190">
        <v>12.309479999999999</v>
      </c>
      <c r="K190">
        <v>0.83704464000000001</v>
      </c>
      <c r="L190">
        <v>90</v>
      </c>
      <c r="M190">
        <v>-30</v>
      </c>
      <c r="N190">
        <v>12.494122199999998</v>
      </c>
      <c r="O190">
        <v>0.84960030959999977</v>
      </c>
      <c r="P190" s="139">
        <v>45444</v>
      </c>
      <c r="Q190" s="113"/>
    </row>
    <row r="191" spans="2:17" customFormat="1">
      <c r="B191" s="256">
        <v>689</v>
      </c>
      <c r="C191" s="6">
        <v>1870</v>
      </c>
      <c r="D191" s="250">
        <v>68</v>
      </c>
      <c r="E191" s="254" t="s">
        <v>3</v>
      </c>
      <c r="F191" s="252" t="s">
        <v>51</v>
      </c>
      <c r="G191" s="255">
        <v>1800</v>
      </c>
      <c r="H191" s="7">
        <v>400</v>
      </c>
      <c r="I191" s="6">
        <v>100</v>
      </c>
      <c r="J191">
        <v>13.318380000000001</v>
      </c>
      <c r="K191">
        <v>0.90564984000000004</v>
      </c>
      <c r="L191">
        <v>90</v>
      </c>
      <c r="M191">
        <v>-30</v>
      </c>
      <c r="N191">
        <v>13.518155699999999</v>
      </c>
      <c r="O191">
        <v>0.91923458759999999</v>
      </c>
      <c r="P191" s="139">
        <v>45323</v>
      </c>
      <c r="Q191" s="113"/>
    </row>
    <row r="192" spans="2:17" customFormat="1">
      <c r="B192" s="256">
        <v>689</v>
      </c>
      <c r="C192" s="6">
        <v>1870</v>
      </c>
      <c r="D192" s="250">
        <v>68</v>
      </c>
      <c r="E192" s="254" t="s">
        <v>2</v>
      </c>
      <c r="F192" t="s">
        <v>51</v>
      </c>
      <c r="G192" s="7">
        <v>1750</v>
      </c>
      <c r="H192" s="110" t="s">
        <v>472</v>
      </c>
      <c r="I192">
        <v>100</v>
      </c>
      <c r="J192">
        <v>11.724013200000002</v>
      </c>
      <c r="K192">
        <v>0.79723289760000005</v>
      </c>
      <c r="L192">
        <v>120</v>
      </c>
      <c r="M192">
        <v>15</v>
      </c>
      <c r="N192">
        <v>11.637060109575197</v>
      </c>
      <c r="O192">
        <v>0.79132008745111337</v>
      </c>
      <c r="P192" s="139">
        <v>46054</v>
      </c>
      <c r="Q192" s="113"/>
    </row>
    <row r="193" spans="2:17" customFormat="1">
      <c r="B193" s="256">
        <v>689</v>
      </c>
      <c r="C193" s="6">
        <v>1870</v>
      </c>
      <c r="D193" s="250">
        <v>68</v>
      </c>
      <c r="E193" s="254" t="s">
        <v>2</v>
      </c>
      <c r="F193" t="s">
        <v>51</v>
      </c>
      <c r="G193" s="7">
        <v>1770</v>
      </c>
      <c r="H193" t="s">
        <v>472</v>
      </c>
      <c r="I193">
        <v>50</v>
      </c>
      <c r="J193">
        <v>11.857353200000002</v>
      </c>
      <c r="K193">
        <v>0.80630001760000014</v>
      </c>
      <c r="L193">
        <v>120</v>
      </c>
      <c r="M193">
        <v>15</v>
      </c>
      <c r="N193">
        <v>11.76941117132688</v>
      </c>
      <c r="O193">
        <v>0.80031995965022784</v>
      </c>
      <c r="P193" s="139">
        <v>46174</v>
      </c>
      <c r="Q193" s="113"/>
    </row>
    <row r="194" spans="2:17" customFormat="1">
      <c r="B194" s="256">
        <v>689</v>
      </c>
      <c r="C194" s="6">
        <v>1870</v>
      </c>
      <c r="D194" s="250">
        <v>68</v>
      </c>
      <c r="E194" s="254" t="s">
        <v>2</v>
      </c>
      <c r="F194" t="s">
        <v>51</v>
      </c>
      <c r="G194" s="7">
        <v>1770</v>
      </c>
      <c r="H194" t="s">
        <v>472</v>
      </c>
      <c r="I194" s="6">
        <v>70</v>
      </c>
      <c r="J194">
        <v>11.857353200000002</v>
      </c>
      <c r="K194">
        <v>0.80630001760000014</v>
      </c>
      <c r="L194">
        <v>120</v>
      </c>
      <c r="M194">
        <v>15</v>
      </c>
      <c r="N194">
        <v>11.76941117132688</v>
      </c>
      <c r="O194">
        <v>0.80031995965022784</v>
      </c>
      <c r="P194" s="139">
        <v>46054</v>
      </c>
      <c r="Q194" s="113"/>
    </row>
    <row r="195" spans="2:17" customFormat="1">
      <c r="B195" s="256">
        <v>689</v>
      </c>
      <c r="C195" s="6">
        <v>1870</v>
      </c>
      <c r="D195" s="250">
        <v>68</v>
      </c>
      <c r="E195" s="254" t="s">
        <v>2</v>
      </c>
      <c r="F195" t="s">
        <v>51</v>
      </c>
      <c r="G195" s="7">
        <v>1800</v>
      </c>
      <c r="H195" t="s">
        <v>472</v>
      </c>
      <c r="I195" s="6">
        <v>50</v>
      </c>
      <c r="J195">
        <v>12.057363200000003</v>
      </c>
      <c r="K195">
        <v>0.81990069760000017</v>
      </c>
      <c r="L195">
        <v>120</v>
      </c>
      <c r="M195">
        <v>15</v>
      </c>
      <c r="N195">
        <v>11.967937763954406</v>
      </c>
      <c r="O195">
        <v>0.81381976794889965</v>
      </c>
      <c r="P195" s="139">
        <v>46054</v>
      </c>
      <c r="Q195" s="113"/>
    </row>
    <row r="196" spans="2:17" customFormat="1">
      <c r="B196" s="256">
        <v>689</v>
      </c>
      <c r="C196" s="6">
        <v>1870</v>
      </c>
      <c r="D196" s="250">
        <v>68</v>
      </c>
      <c r="E196" s="254" t="s">
        <v>2</v>
      </c>
      <c r="F196" t="s">
        <v>51</v>
      </c>
      <c r="G196" s="255">
        <v>1850</v>
      </c>
      <c r="H196" s="7" t="s">
        <v>472</v>
      </c>
      <c r="I196" s="6">
        <v>30</v>
      </c>
      <c r="J196">
        <v>12.390713200000002</v>
      </c>
      <c r="K196">
        <v>0.84256849760000019</v>
      </c>
      <c r="L196">
        <v>120</v>
      </c>
      <c r="M196">
        <v>15</v>
      </c>
      <c r="N196">
        <v>12.298815418333616</v>
      </c>
      <c r="O196">
        <v>0.83631944844668582</v>
      </c>
      <c r="P196" s="139">
        <v>46054</v>
      </c>
      <c r="Q196" s="113"/>
    </row>
    <row r="197" spans="2:17" customFormat="1">
      <c r="B197" s="256">
        <v>689</v>
      </c>
      <c r="C197" s="6">
        <v>1870</v>
      </c>
      <c r="D197" s="250">
        <v>68</v>
      </c>
      <c r="E197" s="253" t="s">
        <v>108</v>
      </c>
      <c r="F197" s="6" t="s">
        <v>51</v>
      </c>
      <c r="G197" s="7">
        <v>1910</v>
      </c>
      <c r="H197">
        <v>500</v>
      </c>
      <c r="I197">
        <v>80</v>
      </c>
      <c r="J197">
        <v>12.9677332</v>
      </c>
      <c r="K197">
        <v>0.88180585759999996</v>
      </c>
      <c r="L197">
        <v>30</v>
      </c>
      <c r="M197">
        <v>-75</v>
      </c>
      <c r="N197">
        <v>13.45950760882034</v>
      </c>
      <c r="O197">
        <v>0.91524651739978313</v>
      </c>
      <c r="P197" s="139">
        <v>46174</v>
      </c>
      <c r="Q197" s="113"/>
    </row>
    <row r="198" spans="2:17" customFormat="1">
      <c r="B198" s="256">
        <v>689</v>
      </c>
      <c r="C198" s="6">
        <v>1870</v>
      </c>
      <c r="D198" s="250">
        <v>68</v>
      </c>
      <c r="E198" s="253" t="s">
        <v>108</v>
      </c>
      <c r="F198" s="6" t="s">
        <v>51</v>
      </c>
      <c r="G198" s="7">
        <v>1930</v>
      </c>
      <c r="H198">
        <v>500</v>
      </c>
      <c r="I198">
        <v>50</v>
      </c>
      <c r="J198">
        <v>13.1010732</v>
      </c>
      <c r="K198">
        <v>0.89087297760000006</v>
      </c>
      <c r="L198">
        <v>30</v>
      </c>
      <c r="M198">
        <v>-75</v>
      </c>
      <c r="N198">
        <v>13.597904252002365</v>
      </c>
      <c r="O198">
        <v>0.92465748913616086</v>
      </c>
      <c r="P198" s="139">
        <v>46174</v>
      </c>
      <c r="Q198" s="113"/>
    </row>
    <row r="199" spans="2:17" customFormat="1">
      <c r="B199" s="256">
        <v>689</v>
      </c>
      <c r="C199" s="6">
        <v>1870</v>
      </c>
      <c r="D199" s="250">
        <v>68</v>
      </c>
      <c r="E199" s="253" t="s">
        <v>108</v>
      </c>
      <c r="F199" s="6" t="s">
        <v>51</v>
      </c>
      <c r="G199" s="7">
        <v>1960</v>
      </c>
      <c r="H199">
        <v>500</v>
      </c>
      <c r="I199">
        <v>20</v>
      </c>
      <c r="J199">
        <v>13.301083200000001</v>
      </c>
      <c r="K199">
        <v>0.90447365760000009</v>
      </c>
      <c r="L199">
        <v>30</v>
      </c>
      <c r="M199">
        <v>-75</v>
      </c>
      <c r="N199">
        <v>13.805499216775406</v>
      </c>
      <c r="O199">
        <v>0.93877394674072756</v>
      </c>
      <c r="P199" s="139">
        <v>46174</v>
      </c>
      <c r="Q199" s="113"/>
    </row>
    <row r="200" spans="2:17" customFormat="1">
      <c r="B200" s="256">
        <v>689</v>
      </c>
      <c r="C200" s="6">
        <v>1870</v>
      </c>
      <c r="D200" s="250">
        <v>68</v>
      </c>
      <c r="E200" s="5" t="s">
        <v>0</v>
      </c>
      <c r="F200" s="6" t="s">
        <v>267</v>
      </c>
      <c r="G200" s="7">
        <v>11900</v>
      </c>
      <c r="H200" s="110">
        <v>3300</v>
      </c>
      <c r="I200" s="6">
        <v>100</v>
      </c>
      <c r="J200">
        <v>11.386080000000002</v>
      </c>
      <c r="K200">
        <v>0.77425344000000007</v>
      </c>
      <c r="L200">
        <v>90</v>
      </c>
      <c r="M200">
        <v>-30</v>
      </c>
      <c r="N200">
        <v>11.5568712</v>
      </c>
      <c r="O200">
        <v>0.78586724159999988</v>
      </c>
      <c r="P200" s="139">
        <v>46023</v>
      </c>
      <c r="Q200" s="113"/>
    </row>
    <row r="201" spans="2:17" customFormat="1">
      <c r="B201" s="256">
        <v>689</v>
      </c>
      <c r="C201" s="6">
        <v>1870</v>
      </c>
      <c r="D201" s="1">
        <v>70</v>
      </c>
      <c r="E201" s="27" t="s">
        <v>67</v>
      </c>
      <c r="F201" s="6" t="s">
        <v>51</v>
      </c>
      <c r="G201" s="7">
        <v>1890</v>
      </c>
      <c r="H201" s="6" t="s">
        <v>472</v>
      </c>
      <c r="I201" s="6">
        <v>50</v>
      </c>
      <c r="J201">
        <v>12.834393199999999</v>
      </c>
      <c r="K201">
        <v>0.8984075239999999</v>
      </c>
      <c r="L201">
        <v>90</v>
      </c>
      <c r="M201">
        <v>-15</v>
      </c>
      <c r="N201">
        <v>12.930292863829084</v>
      </c>
      <c r="O201">
        <v>0.90512050046803594</v>
      </c>
      <c r="P201" s="139">
        <v>46023</v>
      </c>
      <c r="Q201" s="113"/>
    </row>
    <row r="202" spans="2:17" customFormat="1">
      <c r="B202" s="256">
        <v>689</v>
      </c>
      <c r="C202" s="6">
        <v>1870</v>
      </c>
      <c r="D202" s="1">
        <v>70</v>
      </c>
      <c r="E202" s="27" t="s">
        <v>67</v>
      </c>
      <c r="F202" s="6" t="s">
        <v>51</v>
      </c>
      <c r="G202" s="7">
        <v>2350</v>
      </c>
      <c r="H202" t="s">
        <v>472</v>
      </c>
      <c r="I202" s="6">
        <v>25</v>
      </c>
      <c r="J202">
        <v>15.901213200000003</v>
      </c>
      <c r="K202">
        <v>1.1130849240000003</v>
      </c>
      <c r="L202">
        <v>90</v>
      </c>
      <c r="M202">
        <v>-15</v>
      </c>
      <c r="N202">
        <v>16.020028400422145</v>
      </c>
      <c r="O202">
        <v>1.1214019880295503</v>
      </c>
      <c r="P202" s="139">
        <v>46023</v>
      </c>
      <c r="Q202" s="113"/>
    </row>
    <row r="203" spans="2:17" customFormat="1">
      <c r="B203" s="256">
        <v>689</v>
      </c>
      <c r="C203" s="6">
        <v>1870</v>
      </c>
      <c r="D203" s="1">
        <v>70</v>
      </c>
      <c r="E203" s="27" t="s">
        <v>67</v>
      </c>
      <c r="F203" s="6" t="s">
        <v>51</v>
      </c>
      <c r="G203" s="7">
        <v>1790</v>
      </c>
      <c r="H203" s="28" t="s">
        <v>472</v>
      </c>
      <c r="I203" s="6">
        <v>100</v>
      </c>
      <c r="J203">
        <v>12.167693200000002</v>
      </c>
      <c r="K203">
        <v>0.85173852400000016</v>
      </c>
      <c r="L203">
        <v>90</v>
      </c>
      <c r="M203">
        <v>-15</v>
      </c>
      <c r="N203">
        <v>12.25861122543929</v>
      </c>
      <c r="O203">
        <v>0.85810278578075039</v>
      </c>
      <c r="P203" s="139">
        <v>46023</v>
      </c>
      <c r="Q203" s="113"/>
    </row>
    <row r="204" spans="2:17" customFormat="1">
      <c r="B204" s="256">
        <v>689</v>
      </c>
      <c r="C204" s="6">
        <v>2175</v>
      </c>
      <c r="D204" s="250">
        <v>68</v>
      </c>
      <c r="E204" s="254" t="s">
        <v>3</v>
      </c>
      <c r="F204" s="252" t="s">
        <v>267</v>
      </c>
      <c r="G204" s="7">
        <v>12000</v>
      </c>
      <c r="H204" s="110">
        <v>3300</v>
      </c>
      <c r="I204" s="6">
        <v>100</v>
      </c>
      <c r="J204">
        <v>11.471579999999999</v>
      </c>
      <c r="K204">
        <v>0.78006743999999995</v>
      </c>
      <c r="L204">
        <v>90</v>
      </c>
      <c r="M204">
        <v>-30</v>
      </c>
      <c r="N204">
        <v>11.643653699999998</v>
      </c>
      <c r="O204">
        <v>0.79176845159999987</v>
      </c>
      <c r="P204" s="139">
        <v>46023</v>
      </c>
      <c r="Q204" s="113"/>
    </row>
    <row r="205" spans="2:17" customFormat="1">
      <c r="B205" s="256">
        <v>689</v>
      </c>
      <c r="C205" s="6">
        <v>2175</v>
      </c>
      <c r="D205" s="250">
        <v>68</v>
      </c>
      <c r="E205" s="254" t="s">
        <v>3</v>
      </c>
      <c r="F205" s="252" t="s">
        <v>51</v>
      </c>
      <c r="G205" s="255">
        <v>1650</v>
      </c>
      <c r="H205" s="110">
        <v>400</v>
      </c>
      <c r="I205">
        <v>100</v>
      </c>
      <c r="J205">
        <v>12.309479999999999</v>
      </c>
      <c r="K205">
        <v>0.83704464000000001</v>
      </c>
      <c r="L205">
        <v>90</v>
      </c>
      <c r="M205">
        <v>-30</v>
      </c>
      <c r="N205">
        <v>12.494122199999998</v>
      </c>
      <c r="O205">
        <v>0.84960030959999977</v>
      </c>
      <c r="P205" s="139">
        <v>45444</v>
      </c>
      <c r="Q205" s="113"/>
    </row>
    <row r="206" spans="2:17" customFormat="1">
      <c r="B206" s="256">
        <v>689</v>
      </c>
      <c r="C206" s="6" t="s">
        <v>472</v>
      </c>
      <c r="Q206" s="113"/>
    </row>
    <row r="207" spans="2:17" customFormat="1">
      <c r="B207" s="256">
        <v>932</v>
      </c>
      <c r="C207" s="6">
        <v>1855</v>
      </c>
      <c r="D207" s="250">
        <v>80</v>
      </c>
      <c r="E207" s="254" t="s">
        <v>67</v>
      </c>
      <c r="F207" s="6" t="s">
        <v>51</v>
      </c>
      <c r="G207" s="255">
        <v>2450</v>
      </c>
      <c r="H207" s="257" t="s">
        <v>472</v>
      </c>
      <c r="I207" s="252">
        <v>100</v>
      </c>
      <c r="J207">
        <v>16.5679132</v>
      </c>
      <c r="K207">
        <v>1.3254330560000001</v>
      </c>
      <c r="L207">
        <v>90</v>
      </c>
      <c r="M207">
        <v>-15</v>
      </c>
      <c r="N207">
        <v>16.691710038811937</v>
      </c>
      <c r="O207">
        <v>1.3353368031049551</v>
      </c>
      <c r="P207" s="139">
        <v>45536</v>
      </c>
      <c r="Q207" s="113"/>
    </row>
    <row r="208" spans="2:17" customFormat="1">
      <c r="B208" s="256">
        <v>932</v>
      </c>
      <c r="C208" s="6">
        <v>1855</v>
      </c>
      <c r="D208" s="250">
        <v>80</v>
      </c>
      <c r="E208" s="254" t="s">
        <v>67</v>
      </c>
      <c r="F208" s="6" t="s">
        <v>51</v>
      </c>
      <c r="G208" s="255">
        <v>2550</v>
      </c>
      <c r="H208" t="s">
        <v>472</v>
      </c>
      <c r="I208" s="252">
        <v>50</v>
      </c>
      <c r="J208">
        <v>17.234613199999998</v>
      </c>
      <c r="K208">
        <v>1.3787690559999999</v>
      </c>
      <c r="L208">
        <v>90</v>
      </c>
      <c r="M208">
        <v>-15</v>
      </c>
      <c r="N208">
        <v>17.363391677201733</v>
      </c>
      <c r="O208">
        <v>1.3890713341761387</v>
      </c>
      <c r="P208" s="139">
        <v>45536</v>
      </c>
      <c r="Q208" s="113"/>
    </row>
    <row r="209" spans="2:17" customFormat="1">
      <c r="B209" s="256">
        <v>932</v>
      </c>
      <c r="C209" s="6">
        <v>1855</v>
      </c>
      <c r="D209" s="250">
        <v>80</v>
      </c>
      <c r="E209" s="254" t="s">
        <v>67</v>
      </c>
      <c r="F209" s="6" t="s">
        <v>51</v>
      </c>
      <c r="G209" s="255">
        <v>2900</v>
      </c>
      <c r="H209" t="s">
        <v>472</v>
      </c>
      <c r="I209" s="252">
        <v>25</v>
      </c>
      <c r="J209">
        <v>19.568063199999997</v>
      </c>
      <c r="K209">
        <v>1.5654450559999997</v>
      </c>
      <c r="L209">
        <v>90</v>
      </c>
      <c r="M209">
        <v>-15</v>
      </c>
      <c r="N209">
        <v>19.714277411566016</v>
      </c>
      <c r="O209">
        <v>1.5771421929252813</v>
      </c>
      <c r="P209" s="139">
        <v>45536</v>
      </c>
      <c r="Q209" s="113"/>
    </row>
    <row r="210" spans="2:17" customFormat="1">
      <c r="B210" s="256">
        <v>932</v>
      </c>
      <c r="C210" s="6">
        <v>1855</v>
      </c>
      <c r="D210" s="250">
        <v>80</v>
      </c>
      <c r="E210" s="254" t="s">
        <v>67</v>
      </c>
      <c r="F210" s="6" t="s">
        <v>51</v>
      </c>
      <c r="G210" s="255">
        <v>3750</v>
      </c>
      <c r="H210" t="s">
        <v>472</v>
      </c>
      <c r="I210" s="252">
        <v>15</v>
      </c>
      <c r="J210">
        <v>25.235013199999997</v>
      </c>
      <c r="K210">
        <v>2.0188010559999996</v>
      </c>
      <c r="L210">
        <v>90</v>
      </c>
      <c r="M210">
        <v>-15</v>
      </c>
      <c r="N210">
        <v>25.423571337879277</v>
      </c>
      <c r="O210">
        <v>2.0338857070303424</v>
      </c>
      <c r="P210" s="139">
        <v>45536</v>
      </c>
      <c r="Q210" s="113"/>
    </row>
    <row r="211" spans="2:17" customFormat="1">
      <c r="B211" s="256">
        <v>932</v>
      </c>
      <c r="C211" s="6">
        <v>1855</v>
      </c>
      <c r="D211" s="250">
        <v>80</v>
      </c>
      <c r="E211" s="253" t="s">
        <v>1</v>
      </c>
      <c r="F211" s="252" t="s">
        <v>46</v>
      </c>
      <c r="G211" s="7">
        <v>24799</v>
      </c>
      <c r="H211" t="s">
        <v>472</v>
      </c>
      <c r="I211">
        <v>20</v>
      </c>
      <c r="J211">
        <v>24.998999999999999</v>
      </c>
      <c r="K211">
        <v>1.9999199999999999</v>
      </c>
      <c r="L211">
        <v>0</v>
      </c>
      <c r="M211">
        <v>-45</v>
      </c>
      <c r="N211">
        <v>25.563581546839796</v>
      </c>
      <c r="O211">
        <v>2.0450865237471834</v>
      </c>
      <c r="P211" s="139">
        <v>46174</v>
      </c>
      <c r="Q211" s="113"/>
    </row>
    <row r="212" spans="2:17" customFormat="1">
      <c r="B212" s="256">
        <v>932</v>
      </c>
      <c r="C212" s="6" t="s">
        <v>472</v>
      </c>
      <c r="Q212" s="113"/>
    </row>
    <row r="213" spans="2:17" customFormat="1">
      <c r="B213" s="256">
        <v>938</v>
      </c>
      <c r="C213" s="6" t="s">
        <v>472</v>
      </c>
      <c r="Q213" s="113"/>
    </row>
    <row r="214" spans="2:17" customFormat="1">
      <c r="B214" s="256">
        <v>1410</v>
      </c>
      <c r="C214" s="6">
        <v>1860</v>
      </c>
      <c r="D214" s="250">
        <v>68</v>
      </c>
      <c r="E214" s="254" t="s">
        <v>2</v>
      </c>
      <c r="F214" s="252" t="s">
        <v>51</v>
      </c>
      <c r="G214" s="255">
        <v>2410</v>
      </c>
      <c r="H214" t="s">
        <v>472</v>
      </c>
      <c r="I214" s="252">
        <v>100</v>
      </c>
      <c r="J214">
        <v>16.124233199999999</v>
      </c>
      <c r="K214">
        <v>1.0964478575999999</v>
      </c>
      <c r="L214">
        <v>120</v>
      </c>
      <c r="M214">
        <v>15</v>
      </c>
      <c r="N214">
        <v>16.00464514738076</v>
      </c>
      <c r="O214">
        <v>1.0883158700218918</v>
      </c>
      <c r="P214" s="139">
        <v>45261</v>
      </c>
      <c r="Q214" s="6"/>
    </row>
    <row r="215" spans="2:17" customFormat="1">
      <c r="B215" s="256">
        <v>1410</v>
      </c>
      <c r="C215" s="6">
        <v>1860</v>
      </c>
      <c r="D215" s="250">
        <v>68</v>
      </c>
      <c r="E215" s="253" t="s">
        <v>108</v>
      </c>
      <c r="F215" s="6" t="s">
        <v>51</v>
      </c>
      <c r="G215" s="7">
        <v>1790</v>
      </c>
      <c r="H215">
        <v>500</v>
      </c>
      <c r="I215">
        <v>80</v>
      </c>
      <c r="J215">
        <v>12.167693200000002</v>
      </c>
      <c r="K215">
        <v>0.82740313760000017</v>
      </c>
      <c r="L215">
        <v>30</v>
      </c>
      <c r="M215">
        <v>-75</v>
      </c>
      <c r="N215">
        <v>12.629127749728191</v>
      </c>
      <c r="O215">
        <v>0.85878068698151699</v>
      </c>
      <c r="P215" s="139">
        <v>46174</v>
      </c>
      <c r="Q215" s="113"/>
    </row>
    <row r="216" spans="2:17" customFormat="1">
      <c r="B216" s="256">
        <v>1410</v>
      </c>
      <c r="C216" s="6">
        <v>1860</v>
      </c>
      <c r="D216" s="250">
        <v>68</v>
      </c>
      <c r="E216" s="27" t="s">
        <v>468</v>
      </c>
      <c r="F216" t="s">
        <v>51</v>
      </c>
      <c r="G216" s="7">
        <v>1950</v>
      </c>
      <c r="H216" t="s">
        <v>472</v>
      </c>
      <c r="I216">
        <v>100</v>
      </c>
      <c r="J216">
        <v>13.234413200000001</v>
      </c>
      <c r="K216">
        <v>0.89994009760000004</v>
      </c>
      <c r="L216">
        <v>60</v>
      </c>
      <c r="M216">
        <v>-45</v>
      </c>
      <c r="N216">
        <v>13.533301374565903</v>
      </c>
      <c r="O216">
        <v>0.92026449347048145</v>
      </c>
      <c r="P216" s="139">
        <v>46174</v>
      </c>
      <c r="Q216" s="113"/>
    </row>
    <row r="217" spans="2:17" customFormat="1">
      <c r="B217" s="256">
        <v>1410</v>
      </c>
      <c r="C217" s="6">
        <v>1860</v>
      </c>
      <c r="D217" s="250">
        <v>68</v>
      </c>
      <c r="E217" s="27" t="s">
        <v>468</v>
      </c>
      <c r="F217" t="s">
        <v>51</v>
      </c>
      <c r="G217" s="7">
        <v>2000</v>
      </c>
      <c r="H217" t="s">
        <v>472</v>
      </c>
      <c r="I217">
        <v>50</v>
      </c>
      <c r="J217">
        <v>13.567763200000002</v>
      </c>
      <c r="K217">
        <v>0.92260789760000006</v>
      </c>
      <c r="L217">
        <v>60</v>
      </c>
      <c r="M217">
        <v>-45</v>
      </c>
      <c r="N217">
        <v>13.874179806048726</v>
      </c>
      <c r="O217">
        <v>0.94344422681131335</v>
      </c>
      <c r="P217" s="139">
        <v>46174</v>
      </c>
      <c r="Q217" s="113"/>
    </row>
    <row r="218" spans="2:17" customFormat="1">
      <c r="B218" s="256">
        <v>1410</v>
      </c>
      <c r="C218" s="6">
        <v>1860</v>
      </c>
      <c r="D218" s="250">
        <v>68</v>
      </c>
      <c r="E218" s="27" t="s">
        <v>468</v>
      </c>
      <c r="F218" t="s">
        <v>51</v>
      </c>
      <c r="G218" s="7">
        <v>2150</v>
      </c>
      <c r="H218" t="s">
        <v>472</v>
      </c>
      <c r="I218">
        <v>20</v>
      </c>
      <c r="J218">
        <v>14.567813200000002</v>
      </c>
      <c r="K218">
        <v>0.99061129760000011</v>
      </c>
      <c r="L218">
        <v>60</v>
      </c>
      <c r="M218">
        <v>-45</v>
      </c>
      <c r="N218">
        <v>14.896815100497189</v>
      </c>
      <c r="O218">
        <v>1.0129834268338089</v>
      </c>
      <c r="P218" s="139">
        <v>46174</v>
      </c>
      <c r="Q218" s="113"/>
    </row>
    <row r="219" spans="2:17" customFormat="1">
      <c r="B219" s="256">
        <v>1410</v>
      </c>
      <c r="C219" s="6" t="s">
        <v>472</v>
      </c>
      <c r="Q219" s="113"/>
    </row>
    <row r="220" spans="2:17" customFormat="1">
      <c r="B220" s="256">
        <v>1430</v>
      </c>
      <c r="C220" s="6">
        <v>1870</v>
      </c>
      <c r="D220" s="1">
        <v>68</v>
      </c>
      <c r="E220" s="254" t="s">
        <v>2</v>
      </c>
      <c r="F220" t="s">
        <v>51</v>
      </c>
      <c r="G220" s="255">
        <v>2410</v>
      </c>
      <c r="H220" t="s">
        <v>472</v>
      </c>
      <c r="I220" s="252">
        <v>100</v>
      </c>
      <c r="J220">
        <v>16.124233199999999</v>
      </c>
      <c r="K220">
        <v>1.0964478575999999</v>
      </c>
      <c r="L220">
        <v>120</v>
      </c>
      <c r="M220">
        <v>15</v>
      </c>
      <c r="N220">
        <v>16.00464514738076</v>
      </c>
      <c r="O220">
        <v>1.0883158700218918</v>
      </c>
      <c r="P220" s="139">
        <v>45261</v>
      </c>
      <c r="Q220" s="113"/>
    </row>
    <row r="221" spans="2:17" customFormat="1">
      <c r="B221" s="256">
        <v>1430</v>
      </c>
      <c r="C221" s="6">
        <v>1870</v>
      </c>
      <c r="D221" s="1">
        <v>68</v>
      </c>
      <c r="E221" s="253" t="s">
        <v>108</v>
      </c>
      <c r="F221" s="6" t="s">
        <v>51</v>
      </c>
      <c r="G221" s="7">
        <v>1900</v>
      </c>
      <c r="H221">
        <v>500</v>
      </c>
      <c r="I221">
        <v>80</v>
      </c>
      <c r="J221">
        <v>12.901063200000001</v>
      </c>
      <c r="K221">
        <v>0.87727229760000014</v>
      </c>
      <c r="L221">
        <v>30</v>
      </c>
      <c r="M221">
        <v>-75</v>
      </c>
      <c r="N221">
        <v>13.390309287229329</v>
      </c>
      <c r="O221">
        <v>0.91054103153159438</v>
      </c>
      <c r="P221" s="139">
        <v>46174</v>
      </c>
      <c r="Q221" s="113"/>
    </row>
    <row r="222" spans="2:17" customFormat="1">
      <c r="B222" s="256">
        <v>1430</v>
      </c>
      <c r="C222" s="6">
        <v>1870</v>
      </c>
      <c r="D222" s="1">
        <v>68</v>
      </c>
      <c r="E222" s="27" t="s">
        <v>468</v>
      </c>
      <c r="F222" t="s">
        <v>51</v>
      </c>
      <c r="G222" s="7">
        <v>1950</v>
      </c>
      <c r="H222" t="s">
        <v>472</v>
      </c>
      <c r="I222">
        <v>100</v>
      </c>
      <c r="J222">
        <v>13.234413200000001</v>
      </c>
      <c r="K222">
        <v>0.89994009760000004</v>
      </c>
      <c r="L222">
        <v>60</v>
      </c>
      <c r="M222">
        <v>-45</v>
      </c>
      <c r="N222">
        <v>13.533301374565903</v>
      </c>
      <c r="O222">
        <v>0.92026449347048145</v>
      </c>
      <c r="P222" s="139">
        <v>46174</v>
      </c>
      <c r="Q222" s="113"/>
    </row>
    <row r="223" spans="2:17" customFormat="1">
      <c r="B223" s="256">
        <v>1430</v>
      </c>
      <c r="C223" s="6">
        <v>1870</v>
      </c>
      <c r="D223" s="1">
        <v>68</v>
      </c>
      <c r="E223" s="27" t="s">
        <v>468</v>
      </c>
      <c r="F223" t="s">
        <v>51</v>
      </c>
      <c r="G223" s="7">
        <v>2000</v>
      </c>
      <c r="H223" t="s">
        <v>472</v>
      </c>
      <c r="I223">
        <v>50</v>
      </c>
      <c r="J223">
        <v>13.567763200000002</v>
      </c>
      <c r="K223">
        <v>0.92260789760000006</v>
      </c>
      <c r="L223">
        <v>60</v>
      </c>
      <c r="M223">
        <v>-45</v>
      </c>
      <c r="N223">
        <v>13.874179806048726</v>
      </c>
      <c r="O223">
        <v>0.94344422681131335</v>
      </c>
      <c r="P223" s="139">
        <v>46174</v>
      </c>
      <c r="Q223" s="113"/>
    </row>
    <row r="224" spans="2:17" customFormat="1">
      <c r="B224" s="256">
        <v>1430</v>
      </c>
      <c r="C224" s="6">
        <v>1870</v>
      </c>
      <c r="D224" s="1">
        <v>68</v>
      </c>
      <c r="E224" s="27" t="s">
        <v>468</v>
      </c>
      <c r="F224" t="s">
        <v>51</v>
      </c>
      <c r="G224" s="7">
        <v>2570</v>
      </c>
      <c r="H224" t="s">
        <v>472</v>
      </c>
      <c r="I224">
        <v>10</v>
      </c>
      <c r="J224">
        <v>17.367953199999999</v>
      </c>
      <c r="K224">
        <v>1.1810208175999999</v>
      </c>
      <c r="L224">
        <v>60</v>
      </c>
      <c r="M224">
        <v>-45</v>
      </c>
      <c r="N224">
        <v>17.760193924952883</v>
      </c>
      <c r="O224">
        <v>1.2076931868967959</v>
      </c>
      <c r="P224" s="139">
        <v>46174</v>
      </c>
      <c r="Q224" s="113"/>
    </row>
    <row r="225" spans="2:17" customFormat="1">
      <c r="B225" s="256">
        <v>1430</v>
      </c>
      <c r="C225" s="6">
        <v>1870</v>
      </c>
      <c r="D225" s="1">
        <v>68</v>
      </c>
      <c r="E225" s="27" t="s">
        <v>468</v>
      </c>
      <c r="F225" t="s">
        <v>51</v>
      </c>
      <c r="G225" s="7">
        <v>2150</v>
      </c>
      <c r="H225" t="s">
        <v>472</v>
      </c>
      <c r="I225">
        <v>20</v>
      </c>
      <c r="J225">
        <v>14.567813200000002</v>
      </c>
      <c r="K225">
        <v>0.99061129760000011</v>
      </c>
      <c r="L225">
        <v>60</v>
      </c>
      <c r="M225">
        <v>-45</v>
      </c>
      <c r="N225">
        <v>14.896815100497189</v>
      </c>
      <c r="O225">
        <v>1.0129834268338089</v>
      </c>
      <c r="P225" s="139">
        <v>46174</v>
      </c>
      <c r="Q225" s="113"/>
    </row>
    <row r="226" spans="2:17" customFormat="1">
      <c r="B226" s="256">
        <v>1430</v>
      </c>
      <c r="C226" s="6">
        <v>1870</v>
      </c>
      <c r="D226" s="1">
        <v>68</v>
      </c>
      <c r="E226" s="27" t="s">
        <v>468</v>
      </c>
      <c r="F226" t="s">
        <v>51</v>
      </c>
      <c r="G226" s="7">
        <v>3430</v>
      </c>
      <c r="H226" t="s">
        <v>472</v>
      </c>
      <c r="I226">
        <v>5</v>
      </c>
      <c r="J226">
        <v>23.101573200000001</v>
      </c>
      <c r="K226">
        <v>1.5709069776</v>
      </c>
      <c r="L226">
        <v>60</v>
      </c>
      <c r="M226">
        <v>-45</v>
      </c>
      <c r="N226">
        <v>23.623302946457411</v>
      </c>
      <c r="O226">
        <v>1.606384600359104</v>
      </c>
      <c r="P226" s="139">
        <v>46174</v>
      </c>
      <c r="Q226" s="113"/>
    </row>
    <row r="227" spans="2:17" customFormat="1">
      <c r="B227" s="256">
        <v>1430</v>
      </c>
      <c r="C227" s="6" t="s">
        <v>472</v>
      </c>
      <c r="Q227" s="113"/>
    </row>
    <row r="228" spans="2:17" customFormat="1">
      <c r="B228" s="256">
        <v>2638</v>
      </c>
      <c r="C228" s="6">
        <v>1270</v>
      </c>
      <c r="D228" s="250">
        <v>67</v>
      </c>
      <c r="E228" s="253" t="s">
        <v>1</v>
      </c>
      <c r="F228" s="252" t="s">
        <v>46</v>
      </c>
      <c r="G228" s="7">
        <v>18111</v>
      </c>
      <c r="H228" t="s">
        <v>472</v>
      </c>
      <c r="I228">
        <v>50</v>
      </c>
      <c r="J228">
        <v>18.311</v>
      </c>
      <c r="K228">
        <v>1.226837</v>
      </c>
      <c r="L228">
        <v>0</v>
      </c>
      <c r="M228">
        <v>-45</v>
      </c>
      <c r="N228">
        <v>18.724538649713327</v>
      </c>
      <c r="O228">
        <v>1.2545440895307929</v>
      </c>
      <c r="P228" s="139">
        <v>46174</v>
      </c>
      <c r="Q228" s="113"/>
    </row>
    <row r="229" spans="2:17" customFormat="1">
      <c r="B229" s="256">
        <v>2638</v>
      </c>
      <c r="C229" s="6">
        <v>1870</v>
      </c>
      <c r="D229" s="250">
        <v>67</v>
      </c>
      <c r="E229" s="253" t="s">
        <v>1</v>
      </c>
      <c r="F229" s="252" t="s">
        <v>46</v>
      </c>
      <c r="G229" s="7">
        <v>18111</v>
      </c>
      <c r="H229" t="s">
        <v>472</v>
      </c>
      <c r="I229">
        <v>50</v>
      </c>
      <c r="J229">
        <v>18.311</v>
      </c>
      <c r="K229">
        <v>1.226837</v>
      </c>
      <c r="L229">
        <v>0</v>
      </c>
      <c r="M229">
        <v>-45</v>
      </c>
      <c r="N229">
        <v>18.724538649713327</v>
      </c>
      <c r="O229">
        <v>1.2545440895307929</v>
      </c>
      <c r="P229" s="139">
        <v>46174</v>
      </c>
      <c r="Q229" s="113"/>
    </row>
    <row r="230" spans="2:17" customFormat="1">
      <c r="B230" s="256">
        <v>2638</v>
      </c>
      <c r="C230" s="6">
        <v>1870</v>
      </c>
      <c r="D230" s="250">
        <v>68</v>
      </c>
      <c r="E230" s="253" t="s">
        <v>0</v>
      </c>
      <c r="F230" s="252" t="s">
        <v>267</v>
      </c>
      <c r="G230" s="255">
        <v>13900</v>
      </c>
      <c r="H230" s="257">
        <v>3300</v>
      </c>
      <c r="I230" s="252">
        <v>100</v>
      </c>
      <c r="J230">
        <v>13.096080000000001</v>
      </c>
      <c r="K230">
        <v>0.89053344000000012</v>
      </c>
      <c r="L230">
        <v>90</v>
      </c>
      <c r="M230">
        <v>-30</v>
      </c>
      <c r="N230">
        <v>13.292521199999999</v>
      </c>
      <c r="O230">
        <v>0.9038914415999999</v>
      </c>
      <c r="P230" s="139">
        <v>46023</v>
      </c>
      <c r="Q230" s="113"/>
    </row>
    <row r="231" spans="2:17" customFormat="1">
      <c r="B231" s="256">
        <v>2638</v>
      </c>
      <c r="C231" s="6">
        <v>1870</v>
      </c>
      <c r="D231" s="250">
        <v>68</v>
      </c>
      <c r="E231" s="253" t="s">
        <v>0</v>
      </c>
      <c r="F231" s="252" t="s">
        <v>51</v>
      </c>
      <c r="G231" s="255">
        <v>1797</v>
      </c>
      <c r="H231" s="110">
        <v>400</v>
      </c>
      <c r="I231">
        <v>100</v>
      </c>
      <c r="J231">
        <v>13.298202</v>
      </c>
      <c r="K231">
        <v>0.90427773600000005</v>
      </c>
      <c r="L231">
        <v>90</v>
      </c>
      <c r="M231">
        <v>-30</v>
      </c>
      <c r="N231">
        <v>13.497675029999998</v>
      </c>
      <c r="O231">
        <v>0.91784190203999982</v>
      </c>
      <c r="P231" s="139">
        <v>45717</v>
      </c>
      <c r="Q231" s="113"/>
    </row>
    <row r="232" spans="2:17" customFormat="1">
      <c r="B232" s="256">
        <v>2638</v>
      </c>
      <c r="C232" s="6">
        <v>1870</v>
      </c>
      <c r="D232" s="250">
        <v>68</v>
      </c>
      <c r="E232" s="254" t="s">
        <v>47</v>
      </c>
      <c r="F232" s="6" t="s">
        <v>51</v>
      </c>
      <c r="G232" s="255">
        <v>2560</v>
      </c>
      <c r="H232">
        <v>300</v>
      </c>
      <c r="I232">
        <v>50</v>
      </c>
      <c r="J232">
        <v>17.3012832</v>
      </c>
      <c r="K232">
        <v>1.1764872576000001</v>
      </c>
      <c r="L232">
        <v>120</v>
      </c>
      <c r="M232">
        <v>15</v>
      </c>
      <c r="N232">
        <v>17.172965360631245</v>
      </c>
      <c r="O232">
        <v>1.1677616445229246</v>
      </c>
      <c r="P232" s="139">
        <v>46174</v>
      </c>
      <c r="Q232" s="113"/>
    </row>
    <row r="233" spans="2:17" customFormat="1">
      <c r="B233" s="256">
        <v>2638</v>
      </c>
      <c r="C233" s="6">
        <v>1870</v>
      </c>
      <c r="D233" s="250">
        <v>68</v>
      </c>
      <c r="E233" s="254" t="s">
        <v>47</v>
      </c>
      <c r="F233" s="6" t="s">
        <v>51</v>
      </c>
      <c r="G233" s="255">
        <v>2610</v>
      </c>
      <c r="H233">
        <v>300</v>
      </c>
      <c r="I233">
        <v>30</v>
      </c>
      <c r="J233">
        <v>17.6346332</v>
      </c>
      <c r="K233">
        <v>1.1991550576000001</v>
      </c>
      <c r="L233">
        <v>120</v>
      </c>
      <c r="M233">
        <v>15</v>
      </c>
      <c r="N233">
        <v>17.503843015010453</v>
      </c>
      <c r="O233">
        <v>1.1902613250207108</v>
      </c>
      <c r="P233" s="139">
        <v>46174</v>
      </c>
      <c r="Q233" s="113"/>
    </row>
    <row r="234" spans="2:17" customFormat="1">
      <c r="B234" s="256">
        <v>2638</v>
      </c>
      <c r="C234" s="6">
        <v>1870</v>
      </c>
      <c r="D234" s="250">
        <v>68</v>
      </c>
      <c r="E234" s="254" t="s">
        <v>47</v>
      </c>
      <c r="F234" s="6" t="s">
        <v>51</v>
      </c>
      <c r="G234" s="7">
        <v>2660</v>
      </c>
      <c r="H234">
        <v>300</v>
      </c>
      <c r="I234">
        <v>20</v>
      </c>
      <c r="J234">
        <v>17.967983200000003</v>
      </c>
      <c r="K234">
        <v>1.2218228576000001</v>
      </c>
      <c r="L234">
        <v>120</v>
      </c>
      <c r="M234">
        <v>15</v>
      </c>
      <c r="N234">
        <v>17.834720669389668</v>
      </c>
      <c r="O234">
        <v>1.2127610055184974</v>
      </c>
      <c r="P234" s="139">
        <v>46174</v>
      </c>
      <c r="Q234" s="113"/>
    </row>
    <row r="235" spans="2:17" customFormat="1">
      <c r="B235" s="256">
        <v>2638</v>
      </c>
      <c r="C235" s="6">
        <v>1870</v>
      </c>
      <c r="D235" s="250">
        <v>68</v>
      </c>
      <c r="E235" s="254" t="s">
        <v>47</v>
      </c>
      <c r="F235" s="6" t="s">
        <v>51</v>
      </c>
      <c r="G235" s="7">
        <v>2740</v>
      </c>
      <c r="H235">
        <v>300</v>
      </c>
      <c r="I235">
        <v>10</v>
      </c>
      <c r="J235">
        <v>18.501343200000004</v>
      </c>
      <c r="K235">
        <v>1.2580913376000005</v>
      </c>
      <c r="L235">
        <v>120</v>
      </c>
      <c r="M235">
        <v>15</v>
      </c>
      <c r="N235">
        <v>18.364124916396403</v>
      </c>
      <c r="O235">
        <v>1.2487604943149553</v>
      </c>
      <c r="P235" s="139">
        <v>46174</v>
      </c>
      <c r="Q235" s="113"/>
    </row>
    <row r="236" spans="2:17" customFormat="1">
      <c r="B236" s="256">
        <v>2638</v>
      </c>
      <c r="C236" s="6" t="s">
        <v>472</v>
      </c>
      <c r="Q236" s="113"/>
    </row>
    <row r="237" spans="2:17" customFormat="1">
      <c r="B237" s="256">
        <v>2795</v>
      </c>
      <c r="C237" s="6">
        <v>1870</v>
      </c>
      <c r="D237" s="250">
        <v>65</v>
      </c>
      <c r="E237" s="254" t="s">
        <v>47</v>
      </c>
      <c r="F237" s="6" t="s">
        <v>51</v>
      </c>
      <c r="G237" s="7">
        <v>2580</v>
      </c>
      <c r="H237">
        <v>300</v>
      </c>
      <c r="I237">
        <v>50</v>
      </c>
      <c r="J237">
        <v>17.434623200000001</v>
      </c>
      <c r="K237">
        <v>1.1332505080000002</v>
      </c>
      <c r="L237">
        <v>120</v>
      </c>
      <c r="M237">
        <v>15</v>
      </c>
      <c r="N237">
        <v>17.30531642238293</v>
      </c>
      <c r="O237">
        <v>1.1248455674548903</v>
      </c>
      <c r="P237" s="139">
        <v>46174</v>
      </c>
      <c r="Q237" s="113"/>
    </row>
    <row r="238" spans="2:17" customFormat="1">
      <c r="B238" s="256">
        <v>2795</v>
      </c>
      <c r="C238" s="6">
        <v>1870</v>
      </c>
      <c r="D238" s="250">
        <v>65</v>
      </c>
      <c r="E238" s="254" t="s">
        <v>47</v>
      </c>
      <c r="F238" s="6" t="s">
        <v>51</v>
      </c>
      <c r="G238" s="7">
        <v>2630</v>
      </c>
      <c r="H238">
        <v>300</v>
      </c>
      <c r="I238">
        <v>30</v>
      </c>
      <c r="J238">
        <v>17.767973199999997</v>
      </c>
      <c r="K238">
        <v>1.1549182579999997</v>
      </c>
      <c r="L238">
        <v>120</v>
      </c>
      <c r="M238">
        <v>15</v>
      </c>
      <c r="N238">
        <v>17.636194076762134</v>
      </c>
      <c r="O238">
        <v>1.1463526149895389</v>
      </c>
      <c r="P238" s="139">
        <v>46174</v>
      </c>
      <c r="Q238" s="113"/>
    </row>
    <row r="239" spans="2:17" customFormat="1">
      <c r="B239" s="256">
        <v>2795</v>
      </c>
      <c r="C239" s="6">
        <v>1870</v>
      </c>
      <c r="D239" s="250">
        <v>65</v>
      </c>
      <c r="E239" s="254" t="s">
        <v>47</v>
      </c>
      <c r="F239" s="6" t="s">
        <v>51</v>
      </c>
      <c r="G239" s="7">
        <v>2760</v>
      </c>
      <c r="H239">
        <v>300</v>
      </c>
      <c r="I239">
        <v>10</v>
      </c>
      <c r="J239">
        <v>18.634683199999998</v>
      </c>
      <c r="K239">
        <v>1.2112544079999998</v>
      </c>
      <c r="L239">
        <v>120</v>
      </c>
      <c r="M239">
        <v>15</v>
      </c>
      <c r="N239">
        <v>18.49647597814808</v>
      </c>
      <c r="O239">
        <v>1.2022709385796253</v>
      </c>
      <c r="P239" s="139">
        <v>46174</v>
      </c>
      <c r="Q239" s="113"/>
    </row>
    <row r="240" spans="2:17" customFormat="1">
      <c r="B240" s="256">
        <v>2795</v>
      </c>
      <c r="C240" s="6">
        <v>1870</v>
      </c>
      <c r="D240" s="250">
        <v>65</v>
      </c>
      <c r="E240" s="254" t="s">
        <v>47</v>
      </c>
      <c r="F240" s="6" t="s">
        <v>51</v>
      </c>
      <c r="G240" s="7">
        <v>2680</v>
      </c>
      <c r="H240">
        <v>300</v>
      </c>
      <c r="I240">
        <v>20</v>
      </c>
      <c r="J240">
        <v>18.1013232</v>
      </c>
      <c r="K240">
        <v>1.1765860079999999</v>
      </c>
      <c r="L240">
        <v>120</v>
      </c>
      <c r="M240">
        <v>15</v>
      </c>
      <c r="N240">
        <v>17.967071731141345</v>
      </c>
      <c r="O240">
        <v>1.1678596625241875</v>
      </c>
      <c r="P240" s="139">
        <v>46174</v>
      </c>
      <c r="Q240" s="113"/>
    </row>
    <row r="241" spans="2:17" customFormat="1">
      <c r="B241" s="256">
        <v>2795</v>
      </c>
      <c r="C241" s="6">
        <v>1870</v>
      </c>
      <c r="D241" s="250">
        <v>70</v>
      </c>
      <c r="E241" s="27" t="s">
        <v>47</v>
      </c>
      <c r="F241" s="6" t="s">
        <v>51</v>
      </c>
      <c r="G241" s="7">
        <v>2530</v>
      </c>
      <c r="H241">
        <v>300</v>
      </c>
      <c r="I241">
        <v>50</v>
      </c>
      <c r="J241">
        <v>17.101273199999998</v>
      </c>
      <c r="K241">
        <v>1.1970891239999999</v>
      </c>
      <c r="L241">
        <v>120</v>
      </c>
      <c r="M241">
        <v>15</v>
      </c>
      <c r="N241">
        <v>16.974438768003715</v>
      </c>
      <c r="O241">
        <v>1.18821071376026</v>
      </c>
      <c r="P241" s="139">
        <v>46174</v>
      </c>
      <c r="Q241" s="113"/>
    </row>
    <row r="242" spans="2:17" customFormat="1">
      <c r="B242" s="256">
        <v>2795</v>
      </c>
      <c r="C242" s="6">
        <v>1870</v>
      </c>
      <c r="D242" s="250">
        <v>70</v>
      </c>
      <c r="E242" s="27" t="s">
        <v>47</v>
      </c>
      <c r="F242" s="6" t="s">
        <v>51</v>
      </c>
      <c r="G242" s="7">
        <v>2580</v>
      </c>
      <c r="H242">
        <v>300</v>
      </c>
      <c r="I242">
        <v>30</v>
      </c>
      <c r="J242">
        <v>17.434623200000001</v>
      </c>
      <c r="K242">
        <v>1.2204236240000002</v>
      </c>
      <c r="L242">
        <v>120</v>
      </c>
      <c r="M242">
        <v>15</v>
      </c>
      <c r="N242">
        <v>17.30531642238293</v>
      </c>
      <c r="O242">
        <v>1.2113721495668051</v>
      </c>
      <c r="P242" s="139">
        <v>46174</v>
      </c>
      <c r="Q242" s="113"/>
    </row>
    <row r="243" spans="2:17" customFormat="1">
      <c r="B243" s="256">
        <v>2795</v>
      </c>
      <c r="C243" s="6">
        <v>1870</v>
      </c>
      <c r="D243" s="250">
        <v>70</v>
      </c>
      <c r="E243" s="27" t="s">
        <v>47</v>
      </c>
      <c r="F243" s="6" t="s">
        <v>51</v>
      </c>
      <c r="G243" s="7">
        <v>2630</v>
      </c>
      <c r="H243">
        <v>300</v>
      </c>
      <c r="I243">
        <v>20</v>
      </c>
      <c r="J243">
        <v>17.767973199999997</v>
      </c>
      <c r="K243">
        <v>1.2437581239999997</v>
      </c>
      <c r="L243">
        <v>120</v>
      </c>
      <c r="M243">
        <v>15</v>
      </c>
      <c r="N243">
        <v>17.636194076762134</v>
      </c>
      <c r="O243">
        <v>1.2345335853733495</v>
      </c>
      <c r="P243" s="139">
        <v>46174</v>
      </c>
      <c r="Q243" s="113"/>
    </row>
    <row r="244" spans="2:17" customFormat="1">
      <c r="B244" s="256">
        <v>2795</v>
      </c>
      <c r="C244" s="6">
        <v>1870</v>
      </c>
      <c r="D244" s="250">
        <v>70</v>
      </c>
      <c r="E244" s="27" t="s">
        <v>47</v>
      </c>
      <c r="F244" s="6" t="s">
        <v>51</v>
      </c>
      <c r="G244" s="7">
        <v>2710</v>
      </c>
      <c r="H244">
        <v>300</v>
      </c>
      <c r="I244">
        <v>10</v>
      </c>
      <c r="J244">
        <v>18.301333199999998</v>
      </c>
      <c r="K244">
        <v>1.281093324</v>
      </c>
      <c r="L244">
        <v>120</v>
      </c>
      <c r="M244">
        <v>15</v>
      </c>
      <c r="N244">
        <v>18.165598323768872</v>
      </c>
      <c r="O244">
        <v>1.2715918826638211</v>
      </c>
      <c r="P244" s="139">
        <v>46174</v>
      </c>
      <c r="Q244" s="113"/>
    </row>
    <row r="245" spans="2:17" customFormat="1">
      <c r="B245" s="256">
        <v>2795</v>
      </c>
      <c r="C245" s="6" t="s">
        <v>472</v>
      </c>
      <c r="Q245" s="113"/>
    </row>
    <row r="246" spans="2:17" customFormat="1">
      <c r="B246" s="256">
        <v>3222</v>
      </c>
      <c r="C246" s="6">
        <v>1830</v>
      </c>
      <c r="D246" s="250">
        <v>65</v>
      </c>
      <c r="E246" s="254" t="s">
        <v>3</v>
      </c>
      <c r="F246" s="6" t="s">
        <v>267</v>
      </c>
      <c r="G246" s="7">
        <v>12000</v>
      </c>
      <c r="H246">
        <v>3300</v>
      </c>
      <c r="I246">
        <v>100</v>
      </c>
      <c r="J246">
        <v>11.471579999999999</v>
      </c>
      <c r="K246">
        <v>0.74565269999999995</v>
      </c>
      <c r="L246">
        <v>90</v>
      </c>
      <c r="M246">
        <v>-30</v>
      </c>
      <c r="N246">
        <v>11.643653699999998</v>
      </c>
      <c r="O246">
        <v>0.75683749049999982</v>
      </c>
      <c r="P246" s="139">
        <v>46023</v>
      </c>
      <c r="Q246" s="113"/>
    </row>
    <row r="247" spans="2:17" customFormat="1">
      <c r="B247" s="256">
        <v>3222</v>
      </c>
      <c r="C247" s="6">
        <v>1830</v>
      </c>
      <c r="D247" s="250">
        <v>65</v>
      </c>
      <c r="E247" s="254" t="s">
        <v>3</v>
      </c>
      <c r="F247" s="6" t="s">
        <v>51</v>
      </c>
      <c r="G247" s="255">
        <v>1450</v>
      </c>
      <c r="H247" s="7">
        <v>400</v>
      </c>
      <c r="I247" s="6">
        <v>100</v>
      </c>
      <c r="J247">
        <v>10.964279999999999</v>
      </c>
      <c r="K247">
        <v>0.71267819999999993</v>
      </c>
      <c r="L247">
        <v>90</v>
      </c>
      <c r="M247">
        <v>-30</v>
      </c>
      <c r="N247">
        <v>11.128744199999998</v>
      </c>
      <c r="O247">
        <v>0.7233683729999999</v>
      </c>
      <c r="P247" s="139">
        <v>45809</v>
      </c>
      <c r="Q247" s="113"/>
    </row>
    <row r="248" spans="2:17" customFormat="1">
      <c r="B248" s="256">
        <v>3222</v>
      </c>
      <c r="C248" s="6">
        <v>1830</v>
      </c>
      <c r="D248" s="250">
        <v>80</v>
      </c>
      <c r="E248" s="254" t="s">
        <v>47</v>
      </c>
      <c r="F248" s="6" t="s">
        <v>51</v>
      </c>
      <c r="G248" s="7">
        <v>2320</v>
      </c>
      <c r="H248">
        <v>300</v>
      </c>
      <c r="I248" t="s">
        <v>472</v>
      </c>
      <c r="J248">
        <v>15.7012032</v>
      </c>
      <c r="K248">
        <v>1.256096256</v>
      </c>
      <c r="L248">
        <v>120</v>
      </c>
      <c r="M248">
        <v>15</v>
      </c>
      <c r="N248">
        <v>15.584752619611038</v>
      </c>
      <c r="O248">
        <v>1.2467802095688831</v>
      </c>
      <c r="P248" s="139">
        <v>45809</v>
      </c>
      <c r="Q248" s="113"/>
    </row>
    <row r="249" spans="2:17" customFormat="1">
      <c r="B249" s="256">
        <v>3222</v>
      </c>
      <c r="C249" s="6">
        <v>1830</v>
      </c>
      <c r="D249" s="250">
        <v>80</v>
      </c>
      <c r="E249" s="254" t="s">
        <v>47</v>
      </c>
      <c r="F249" s="6" t="s">
        <v>51</v>
      </c>
      <c r="G249" s="7" t="s">
        <v>473</v>
      </c>
      <c r="H249">
        <v>300</v>
      </c>
      <c r="I249" t="s">
        <v>472</v>
      </c>
      <c r="J249" t="s">
        <v>473</v>
      </c>
      <c r="K249" t="s">
        <v>473</v>
      </c>
      <c r="L249">
        <v>120</v>
      </c>
      <c r="M249">
        <v>15</v>
      </c>
      <c r="N249" t="s">
        <v>473</v>
      </c>
      <c r="O249" t="s">
        <v>473</v>
      </c>
      <c r="P249" t="s">
        <v>473</v>
      </c>
      <c r="Q249" s="113"/>
    </row>
    <row r="250" spans="2:17" customFormat="1">
      <c r="B250" s="256">
        <v>3222</v>
      </c>
      <c r="C250" s="6">
        <v>1830</v>
      </c>
      <c r="D250" s="250">
        <v>80</v>
      </c>
      <c r="E250" s="27" t="s">
        <v>470</v>
      </c>
      <c r="F250" t="s">
        <v>51</v>
      </c>
      <c r="G250" s="7">
        <v>2900</v>
      </c>
      <c r="H250" t="s">
        <v>472</v>
      </c>
      <c r="I250">
        <v>50</v>
      </c>
      <c r="J250">
        <v>19.568063199999997</v>
      </c>
      <c r="K250">
        <v>1.5654450559999997</v>
      </c>
      <c r="L250">
        <v>60</v>
      </c>
      <c r="M250">
        <v>-45</v>
      </c>
      <c r="N250">
        <v>20.009991572739501</v>
      </c>
      <c r="O250">
        <v>1.6007993258191602</v>
      </c>
      <c r="P250" s="139">
        <v>46174</v>
      </c>
      <c r="Q250" s="113"/>
    </row>
    <row r="251" spans="2:17" customFormat="1">
      <c r="B251" s="256">
        <v>3222</v>
      </c>
      <c r="C251" s="6">
        <v>1840</v>
      </c>
      <c r="D251" s="250">
        <v>70</v>
      </c>
      <c r="E251" s="254" t="s">
        <v>47</v>
      </c>
      <c r="F251" s="252" t="s">
        <v>51</v>
      </c>
      <c r="G251" s="255">
        <v>2210</v>
      </c>
      <c r="H251" s="255">
        <v>300</v>
      </c>
      <c r="I251" s="252" t="s">
        <v>472</v>
      </c>
      <c r="J251">
        <v>14.967833199999999</v>
      </c>
      <c r="K251">
        <v>1.0477483239999998</v>
      </c>
      <c r="L251">
        <v>120</v>
      </c>
      <c r="M251">
        <v>15</v>
      </c>
      <c r="N251">
        <v>14.856821779976777</v>
      </c>
      <c r="O251">
        <v>1.0399775245983744</v>
      </c>
      <c r="P251" s="139">
        <v>45261</v>
      </c>
      <c r="Q251" s="113"/>
    </row>
    <row r="252" spans="2:17" customFormat="1">
      <c r="B252" s="256">
        <v>3222</v>
      </c>
      <c r="C252" s="6" t="s">
        <v>472</v>
      </c>
      <c r="Q252" s="113"/>
    </row>
    <row r="253" spans="2:17" customFormat="1">
      <c r="B253" s="256">
        <v>5481</v>
      </c>
      <c r="C253" s="6">
        <v>1830</v>
      </c>
      <c r="D253" s="1">
        <v>80</v>
      </c>
      <c r="E253" s="27" t="s">
        <v>47</v>
      </c>
      <c r="F253" s="6" t="s">
        <v>51</v>
      </c>
      <c r="G253" s="255">
        <v>3010</v>
      </c>
      <c r="H253" s="110">
        <v>300</v>
      </c>
      <c r="I253" s="6" t="s">
        <v>472</v>
      </c>
      <c r="J253">
        <v>20.301433199999998</v>
      </c>
      <c r="K253">
        <v>1.6241146559999999</v>
      </c>
      <c r="L253">
        <v>120</v>
      </c>
      <c r="M253">
        <v>15</v>
      </c>
      <c r="N253">
        <v>20.15086425004413</v>
      </c>
      <c r="O253">
        <v>1.6120691400035303</v>
      </c>
      <c r="P253" s="139">
        <v>45078</v>
      </c>
      <c r="Q253" s="113"/>
    </row>
    <row r="254" spans="2:17" customFormat="1">
      <c r="B254" s="256">
        <v>8269</v>
      </c>
      <c r="C254" s="6">
        <v>1270</v>
      </c>
      <c r="D254" s="250">
        <v>68</v>
      </c>
      <c r="E254" s="254" t="s">
        <v>2</v>
      </c>
      <c r="F254" t="s">
        <v>51</v>
      </c>
      <c r="G254" s="7">
        <v>2100</v>
      </c>
      <c r="H254" t="s">
        <v>472</v>
      </c>
      <c r="I254">
        <v>100</v>
      </c>
      <c r="J254">
        <v>14.057463200000001</v>
      </c>
      <c r="K254">
        <v>0.95590749760000004</v>
      </c>
      <c r="L254">
        <v>120</v>
      </c>
      <c r="M254">
        <v>15</v>
      </c>
      <c r="N254">
        <v>13.953203690229662</v>
      </c>
      <c r="O254">
        <v>0.9488178509356171</v>
      </c>
      <c r="P254" s="139">
        <v>46174</v>
      </c>
      <c r="Q254" s="113"/>
    </row>
    <row r="255" spans="2:17" customFormat="1">
      <c r="B255" s="256">
        <v>8269</v>
      </c>
      <c r="C255" s="6">
        <v>1270</v>
      </c>
      <c r="D255" s="250">
        <v>68</v>
      </c>
      <c r="E255" s="254" t="s">
        <v>2</v>
      </c>
      <c r="F255" t="s">
        <v>51</v>
      </c>
      <c r="G255" s="255">
        <v>2120</v>
      </c>
      <c r="H255" s="255" t="s">
        <v>472</v>
      </c>
      <c r="I255">
        <v>70</v>
      </c>
      <c r="J255">
        <v>14.190803200000001</v>
      </c>
      <c r="K255">
        <v>0.96497461760000003</v>
      </c>
      <c r="L255">
        <v>120</v>
      </c>
      <c r="M255">
        <v>15</v>
      </c>
      <c r="N255">
        <v>14.085554751981347</v>
      </c>
      <c r="O255">
        <v>0.95781772313473157</v>
      </c>
      <c r="P255" s="139">
        <v>46174</v>
      </c>
      <c r="Q255" s="113"/>
    </row>
    <row r="256" spans="2:17" customFormat="1">
      <c r="B256" s="256">
        <v>8269</v>
      </c>
      <c r="C256" s="6">
        <v>1270</v>
      </c>
      <c r="D256" s="250">
        <v>68</v>
      </c>
      <c r="E256" s="254" t="s">
        <v>2</v>
      </c>
      <c r="F256" t="s">
        <v>51</v>
      </c>
      <c r="G256" s="7">
        <v>2200</v>
      </c>
      <c r="H256" t="s">
        <v>472</v>
      </c>
      <c r="I256">
        <v>30</v>
      </c>
      <c r="J256">
        <v>14.724163200000003</v>
      </c>
      <c r="K256">
        <v>1.0012430976000002</v>
      </c>
      <c r="L256">
        <v>120</v>
      </c>
      <c r="M256">
        <v>15</v>
      </c>
      <c r="N256">
        <v>14.614958998988085</v>
      </c>
      <c r="O256">
        <v>0.99381721193118966</v>
      </c>
      <c r="P256" s="139">
        <v>46174</v>
      </c>
      <c r="Q256" s="113"/>
    </row>
    <row r="257" spans="2:17" customFormat="1">
      <c r="B257" s="256">
        <v>8269</v>
      </c>
      <c r="C257" s="6">
        <v>1270</v>
      </c>
      <c r="D257" s="250">
        <v>68</v>
      </c>
      <c r="E257" s="254" t="s">
        <v>2</v>
      </c>
      <c r="F257" t="s">
        <v>51</v>
      </c>
      <c r="G257" s="7">
        <v>2150</v>
      </c>
      <c r="H257" t="s">
        <v>472</v>
      </c>
      <c r="I257">
        <v>50</v>
      </c>
      <c r="J257">
        <v>14.390813200000002</v>
      </c>
      <c r="K257">
        <v>0.97857529760000006</v>
      </c>
      <c r="L257">
        <v>120</v>
      </c>
      <c r="M257">
        <v>15</v>
      </c>
      <c r="N257">
        <v>14.284081344608873</v>
      </c>
      <c r="O257">
        <v>0.97131753143340338</v>
      </c>
      <c r="P257" s="139">
        <v>46174</v>
      </c>
      <c r="Q257" s="113"/>
    </row>
    <row r="258" spans="2:17" customFormat="1">
      <c r="B258" s="256">
        <v>8269</v>
      </c>
      <c r="C258" s="6">
        <v>1270</v>
      </c>
      <c r="D258" s="250">
        <v>68</v>
      </c>
      <c r="E258" s="253" t="s">
        <v>1</v>
      </c>
      <c r="F258" s="252" t="s">
        <v>46</v>
      </c>
      <c r="G258" s="7">
        <v>19183</v>
      </c>
      <c r="H258" t="s">
        <v>472</v>
      </c>
      <c r="I258">
        <v>50</v>
      </c>
      <c r="J258">
        <v>19.382999999999999</v>
      </c>
      <c r="K258">
        <v>1.3180439999999998</v>
      </c>
      <c r="L258">
        <v>0</v>
      </c>
      <c r="M258">
        <v>-45</v>
      </c>
      <c r="N258">
        <v>19.820748874850825</v>
      </c>
      <c r="O258">
        <v>1.3478109234898561</v>
      </c>
      <c r="P258" s="139">
        <v>46174</v>
      </c>
      <c r="Q258" s="113"/>
    </row>
    <row r="259" spans="2:17" customFormat="1">
      <c r="B259" s="256">
        <v>8269</v>
      </c>
      <c r="C259" s="6">
        <v>1270</v>
      </c>
      <c r="D259" s="250">
        <v>70</v>
      </c>
      <c r="E259" s="254" t="s">
        <v>47</v>
      </c>
      <c r="F259" s="252" t="s">
        <v>51</v>
      </c>
      <c r="G259" s="255">
        <v>1750</v>
      </c>
      <c r="H259" s="257">
        <v>300</v>
      </c>
      <c r="I259" s="252">
        <v>100</v>
      </c>
      <c r="J259">
        <v>11.901013200000001</v>
      </c>
      <c r="K259">
        <v>0.83307092400000005</v>
      </c>
      <c r="L259">
        <v>120</v>
      </c>
      <c r="M259">
        <v>15</v>
      </c>
      <c r="N259">
        <v>11.81274735968805</v>
      </c>
      <c r="O259">
        <v>0.82689231517816353</v>
      </c>
      <c r="P259" s="139">
        <v>45778</v>
      </c>
      <c r="Q259" s="113"/>
    </row>
    <row r="260" spans="2:17" customFormat="1">
      <c r="B260" s="256">
        <v>8269</v>
      </c>
      <c r="C260" s="6">
        <v>1270</v>
      </c>
      <c r="D260" s="250">
        <v>70</v>
      </c>
      <c r="E260" s="254" t="s">
        <v>47</v>
      </c>
      <c r="F260" s="252" t="s">
        <v>51</v>
      </c>
      <c r="G260" s="7">
        <v>2510</v>
      </c>
      <c r="H260">
        <v>300</v>
      </c>
      <c r="I260">
        <v>10</v>
      </c>
      <c r="J260">
        <v>16.967933199999997</v>
      </c>
      <c r="K260">
        <v>1.1877553239999998</v>
      </c>
      <c r="L260">
        <v>120</v>
      </c>
      <c r="M260">
        <v>15</v>
      </c>
      <c r="N260">
        <v>16.842087706252034</v>
      </c>
      <c r="O260">
        <v>1.1789461394376424</v>
      </c>
      <c r="P260" s="139">
        <v>46174</v>
      </c>
      <c r="Q260" s="113"/>
    </row>
    <row r="261" spans="2:17" customFormat="1">
      <c r="B261" s="256">
        <v>8269</v>
      </c>
      <c r="C261" s="6">
        <v>1270</v>
      </c>
      <c r="D261" s="250">
        <v>70</v>
      </c>
      <c r="E261" s="254" t="s">
        <v>47</v>
      </c>
      <c r="F261" s="252" t="s">
        <v>51</v>
      </c>
      <c r="G261" s="7">
        <v>2430</v>
      </c>
      <c r="H261">
        <v>300</v>
      </c>
      <c r="I261">
        <v>20</v>
      </c>
      <c r="J261">
        <v>16.434573199999999</v>
      </c>
      <c r="K261">
        <v>1.150420124</v>
      </c>
      <c r="L261">
        <v>120</v>
      </c>
      <c r="M261">
        <v>15</v>
      </c>
      <c r="N261">
        <v>16.312683459245299</v>
      </c>
      <c r="O261">
        <v>1.141887842147171</v>
      </c>
      <c r="P261" s="139">
        <v>46174</v>
      </c>
      <c r="Q261" s="113"/>
    </row>
    <row r="262" spans="2:17" customFormat="1">
      <c r="B262" s="256">
        <v>8269</v>
      </c>
      <c r="C262" s="6">
        <v>1270</v>
      </c>
      <c r="D262" s="250">
        <v>70</v>
      </c>
      <c r="E262" s="254" t="s">
        <v>47</v>
      </c>
      <c r="F262" s="252" t="s">
        <v>51</v>
      </c>
      <c r="G262" s="7">
        <v>2330</v>
      </c>
      <c r="H262">
        <v>300</v>
      </c>
      <c r="I262">
        <v>50</v>
      </c>
      <c r="J262">
        <v>15.767873200000002</v>
      </c>
      <c r="K262">
        <v>1.103751124</v>
      </c>
      <c r="L262">
        <v>120</v>
      </c>
      <c r="M262">
        <v>15</v>
      </c>
      <c r="N262">
        <v>15.650928150486882</v>
      </c>
      <c r="O262">
        <v>1.0955649705340818</v>
      </c>
      <c r="P262" s="139">
        <v>46174</v>
      </c>
      <c r="Q262" s="113"/>
    </row>
    <row r="263" spans="2:17" customFormat="1">
      <c r="B263" s="256">
        <v>8269</v>
      </c>
      <c r="C263" s="6">
        <v>1270</v>
      </c>
      <c r="D263" s="250">
        <v>70</v>
      </c>
      <c r="E263" s="254" t="s">
        <v>47</v>
      </c>
      <c r="F263" s="252" t="s">
        <v>51</v>
      </c>
      <c r="G263" s="7">
        <v>2380</v>
      </c>
      <c r="H263">
        <v>300</v>
      </c>
      <c r="I263">
        <v>30</v>
      </c>
      <c r="J263">
        <v>16.1012232</v>
      </c>
      <c r="K263">
        <v>1.127085624</v>
      </c>
      <c r="L263">
        <v>120</v>
      </c>
      <c r="M263">
        <v>15</v>
      </c>
      <c r="N263">
        <v>15.98180580486609</v>
      </c>
      <c r="O263">
        <v>1.1187264063406261</v>
      </c>
      <c r="P263" s="139">
        <v>46174</v>
      </c>
      <c r="Q263" s="113"/>
    </row>
    <row r="264" spans="2:17" customFormat="1">
      <c r="B264" s="256">
        <v>8269</v>
      </c>
      <c r="C264" s="6">
        <v>1870</v>
      </c>
      <c r="D264" s="250">
        <v>68</v>
      </c>
      <c r="E264" s="254" t="s">
        <v>2</v>
      </c>
      <c r="F264" t="s">
        <v>51</v>
      </c>
      <c r="G264" s="7">
        <v>2100</v>
      </c>
      <c r="H264" t="s">
        <v>472</v>
      </c>
      <c r="I264">
        <v>100</v>
      </c>
      <c r="J264">
        <v>14.057463200000001</v>
      </c>
      <c r="K264">
        <v>0.95590749760000004</v>
      </c>
      <c r="L264">
        <v>120</v>
      </c>
      <c r="M264">
        <v>15</v>
      </c>
      <c r="N264">
        <v>13.953203690229662</v>
      </c>
      <c r="O264">
        <v>0.9488178509356171</v>
      </c>
      <c r="P264" s="139">
        <v>46174</v>
      </c>
      <c r="Q264" s="113"/>
    </row>
    <row r="265" spans="2:17" customFormat="1">
      <c r="B265" s="256">
        <v>8269</v>
      </c>
      <c r="C265" s="6">
        <v>1870</v>
      </c>
      <c r="D265" s="250">
        <v>68</v>
      </c>
      <c r="E265" s="254" t="s">
        <v>2</v>
      </c>
      <c r="F265" t="s">
        <v>51</v>
      </c>
      <c r="G265" s="255">
        <v>2120</v>
      </c>
      <c r="H265" s="255" t="s">
        <v>472</v>
      </c>
      <c r="I265">
        <v>70</v>
      </c>
      <c r="J265">
        <v>14.190803200000001</v>
      </c>
      <c r="K265">
        <v>0.96497461760000003</v>
      </c>
      <c r="L265">
        <v>120</v>
      </c>
      <c r="M265">
        <v>15</v>
      </c>
      <c r="N265">
        <v>14.085554751981347</v>
      </c>
      <c r="O265">
        <v>0.95781772313473157</v>
      </c>
      <c r="P265" s="139">
        <v>46174</v>
      </c>
      <c r="Q265" s="113"/>
    </row>
    <row r="266" spans="2:17" customFormat="1">
      <c r="B266" s="256">
        <v>8269</v>
      </c>
      <c r="C266" s="6">
        <v>1870</v>
      </c>
      <c r="D266" s="250">
        <v>68</v>
      </c>
      <c r="E266" s="254" t="s">
        <v>2</v>
      </c>
      <c r="F266" t="s">
        <v>51</v>
      </c>
      <c r="G266" s="7">
        <v>2200</v>
      </c>
      <c r="H266" t="s">
        <v>472</v>
      </c>
      <c r="I266">
        <v>30</v>
      </c>
      <c r="J266">
        <v>14.724163200000003</v>
      </c>
      <c r="K266">
        <v>1.0012430976000002</v>
      </c>
      <c r="L266">
        <v>120</v>
      </c>
      <c r="M266">
        <v>15</v>
      </c>
      <c r="N266">
        <v>14.614958998988085</v>
      </c>
      <c r="O266">
        <v>0.99381721193118966</v>
      </c>
      <c r="P266" s="139">
        <v>46174</v>
      </c>
      <c r="Q266" s="113"/>
    </row>
    <row r="267" spans="2:17" customFormat="1">
      <c r="B267" s="256">
        <v>8269</v>
      </c>
      <c r="C267" s="6">
        <v>1870</v>
      </c>
      <c r="D267" s="250">
        <v>68</v>
      </c>
      <c r="E267" s="254" t="s">
        <v>2</v>
      </c>
      <c r="F267" t="s">
        <v>51</v>
      </c>
      <c r="G267" s="7">
        <v>2150</v>
      </c>
      <c r="H267" t="s">
        <v>472</v>
      </c>
      <c r="I267">
        <v>50</v>
      </c>
      <c r="J267">
        <v>14.390813200000002</v>
      </c>
      <c r="K267">
        <v>0.97857529760000006</v>
      </c>
      <c r="L267">
        <v>120</v>
      </c>
      <c r="M267">
        <v>15</v>
      </c>
      <c r="N267">
        <v>14.284081344608873</v>
      </c>
      <c r="O267">
        <v>0.97131753143340338</v>
      </c>
      <c r="P267" s="139">
        <v>46174</v>
      </c>
      <c r="Q267" s="113"/>
    </row>
    <row r="268" spans="2:17" customFormat="1">
      <c r="B268" s="256">
        <v>8269</v>
      </c>
      <c r="C268" s="6">
        <v>1870</v>
      </c>
      <c r="D268" s="250">
        <v>68</v>
      </c>
      <c r="E268" s="253" t="s">
        <v>1</v>
      </c>
      <c r="F268" s="252" t="s">
        <v>46</v>
      </c>
      <c r="G268" s="7">
        <v>19183</v>
      </c>
      <c r="H268" t="s">
        <v>472</v>
      </c>
      <c r="I268">
        <v>50</v>
      </c>
      <c r="J268">
        <v>19.382999999999999</v>
      </c>
      <c r="K268">
        <v>1.3180439999999998</v>
      </c>
      <c r="L268">
        <v>0</v>
      </c>
      <c r="M268">
        <v>-45</v>
      </c>
      <c r="N268">
        <v>19.820748874850825</v>
      </c>
      <c r="O268">
        <v>1.3478109234898561</v>
      </c>
      <c r="P268" s="139">
        <v>46174</v>
      </c>
      <c r="Q268" s="113"/>
    </row>
    <row r="269" spans="2:17" customFormat="1">
      <c r="B269" s="256">
        <v>8269</v>
      </c>
      <c r="C269" s="6">
        <v>1870</v>
      </c>
      <c r="D269" s="250">
        <v>70</v>
      </c>
      <c r="E269" s="254" t="s">
        <v>47</v>
      </c>
      <c r="F269" s="252" t="s">
        <v>51</v>
      </c>
      <c r="G269" s="255">
        <v>1750</v>
      </c>
      <c r="H269" s="257">
        <v>300</v>
      </c>
      <c r="I269" s="252">
        <v>100</v>
      </c>
      <c r="J269">
        <v>11.901013200000001</v>
      </c>
      <c r="K269">
        <v>0.83307092400000005</v>
      </c>
      <c r="L269">
        <v>120</v>
      </c>
      <c r="M269">
        <v>15</v>
      </c>
      <c r="N269">
        <v>11.81274735968805</v>
      </c>
      <c r="O269">
        <v>0.82689231517816353</v>
      </c>
      <c r="P269" s="139">
        <v>45778</v>
      </c>
      <c r="Q269" s="113"/>
    </row>
    <row r="270" spans="2:17" customFormat="1">
      <c r="B270" s="256">
        <v>8269</v>
      </c>
      <c r="C270" s="6">
        <v>1870</v>
      </c>
      <c r="D270" s="250">
        <v>70</v>
      </c>
      <c r="E270" s="254" t="s">
        <v>47</v>
      </c>
      <c r="F270" s="252" t="s">
        <v>51</v>
      </c>
      <c r="G270" s="7">
        <v>2510</v>
      </c>
      <c r="H270">
        <v>300</v>
      </c>
      <c r="I270">
        <v>10</v>
      </c>
      <c r="J270">
        <v>16.967933199999997</v>
      </c>
      <c r="K270">
        <v>1.1877553239999998</v>
      </c>
      <c r="L270">
        <v>120</v>
      </c>
      <c r="M270">
        <v>15</v>
      </c>
      <c r="N270">
        <v>16.842087706252034</v>
      </c>
      <c r="O270">
        <v>1.1789461394376424</v>
      </c>
      <c r="P270" s="139">
        <v>46174</v>
      </c>
      <c r="Q270" s="113"/>
    </row>
    <row r="271" spans="2:17" customFormat="1">
      <c r="B271" s="256">
        <v>8269</v>
      </c>
      <c r="C271" s="6">
        <v>1870</v>
      </c>
      <c r="D271" s="250">
        <v>70</v>
      </c>
      <c r="E271" s="254" t="s">
        <v>47</v>
      </c>
      <c r="F271" s="252" t="s">
        <v>51</v>
      </c>
      <c r="G271" s="7">
        <v>2430</v>
      </c>
      <c r="H271">
        <v>300</v>
      </c>
      <c r="I271">
        <v>20</v>
      </c>
      <c r="J271">
        <v>16.434573199999999</v>
      </c>
      <c r="K271">
        <v>1.150420124</v>
      </c>
      <c r="L271">
        <v>120</v>
      </c>
      <c r="M271">
        <v>15</v>
      </c>
      <c r="N271">
        <v>16.312683459245299</v>
      </c>
      <c r="O271">
        <v>1.141887842147171</v>
      </c>
      <c r="P271" s="139">
        <v>46174</v>
      </c>
      <c r="Q271" s="113"/>
    </row>
    <row r="272" spans="2:17" customFormat="1">
      <c r="B272" s="256">
        <v>8269</v>
      </c>
      <c r="C272" s="6">
        <v>1870</v>
      </c>
      <c r="D272" s="250">
        <v>70</v>
      </c>
      <c r="E272" s="254" t="s">
        <v>47</v>
      </c>
      <c r="F272" s="252" t="s">
        <v>51</v>
      </c>
      <c r="G272" s="7">
        <v>2330</v>
      </c>
      <c r="H272">
        <v>300</v>
      </c>
      <c r="I272">
        <v>50</v>
      </c>
      <c r="J272">
        <v>15.767873200000002</v>
      </c>
      <c r="K272">
        <v>1.103751124</v>
      </c>
      <c r="L272">
        <v>120</v>
      </c>
      <c r="M272">
        <v>15</v>
      </c>
      <c r="N272">
        <v>15.650928150486882</v>
      </c>
      <c r="O272">
        <v>1.0955649705340818</v>
      </c>
      <c r="P272" s="139">
        <v>46174</v>
      </c>
      <c r="Q272" s="113"/>
    </row>
    <row r="273" spans="2:17" customFormat="1">
      <c r="B273" s="256">
        <v>8269</v>
      </c>
      <c r="C273" s="6">
        <v>1870</v>
      </c>
      <c r="D273" s="250">
        <v>70</v>
      </c>
      <c r="E273" s="254" t="s">
        <v>47</v>
      </c>
      <c r="F273" s="252" t="s">
        <v>51</v>
      </c>
      <c r="G273" s="7">
        <v>2380</v>
      </c>
      <c r="H273">
        <v>300</v>
      </c>
      <c r="I273">
        <v>30</v>
      </c>
      <c r="J273">
        <v>16.1012232</v>
      </c>
      <c r="K273">
        <v>1.127085624</v>
      </c>
      <c r="L273">
        <v>120</v>
      </c>
      <c r="M273">
        <v>15</v>
      </c>
      <c r="N273">
        <v>15.98180580486609</v>
      </c>
      <c r="O273">
        <v>1.1187264063406261</v>
      </c>
      <c r="P273" s="139">
        <v>46174</v>
      </c>
      <c r="Q273" s="113"/>
    </row>
    <row r="274" spans="2:17" customFormat="1">
      <c r="B274" s="256">
        <v>8269</v>
      </c>
      <c r="C274" s="6">
        <v>2120</v>
      </c>
      <c r="D274" s="250">
        <v>68</v>
      </c>
      <c r="E274" s="254" t="s">
        <v>2</v>
      </c>
      <c r="F274" t="s">
        <v>51</v>
      </c>
      <c r="G274" s="7">
        <v>2100</v>
      </c>
      <c r="H274" t="s">
        <v>472</v>
      </c>
      <c r="I274">
        <v>100</v>
      </c>
      <c r="J274">
        <v>14.057463200000001</v>
      </c>
      <c r="K274">
        <v>0.95590749760000004</v>
      </c>
      <c r="L274">
        <v>120</v>
      </c>
      <c r="M274">
        <v>15</v>
      </c>
      <c r="N274">
        <v>13.953203690229662</v>
      </c>
      <c r="O274">
        <v>0.9488178509356171</v>
      </c>
      <c r="P274" s="139">
        <v>46174</v>
      </c>
      <c r="Q274" s="113"/>
    </row>
    <row r="275" spans="2:17" customFormat="1">
      <c r="B275" s="256">
        <v>8269</v>
      </c>
      <c r="C275" s="6">
        <v>2120</v>
      </c>
      <c r="D275" s="250">
        <v>68</v>
      </c>
      <c r="E275" s="254" t="s">
        <v>2</v>
      </c>
      <c r="F275" t="s">
        <v>51</v>
      </c>
      <c r="G275" s="255">
        <v>2120</v>
      </c>
      <c r="H275" s="255" t="s">
        <v>472</v>
      </c>
      <c r="I275">
        <v>70</v>
      </c>
      <c r="J275">
        <v>14.190803200000001</v>
      </c>
      <c r="K275">
        <v>0.96497461760000003</v>
      </c>
      <c r="L275">
        <v>120</v>
      </c>
      <c r="M275">
        <v>15</v>
      </c>
      <c r="N275">
        <v>14.085554751981347</v>
      </c>
      <c r="O275">
        <v>0.95781772313473157</v>
      </c>
      <c r="P275" s="139">
        <v>46174</v>
      </c>
      <c r="Q275" s="113"/>
    </row>
    <row r="276" spans="2:17" customFormat="1">
      <c r="B276" s="256">
        <v>8269</v>
      </c>
      <c r="C276" s="6">
        <v>2120</v>
      </c>
      <c r="D276" s="250">
        <v>68</v>
      </c>
      <c r="E276" s="254" t="s">
        <v>2</v>
      </c>
      <c r="F276" t="s">
        <v>51</v>
      </c>
      <c r="G276" s="7">
        <v>2200</v>
      </c>
      <c r="H276" t="s">
        <v>472</v>
      </c>
      <c r="I276">
        <v>30</v>
      </c>
      <c r="J276">
        <v>14.724163200000003</v>
      </c>
      <c r="K276">
        <v>1.0012430976000002</v>
      </c>
      <c r="L276">
        <v>120</v>
      </c>
      <c r="M276">
        <v>15</v>
      </c>
      <c r="N276">
        <v>14.614958998988085</v>
      </c>
      <c r="O276">
        <v>0.99381721193118966</v>
      </c>
      <c r="P276" s="139">
        <v>46174</v>
      </c>
      <c r="Q276" s="113"/>
    </row>
    <row r="277" spans="2:17" customFormat="1">
      <c r="B277" s="256">
        <v>8269</v>
      </c>
      <c r="C277" s="6">
        <v>2120</v>
      </c>
      <c r="D277" s="250">
        <v>68</v>
      </c>
      <c r="E277" s="254" t="s">
        <v>2</v>
      </c>
      <c r="F277" t="s">
        <v>51</v>
      </c>
      <c r="G277" s="7">
        <v>2150</v>
      </c>
      <c r="H277" t="s">
        <v>472</v>
      </c>
      <c r="I277">
        <v>50</v>
      </c>
      <c r="J277">
        <v>14.390813200000002</v>
      </c>
      <c r="K277">
        <v>0.97857529760000006</v>
      </c>
      <c r="L277">
        <v>120</v>
      </c>
      <c r="M277">
        <v>15</v>
      </c>
      <c r="N277">
        <v>14.284081344608873</v>
      </c>
      <c r="O277">
        <v>0.97131753143340338</v>
      </c>
      <c r="P277" s="139">
        <v>46174</v>
      </c>
      <c r="Q277" s="113"/>
    </row>
    <row r="278" spans="2:17" customFormat="1">
      <c r="B278" s="256">
        <v>8269</v>
      </c>
      <c r="C278" s="6">
        <v>2120</v>
      </c>
      <c r="D278" s="250">
        <v>68</v>
      </c>
      <c r="E278" s="253" t="s">
        <v>1</v>
      </c>
      <c r="F278" s="252" t="s">
        <v>46</v>
      </c>
      <c r="G278" s="7">
        <v>19183</v>
      </c>
      <c r="H278" t="s">
        <v>472</v>
      </c>
      <c r="I278">
        <v>50</v>
      </c>
      <c r="J278">
        <v>19.382999999999999</v>
      </c>
      <c r="K278">
        <v>1.3180439999999998</v>
      </c>
      <c r="L278">
        <v>0</v>
      </c>
      <c r="M278">
        <v>-45</v>
      </c>
      <c r="N278">
        <v>19.820748874850825</v>
      </c>
      <c r="O278">
        <v>1.3478109234898561</v>
      </c>
      <c r="P278" s="139">
        <v>46174</v>
      </c>
      <c r="Q278" s="113"/>
    </row>
    <row r="279" spans="2:17" customFormat="1">
      <c r="B279" s="256">
        <v>8269</v>
      </c>
      <c r="C279" s="6">
        <v>2120</v>
      </c>
      <c r="D279" s="250">
        <v>70</v>
      </c>
      <c r="E279" s="254" t="s">
        <v>47</v>
      </c>
      <c r="F279" s="252" t="s">
        <v>51</v>
      </c>
      <c r="G279" s="255">
        <v>1750</v>
      </c>
      <c r="H279" s="257">
        <v>300</v>
      </c>
      <c r="I279" s="252">
        <v>100</v>
      </c>
      <c r="J279">
        <v>11.901013200000001</v>
      </c>
      <c r="K279">
        <v>0.83307092400000005</v>
      </c>
      <c r="L279">
        <v>120</v>
      </c>
      <c r="M279">
        <v>15</v>
      </c>
      <c r="N279">
        <v>11.81274735968805</v>
      </c>
      <c r="O279">
        <v>0.82689231517816353</v>
      </c>
      <c r="P279" s="139">
        <v>45778</v>
      </c>
      <c r="Q279" s="113"/>
    </row>
    <row r="280" spans="2:17" customFormat="1">
      <c r="B280" s="256">
        <v>8269</v>
      </c>
      <c r="C280" s="6">
        <v>2120</v>
      </c>
      <c r="D280" s="250">
        <v>70</v>
      </c>
      <c r="E280" s="254" t="s">
        <v>47</v>
      </c>
      <c r="F280" s="252" t="s">
        <v>51</v>
      </c>
      <c r="G280" s="7">
        <v>2510</v>
      </c>
      <c r="H280">
        <v>300</v>
      </c>
      <c r="I280">
        <v>10</v>
      </c>
      <c r="J280">
        <v>16.967933199999997</v>
      </c>
      <c r="K280">
        <v>1.1877553239999998</v>
      </c>
      <c r="L280">
        <v>120</v>
      </c>
      <c r="M280">
        <v>15</v>
      </c>
      <c r="N280">
        <v>16.842087706252034</v>
      </c>
      <c r="O280">
        <v>1.1789461394376424</v>
      </c>
      <c r="P280" s="139">
        <v>46174</v>
      </c>
      <c r="Q280" s="113"/>
    </row>
    <row r="281" spans="2:17" customFormat="1">
      <c r="B281" s="256">
        <v>8269</v>
      </c>
      <c r="C281" s="6">
        <v>2120</v>
      </c>
      <c r="D281" s="250">
        <v>70</v>
      </c>
      <c r="E281" s="254" t="s">
        <v>47</v>
      </c>
      <c r="F281" s="252" t="s">
        <v>51</v>
      </c>
      <c r="G281" s="7">
        <v>2430</v>
      </c>
      <c r="H281">
        <v>300</v>
      </c>
      <c r="I281">
        <v>20</v>
      </c>
      <c r="J281">
        <v>16.434573199999999</v>
      </c>
      <c r="K281">
        <v>1.150420124</v>
      </c>
      <c r="L281">
        <v>120</v>
      </c>
      <c r="M281">
        <v>15</v>
      </c>
      <c r="N281">
        <v>16.312683459245299</v>
      </c>
      <c r="O281">
        <v>1.141887842147171</v>
      </c>
      <c r="P281" s="139">
        <v>46174</v>
      </c>
      <c r="Q281" s="113"/>
    </row>
    <row r="282" spans="2:17" customFormat="1">
      <c r="B282" s="256">
        <v>8269</v>
      </c>
      <c r="C282" s="6">
        <v>2120</v>
      </c>
      <c r="D282" s="250">
        <v>70</v>
      </c>
      <c r="E282" s="254" t="s">
        <v>47</v>
      </c>
      <c r="F282" s="252" t="s">
        <v>51</v>
      </c>
      <c r="G282" s="7">
        <v>2330</v>
      </c>
      <c r="H282">
        <v>300</v>
      </c>
      <c r="I282">
        <v>50</v>
      </c>
      <c r="J282">
        <v>15.767873200000002</v>
      </c>
      <c r="K282">
        <v>1.103751124</v>
      </c>
      <c r="L282">
        <v>120</v>
      </c>
      <c r="M282">
        <v>15</v>
      </c>
      <c r="N282">
        <v>15.650928150486882</v>
      </c>
      <c r="O282">
        <v>1.0955649705340818</v>
      </c>
      <c r="P282" s="139">
        <v>46174</v>
      </c>
      <c r="Q282" s="113"/>
    </row>
    <row r="283" spans="2:17" customFormat="1">
      <c r="B283" s="256">
        <v>8269</v>
      </c>
      <c r="C283" s="6">
        <v>2120</v>
      </c>
      <c r="D283" s="250">
        <v>70</v>
      </c>
      <c r="E283" s="254" t="s">
        <v>47</v>
      </c>
      <c r="F283" s="252" t="s">
        <v>51</v>
      </c>
      <c r="G283" s="7">
        <v>2380</v>
      </c>
      <c r="H283">
        <v>300</v>
      </c>
      <c r="I283">
        <v>30</v>
      </c>
      <c r="J283">
        <v>16.1012232</v>
      </c>
      <c r="K283">
        <v>1.127085624</v>
      </c>
      <c r="L283">
        <v>120</v>
      </c>
      <c r="M283">
        <v>15</v>
      </c>
      <c r="N283">
        <v>15.98180580486609</v>
      </c>
      <c r="O283">
        <v>1.1187264063406261</v>
      </c>
      <c r="P283" s="139">
        <v>46174</v>
      </c>
      <c r="Q283" s="113"/>
    </row>
    <row r="284" spans="2:17" customFormat="1">
      <c r="B284" s="256">
        <v>8269</v>
      </c>
      <c r="C284" s="6" t="s">
        <v>472</v>
      </c>
      <c r="Q284" s="113"/>
    </row>
    <row r="285" spans="2:17" customFormat="1">
      <c r="B285" s="256">
        <v>8269</v>
      </c>
      <c r="C285" s="6">
        <v>623</v>
      </c>
      <c r="D285" s="250">
        <v>68</v>
      </c>
      <c r="E285" s="253" t="s">
        <v>1</v>
      </c>
      <c r="F285" s="252" t="s">
        <v>46</v>
      </c>
      <c r="G285" s="7">
        <v>19183</v>
      </c>
      <c r="H285" t="s">
        <v>472</v>
      </c>
      <c r="I285">
        <v>50</v>
      </c>
      <c r="J285">
        <v>19.382999999999999</v>
      </c>
      <c r="K285">
        <v>1.3180439999999998</v>
      </c>
      <c r="L285">
        <v>0</v>
      </c>
      <c r="M285">
        <v>-45</v>
      </c>
      <c r="N285">
        <v>19.820748874850825</v>
      </c>
      <c r="O285">
        <v>1.3478109234898561</v>
      </c>
      <c r="P285" s="139">
        <v>46174</v>
      </c>
      <c r="Q285" s="113"/>
    </row>
    <row r="286" spans="2:17" customFormat="1">
      <c r="B286" s="256">
        <v>8291</v>
      </c>
      <c r="C286" s="6">
        <v>1870</v>
      </c>
      <c r="D286" s="250">
        <v>72</v>
      </c>
      <c r="E286" s="27" t="s">
        <v>47</v>
      </c>
      <c r="F286" s="6" t="s">
        <v>51</v>
      </c>
      <c r="G286" s="255">
        <v>2410</v>
      </c>
      <c r="H286">
        <v>300</v>
      </c>
      <c r="I286">
        <v>50</v>
      </c>
      <c r="J286">
        <v>16.301233199999999</v>
      </c>
      <c r="K286">
        <v>1.1736887903999997</v>
      </c>
      <c r="L286">
        <v>120</v>
      </c>
      <c r="M286">
        <v>15</v>
      </c>
      <c r="N286">
        <v>16.180332397493615</v>
      </c>
      <c r="O286">
        <v>1.1649839326195404</v>
      </c>
      <c r="P286" s="139">
        <v>46174</v>
      </c>
      <c r="Q286" s="113"/>
    </row>
    <row r="287" spans="2:17" customFormat="1">
      <c r="B287" s="256">
        <v>8291</v>
      </c>
      <c r="C287" s="6">
        <v>1870</v>
      </c>
      <c r="D287" s="250">
        <v>72</v>
      </c>
      <c r="E287" s="27" t="s">
        <v>47</v>
      </c>
      <c r="F287" s="6" t="s">
        <v>51</v>
      </c>
      <c r="G287" s="255">
        <v>2460</v>
      </c>
      <c r="H287">
        <v>300</v>
      </c>
      <c r="I287" s="6">
        <v>10</v>
      </c>
      <c r="J287">
        <v>16.634583200000002</v>
      </c>
      <c r="K287">
        <v>1.1976899904</v>
      </c>
      <c r="L287">
        <v>120</v>
      </c>
      <c r="M287">
        <v>15</v>
      </c>
      <c r="N287">
        <v>16.511210051872826</v>
      </c>
      <c r="O287">
        <v>1.1888071237348437</v>
      </c>
      <c r="P287" s="139">
        <v>45992</v>
      </c>
      <c r="Q287" s="113"/>
    </row>
    <row r="288" spans="2:17" customFormat="1">
      <c r="B288" s="256">
        <v>8291</v>
      </c>
      <c r="C288" s="6">
        <v>1870</v>
      </c>
      <c r="D288" s="250">
        <v>72</v>
      </c>
      <c r="E288" s="27" t="s">
        <v>47</v>
      </c>
      <c r="F288" s="6" t="s">
        <v>51</v>
      </c>
      <c r="G288" s="7">
        <v>2330</v>
      </c>
      <c r="H288">
        <v>300</v>
      </c>
      <c r="I288" s="6">
        <v>30</v>
      </c>
      <c r="J288">
        <v>15.767873200000002</v>
      </c>
      <c r="K288">
        <v>1.1352868704000001</v>
      </c>
      <c r="L288">
        <v>120</v>
      </c>
      <c r="M288">
        <v>15</v>
      </c>
      <c r="N288">
        <v>15.650928150486882</v>
      </c>
      <c r="O288">
        <v>1.1268668268350555</v>
      </c>
      <c r="P288" s="139">
        <v>45992</v>
      </c>
      <c r="Q288" s="113"/>
    </row>
    <row r="289" spans="2:17" customFormat="1">
      <c r="B289" s="256">
        <v>8291</v>
      </c>
      <c r="C289" s="6">
        <v>1870</v>
      </c>
      <c r="D289" s="250">
        <v>72</v>
      </c>
      <c r="E289" s="27" t="s">
        <v>47</v>
      </c>
      <c r="F289" s="6" t="s">
        <v>51</v>
      </c>
      <c r="G289" s="7">
        <v>2380</v>
      </c>
      <c r="H289">
        <v>300</v>
      </c>
      <c r="I289" s="6">
        <v>20</v>
      </c>
      <c r="J289">
        <v>16.1012232</v>
      </c>
      <c r="K289">
        <v>1.1592880704000001</v>
      </c>
      <c r="L289">
        <v>120</v>
      </c>
      <c r="M289">
        <v>15</v>
      </c>
      <c r="N289">
        <v>15.98180580486609</v>
      </c>
      <c r="O289">
        <v>1.1506900179503583</v>
      </c>
      <c r="P289" s="139">
        <v>45992</v>
      </c>
      <c r="Q289" s="113"/>
    </row>
    <row r="290" spans="2:17" customFormat="1">
      <c r="B290" s="256">
        <v>8292</v>
      </c>
      <c r="C290" s="6">
        <v>1870</v>
      </c>
      <c r="D290" s="250">
        <v>70</v>
      </c>
      <c r="E290" s="27" t="s">
        <v>47</v>
      </c>
      <c r="F290" s="6" t="s">
        <v>51</v>
      </c>
      <c r="G290" s="7">
        <v>2370</v>
      </c>
      <c r="H290">
        <v>300</v>
      </c>
      <c r="I290" s="6">
        <v>30</v>
      </c>
      <c r="J290">
        <v>16.034553200000001</v>
      </c>
      <c r="K290">
        <v>1.1224187240000001</v>
      </c>
      <c r="L290">
        <v>120</v>
      </c>
      <c r="M290">
        <v>15</v>
      </c>
      <c r="N290">
        <v>15.915630273990249</v>
      </c>
      <c r="O290">
        <v>1.1140941191793174</v>
      </c>
      <c r="P290" s="139">
        <v>45992</v>
      </c>
      <c r="Q290" s="113"/>
    </row>
    <row r="291" spans="2:17" customFormat="1">
      <c r="B291" s="256">
        <v>8292</v>
      </c>
      <c r="C291" s="6">
        <v>1870</v>
      </c>
      <c r="D291" s="250">
        <v>70</v>
      </c>
      <c r="E291" s="27" t="s">
        <v>47</v>
      </c>
      <c r="F291" s="6" t="s">
        <v>51</v>
      </c>
      <c r="G291" s="7">
        <v>2420</v>
      </c>
      <c r="H291">
        <v>300</v>
      </c>
      <c r="I291" s="6">
        <v>20</v>
      </c>
      <c r="J291">
        <v>16.367903200000001</v>
      </c>
      <c r="K291">
        <v>1.1457532240000001</v>
      </c>
      <c r="L291">
        <v>120</v>
      </c>
      <c r="M291">
        <v>15</v>
      </c>
      <c r="N291">
        <v>16.246507928369457</v>
      </c>
      <c r="O291">
        <v>1.1372555549858621</v>
      </c>
      <c r="P291" s="139">
        <v>45992</v>
      </c>
      <c r="Q291" s="113"/>
    </row>
    <row r="292" spans="2:17" customFormat="1">
      <c r="B292" s="256">
        <v>8292</v>
      </c>
      <c r="C292" s="6">
        <v>1870</v>
      </c>
      <c r="D292" s="250">
        <v>70</v>
      </c>
      <c r="E292" s="27" t="s">
        <v>47</v>
      </c>
      <c r="F292" s="6" t="s">
        <v>51</v>
      </c>
      <c r="G292" s="255">
        <v>2450</v>
      </c>
      <c r="H292">
        <v>300</v>
      </c>
      <c r="I292">
        <v>50</v>
      </c>
      <c r="J292">
        <v>16.5679132</v>
      </c>
      <c r="K292">
        <v>1.1597539239999999</v>
      </c>
      <c r="L292">
        <v>120</v>
      </c>
      <c r="M292">
        <v>15</v>
      </c>
      <c r="N292">
        <v>16.445034520996984</v>
      </c>
      <c r="O292">
        <v>1.1511524164697888</v>
      </c>
      <c r="P292" s="139">
        <v>46174</v>
      </c>
      <c r="Q292" s="113"/>
    </row>
    <row r="293" spans="2:17" customFormat="1">
      <c r="B293" s="256">
        <v>8292</v>
      </c>
      <c r="C293" s="6">
        <v>1870</v>
      </c>
      <c r="D293" s="250">
        <v>70</v>
      </c>
      <c r="E293" s="27" t="s">
        <v>47</v>
      </c>
      <c r="F293" s="6" t="s">
        <v>51</v>
      </c>
      <c r="G293" s="255">
        <v>2500</v>
      </c>
      <c r="H293">
        <v>300</v>
      </c>
      <c r="I293" s="6">
        <v>10</v>
      </c>
      <c r="J293">
        <v>16.901263199999999</v>
      </c>
      <c r="K293">
        <v>1.1830884239999999</v>
      </c>
      <c r="L293">
        <v>120</v>
      </c>
      <c r="M293">
        <v>15</v>
      </c>
      <c r="N293">
        <v>16.775912175376192</v>
      </c>
      <c r="O293">
        <v>1.1743138522763334</v>
      </c>
      <c r="P293" s="139">
        <v>45992</v>
      </c>
      <c r="Q293" s="113"/>
    </row>
    <row r="294" spans="2:17" customFormat="1">
      <c r="B294" s="256">
        <v>8292</v>
      </c>
      <c r="C294" s="6">
        <v>1920</v>
      </c>
      <c r="D294" s="250">
        <v>70</v>
      </c>
      <c r="E294" s="27" t="s">
        <v>47</v>
      </c>
      <c r="F294" s="6" t="s">
        <v>51</v>
      </c>
      <c r="G294" s="7">
        <v>2370</v>
      </c>
      <c r="H294">
        <v>300</v>
      </c>
      <c r="I294" s="6">
        <v>30</v>
      </c>
      <c r="J294">
        <v>16.034553200000001</v>
      </c>
      <c r="K294">
        <v>1.1224187240000001</v>
      </c>
      <c r="L294">
        <v>120</v>
      </c>
      <c r="M294">
        <v>15</v>
      </c>
      <c r="N294">
        <v>15.915630273990249</v>
      </c>
      <c r="O294">
        <v>1.1140941191793174</v>
      </c>
      <c r="P294" s="139">
        <v>45992</v>
      </c>
      <c r="Q294" s="113"/>
    </row>
    <row r="295" spans="2:17" customFormat="1">
      <c r="B295" s="256">
        <v>8292</v>
      </c>
      <c r="C295" s="6">
        <v>1920</v>
      </c>
      <c r="D295" s="250">
        <v>70</v>
      </c>
      <c r="E295" s="27" t="s">
        <v>47</v>
      </c>
      <c r="F295" s="6" t="s">
        <v>51</v>
      </c>
      <c r="G295" s="7">
        <v>2420</v>
      </c>
      <c r="H295">
        <v>300</v>
      </c>
      <c r="I295" s="6">
        <v>20</v>
      </c>
      <c r="J295">
        <v>16.367903200000001</v>
      </c>
      <c r="K295">
        <v>1.1457532240000001</v>
      </c>
      <c r="L295">
        <v>120</v>
      </c>
      <c r="M295">
        <v>15</v>
      </c>
      <c r="N295">
        <v>16.246507928369457</v>
      </c>
      <c r="O295">
        <v>1.1372555549858621</v>
      </c>
      <c r="P295" s="139">
        <v>45992</v>
      </c>
      <c r="Q295" s="113"/>
    </row>
    <row r="296" spans="2:17" customFormat="1">
      <c r="B296" s="256">
        <v>8292</v>
      </c>
      <c r="C296" s="6">
        <v>1920</v>
      </c>
      <c r="D296" s="250">
        <v>70</v>
      </c>
      <c r="E296" s="27" t="s">
        <v>47</v>
      </c>
      <c r="F296" s="6" t="s">
        <v>51</v>
      </c>
      <c r="G296" s="255">
        <v>2450</v>
      </c>
      <c r="H296">
        <v>300</v>
      </c>
      <c r="I296">
        <v>50</v>
      </c>
      <c r="J296">
        <v>16.5679132</v>
      </c>
      <c r="K296">
        <v>1.1597539239999999</v>
      </c>
      <c r="L296">
        <v>120</v>
      </c>
      <c r="M296">
        <v>15</v>
      </c>
      <c r="N296">
        <v>16.445034520996984</v>
      </c>
      <c r="O296">
        <v>1.1511524164697888</v>
      </c>
      <c r="P296" s="139">
        <v>46174</v>
      </c>
      <c r="Q296" s="113"/>
    </row>
    <row r="297" spans="2:17" customFormat="1">
      <c r="B297" s="256">
        <v>8292</v>
      </c>
      <c r="C297" s="6">
        <v>1920</v>
      </c>
      <c r="D297" s="250">
        <v>70</v>
      </c>
      <c r="E297" s="27" t="s">
        <v>47</v>
      </c>
      <c r="F297" s="6" t="s">
        <v>51</v>
      </c>
      <c r="G297" s="255">
        <v>2500</v>
      </c>
      <c r="H297">
        <v>300</v>
      </c>
      <c r="I297" s="6">
        <v>10</v>
      </c>
      <c r="J297">
        <v>16.901263199999999</v>
      </c>
      <c r="K297">
        <v>1.1830884239999999</v>
      </c>
      <c r="L297">
        <v>120</v>
      </c>
      <c r="M297">
        <v>15</v>
      </c>
      <c r="N297">
        <v>16.775912175376192</v>
      </c>
      <c r="O297">
        <v>1.1743138522763334</v>
      </c>
      <c r="P297" s="139">
        <v>45992</v>
      </c>
      <c r="Q297" s="113"/>
    </row>
    <row r="298" spans="2:17" customFormat="1">
      <c r="B298" s="256">
        <v>8686</v>
      </c>
      <c r="C298" s="6" t="s">
        <v>472</v>
      </c>
      <c r="Q298" s="113"/>
    </row>
    <row r="299" spans="2:17" customFormat="1">
      <c r="B299" s="256">
        <v>9080</v>
      </c>
      <c r="C299" s="6">
        <v>1855</v>
      </c>
      <c r="D299" s="250">
        <v>80</v>
      </c>
      <c r="E299" s="253" t="s">
        <v>1</v>
      </c>
      <c r="F299" s="252" t="s">
        <v>46</v>
      </c>
      <c r="G299" s="7">
        <v>18981</v>
      </c>
      <c r="H299" t="s">
        <v>472</v>
      </c>
      <c r="I299">
        <v>40</v>
      </c>
      <c r="J299">
        <v>19.181000000000001</v>
      </c>
      <c r="K299">
        <v>1.5344800000000001</v>
      </c>
      <c r="L299">
        <v>0</v>
      </c>
      <c r="M299">
        <v>-45</v>
      </c>
      <c r="N299">
        <v>19.614186873472306</v>
      </c>
      <c r="O299">
        <v>1.5691349498777845</v>
      </c>
      <c r="P299" s="139">
        <v>46174</v>
      </c>
      <c r="Q299" s="113"/>
    </row>
    <row r="300" spans="2:17" customFormat="1">
      <c r="B300" s="256">
        <v>9080</v>
      </c>
      <c r="C300" s="6" t="s">
        <v>472</v>
      </c>
      <c r="Q300" s="113"/>
    </row>
    <row r="301" spans="2:17" customFormat="1">
      <c r="B301" s="256">
        <v>9300</v>
      </c>
      <c r="C301" s="6">
        <v>1855</v>
      </c>
      <c r="D301" s="1">
        <v>80</v>
      </c>
      <c r="E301" s="5" t="s">
        <v>1</v>
      </c>
      <c r="F301" s="6" t="s">
        <v>46</v>
      </c>
      <c r="G301" s="7">
        <v>22609</v>
      </c>
      <c r="H301" t="s">
        <v>472</v>
      </c>
      <c r="I301">
        <v>40</v>
      </c>
      <c r="J301">
        <v>22.809000000000001</v>
      </c>
      <c r="K301">
        <v>1.8247199999999999</v>
      </c>
      <c r="L301">
        <v>0</v>
      </c>
      <c r="M301">
        <v>-45</v>
      </c>
      <c r="N301">
        <v>23.324122224963755</v>
      </c>
      <c r="O301">
        <v>1.8659297779971005</v>
      </c>
      <c r="P301" s="139">
        <v>46174</v>
      </c>
      <c r="Q301" s="113"/>
    </row>
    <row r="302" spans="2:17" customFormat="1">
      <c r="B302" s="256">
        <v>31052</v>
      </c>
      <c r="C302" s="6">
        <v>1900</v>
      </c>
      <c r="D302" s="1">
        <v>80</v>
      </c>
      <c r="E302" s="27" t="s">
        <v>470</v>
      </c>
      <c r="F302" t="s">
        <v>51</v>
      </c>
      <c r="G302" s="7">
        <v>2960</v>
      </c>
      <c r="H302" t="s">
        <v>472</v>
      </c>
      <c r="I302">
        <v>100</v>
      </c>
      <c r="J302">
        <v>19.968083200000002</v>
      </c>
      <c r="K302">
        <v>1.5974466560000002</v>
      </c>
      <c r="L302">
        <v>60</v>
      </c>
      <c r="M302">
        <v>-45</v>
      </c>
      <c r="N302">
        <v>20.419045690518892</v>
      </c>
      <c r="O302">
        <v>1.6335236552415113</v>
      </c>
      <c r="P302" s="139">
        <v>46174</v>
      </c>
      <c r="Q302" s="113"/>
    </row>
    <row r="303" spans="2:17" customFormat="1">
      <c r="B303" s="256">
        <v>31052</v>
      </c>
      <c r="C303" s="6">
        <v>1900</v>
      </c>
      <c r="D303" s="1">
        <v>80</v>
      </c>
      <c r="E303" s="27" t="s">
        <v>470</v>
      </c>
      <c r="F303" t="s">
        <v>51</v>
      </c>
      <c r="G303" s="7">
        <v>3010</v>
      </c>
      <c r="H303" t="s">
        <v>472</v>
      </c>
      <c r="I303">
        <v>50</v>
      </c>
      <c r="J303">
        <v>20.301433199999998</v>
      </c>
      <c r="K303">
        <v>1.6241146559999999</v>
      </c>
      <c r="L303">
        <v>60</v>
      </c>
      <c r="M303">
        <v>-45</v>
      </c>
      <c r="N303">
        <v>20.75992412200171</v>
      </c>
      <c r="O303">
        <v>1.6607939297601368</v>
      </c>
      <c r="P303" s="139">
        <v>46174</v>
      </c>
      <c r="Q303" s="113"/>
    </row>
    <row r="304" spans="2:17" customFormat="1">
      <c r="B304" s="256">
        <v>31052</v>
      </c>
      <c r="C304" s="6">
        <v>1900</v>
      </c>
      <c r="D304" s="1">
        <v>80</v>
      </c>
      <c r="E304" s="27" t="s">
        <v>470</v>
      </c>
      <c r="F304" t="s">
        <v>51</v>
      </c>
      <c r="G304" s="7">
        <v>3310</v>
      </c>
      <c r="H304" t="s">
        <v>472</v>
      </c>
      <c r="I304">
        <v>20</v>
      </c>
      <c r="J304">
        <v>22.301533199999998</v>
      </c>
      <c r="K304">
        <v>1.7841226559999999</v>
      </c>
      <c r="L304">
        <v>60</v>
      </c>
      <c r="M304">
        <v>-45</v>
      </c>
      <c r="N304">
        <v>22.805194710898636</v>
      </c>
      <c r="O304">
        <v>1.8244155768718908</v>
      </c>
      <c r="P304" s="139">
        <v>46174</v>
      </c>
      <c r="Q304" s="113"/>
    </row>
    <row r="305" spans="2:18">
      <c r="B305" s="256" t="s">
        <v>52</v>
      </c>
      <c r="C305" s="6">
        <v>1270</v>
      </c>
      <c r="D305" s="250">
        <v>68</v>
      </c>
      <c r="E305" s="27" t="s">
        <v>2</v>
      </c>
      <c r="F305" t="s">
        <v>51</v>
      </c>
      <c r="G305" s="7">
        <v>2020</v>
      </c>
      <c r="H305" t="s">
        <v>472</v>
      </c>
      <c r="I305" s="6">
        <v>100</v>
      </c>
      <c r="J305">
        <v>13.524103200000003</v>
      </c>
      <c r="K305">
        <v>0.91963901760000011</v>
      </c>
      <c r="L305">
        <v>120</v>
      </c>
      <c r="M305">
        <v>15</v>
      </c>
      <c r="N305">
        <v>13.423799443222929</v>
      </c>
      <c r="O305">
        <v>0.91281836213915912</v>
      </c>
      <c r="P305" s="139">
        <v>46082</v>
      </c>
      <c r="Q305" s="113"/>
      <c r="R305"/>
    </row>
    <row r="306" spans="2:18">
      <c r="B306" s="256" t="s">
        <v>52</v>
      </c>
      <c r="C306" s="6">
        <v>1270</v>
      </c>
      <c r="D306" s="250">
        <v>68</v>
      </c>
      <c r="E306" s="27" t="s">
        <v>2</v>
      </c>
      <c r="F306" t="s">
        <v>51</v>
      </c>
      <c r="G306" s="255">
        <v>2120</v>
      </c>
      <c r="H306" t="s">
        <v>472</v>
      </c>
      <c r="I306" s="6">
        <v>30</v>
      </c>
      <c r="J306">
        <v>14.190803200000001</v>
      </c>
      <c r="K306">
        <v>0.96497461760000003</v>
      </c>
      <c r="L306">
        <v>120</v>
      </c>
      <c r="M306">
        <v>15</v>
      </c>
      <c r="N306">
        <v>14.085554751981347</v>
      </c>
      <c r="O306">
        <v>0.95781772313473157</v>
      </c>
      <c r="P306" s="139">
        <v>46082</v>
      </c>
      <c r="Q306" s="113"/>
      <c r="R306"/>
    </row>
    <row r="307" spans="2:18">
      <c r="B307" s="256" t="s">
        <v>52</v>
      </c>
      <c r="C307" s="6">
        <v>1270</v>
      </c>
      <c r="D307" s="250">
        <v>68</v>
      </c>
      <c r="E307" s="27" t="s">
        <v>2</v>
      </c>
      <c r="F307" t="s">
        <v>51</v>
      </c>
      <c r="G307" s="7">
        <v>2040</v>
      </c>
      <c r="H307" t="s">
        <v>472</v>
      </c>
      <c r="I307" s="6">
        <v>70</v>
      </c>
      <c r="J307">
        <v>13.657443200000003</v>
      </c>
      <c r="K307">
        <v>0.9287061376000002</v>
      </c>
      <c r="L307">
        <v>120</v>
      </c>
      <c r="M307">
        <v>15</v>
      </c>
      <c r="N307">
        <v>13.556150504974614</v>
      </c>
      <c r="O307">
        <v>0.9218182343382737</v>
      </c>
      <c r="P307" s="139">
        <v>46082</v>
      </c>
      <c r="Q307" s="113"/>
    </row>
    <row r="308" spans="2:18">
      <c r="B308" s="256" t="s">
        <v>52</v>
      </c>
      <c r="C308" s="6">
        <v>1270</v>
      </c>
      <c r="D308" s="250">
        <v>68</v>
      </c>
      <c r="E308" s="27" t="s">
        <v>2</v>
      </c>
      <c r="F308" t="s">
        <v>51</v>
      </c>
      <c r="G308" s="7">
        <v>2070</v>
      </c>
      <c r="H308" t="s">
        <v>472</v>
      </c>
      <c r="I308" s="6">
        <v>50</v>
      </c>
      <c r="J308">
        <v>13.8574532</v>
      </c>
      <c r="K308">
        <v>0.94230681760000001</v>
      </c>
      <c r="L308">
        <v>120</v>
      </c>
      <c r="M308">
        <v>15</v>
      </c>
      <c r="N308">
        <v>13.754677097602135</v>
      </c>
      <c r="O308">
        <v>0.93531804263694518</v>
      </c>
      <c r="P308" s="139">
        <v>46082</v>
      </c>
      <c r="Q308" s="113"/>
    </row>
    <row r="309" spans="2:18">
      <c r="B309" s="256" t="s">
        <v>52</v>
      </c>
      <c r="C309" s="6">
        <v>1870</v>
      </c>
      <c r="D309" s="1">
        <v>71</v>
      </c>
      <c r="E309" s="27" t="s">
        <v>47</v>
      </c>
      <c r="F309" s="6" t="s">
        <v>51</v>
      </c>
      <c r="G309" s="7">
        <v>2320</v>
      </c>
      <c r="H309">
        <v>300</v>
      </c>
      <c r="I309">
        <v>50</v>
      </c>
      <c r="J309">
        <v>15.7012032</v>
      </c>
      <c r="K309">
        <v>1.1147854272</v>
      </c>
      <c r="L309">
        <v>120</v>
      </c>
      <c r="M309">
        <v>15</v>
      </c>
      <c r="N309">
        <v>15.584752619611038</v>
      </c>
      <c r="O309">
        <v>1.1065174359923837</v>
      </c>
      <c r="P309" s="139">
        <v>46174</v>
      </c>
      <c r="Q309" s="113"/>
    </row>
    <row r="310" spans="2:18">
      <c r="B310" s="256" t="s">
        <v>52</v>
      </c>
      <c r="C310" s="6">
        <v>1870</v>
      </c>
      <c r="D310" s="1">
        <v>71</v>
      </c>
      <c r="E310" s="27" t="s">
        <v>47</v>
      </c>
      <c r="F310" s="6" t="s">
        <v>51</v>
      </c>
      <c r="G310" s="7">
        <v>2370</v>
      </c>
      <c r="H310">
        <v>300</v>
      </c>
      <c r="I310">
        <v>30</v>
      </c>
      <c r="J310">
        <v>16.034553200000001</v>
      </c>
      <c r="K310">
        <v>1.1384532772000002</v>
      </c>
      <c r="L310">
        <v>120</v>
      </c>
      <c r="M310">
        <v>15</v>
      </c>
      <c r="N310">
        <v>15.915630273990249</v>
      </c>
      <c r="O310">
        <v>1.1300097494533079</v>
      </c>
      <c r="P310" s="139">
        <v>46174</v>
      </c>
      <c r="Q310" s="113"/>
    </row>
    <row r="311" spans="2:18">
      <c r="B311" s="256" t="s">
        <v>52</v>
      </c>
      <c r="C311" s="6">
        <v>1870</v>
      </c>
      <c r="D311" s="1">
        <v>71</v>
      </c>
      <c r="E311" s="27" t="s">
        <v>47</v>
      </c>
      <c r="F311" s="6" t="s">
        <v>51</v>
      </c>
      <c r="G311" s="7">
        <v>2420</v>
      </c>
      <c r="H311">
        <v>300</v>
      </c>
      <c r="I311">
        <v>20</v>
      </c>
      <c r="J311">
        <v>16.367903200000001</v>
      </c>
      <c r="K311">
        <v>1.1621211272000003</v>
      </c>
      <c r="L311">
        <v>120</v>
      </c>
      <c r="M311">
        <v>15</v>
      </c>
      <c r="N311">
        <v>16.246507928369457</v>
      </c>
      <c r="O311">
        <v>1.1535020629142316</v>
      </c>
      <c r="P311" s="139">
        <v>46174</v>
      </c>
      <c r="Q311" s="113"/>
    </row>
    <row r="312" spans="2:18">
      <c r="B312" s="256" t="s">
        <v>52</v>
      </c>
      <c r="C312" s="6">
        <v>1870</v>
      </c>
      <c r="D312" s="1">
        <v>71</v>
      </c>
      <c r="E312" s="27" t="s">
        <v>47</v>
      </c>
      <c r="F312" s="6" t="s">
        <v>51</v>
      </c>
      <c r="G312" s="7">
        <v>2500</v>
      </c>
      <c r="H312">
        <v>300</v>
      </c>
      <c r="I312">
        <v>10</v>
      </c>
      <c r="J312">
        <v>16.901263199999999</v>
      </c>
      <c r="K312">
        <v>1.1999896872</v>
      </c>
      <c r="L312">
        <v>120</v>
      </c>
      <c r="M312">
        <v>15</v>
      </c>
      <c r="N312">
        <v>16.775912175376192</v>
      </c>
      <c r="O312">
        <v>1.1910897644517098</v>
      </c>
      <c r="P312" s="139">
        <v>46174</v>
      </c>
      <c r="Q312" s="113"/>
    </row>
    <row r="313" spans="2:18">
      <c r="B313" s="256" t="s">
        <v>52</v>
      </c>
      <c r="C313" s="6">
        <v>2070</v>
      </c>
      <c r="D313" s="1">
        <v>71</v>
      </c>
      <c r="E313" s="27" t="s">
        <v>47</v>
      </c>
      <c r="F313" s="6" t="s">
        <v>51</v>
      </c>
      <c r="G313" s="7">
        <v>2320</v>
      </c>
      <c r="H313">
        <v>300</v>
      </c>
      <c r="I313">
        <v>50</v>
      </c>
      <c r="J313">
        <v>15.7012032</v>
      </c>
      <c r="K313">
        <v>1.1147854272</v>
      </c>
      <c r="L313">
        <v>120</v>
      </c>
      <c r="M313">
        <v>15</v>
      </c>
      <c r="N313">
        <v>15.584752619611038</v>
      </c>
      <c r="O313">
        <v>1.1065174359923837</v>
      </c>
      <c r="P313" s="139">
        <v>46174</v>
      </c>
      <c r="Q313" s="113"/>
    </row>
    <row r="314" spans="2:18">
      <c r="B314" s="256" t="s">
        <v>52</v>
      </c>
      <c r="C314" s="6">
        <v>2070</v>
      </c>
      <c r="D314" s="1">
        <v>71</v>
      </c>
      <c r="E314" s="27" t="s">
        <v>47</v>
      </c>
      <c r="F314" s="6" t="s">
        <v>51</v>
      </c>
      <c r="G314" s="7">
        <v>2370</v>
      </c>
      <c r="H314">
        <v>300</v>
      </c>
      <c r="I314">
        <v>30</v>
      </c>
      <c r="J314">
        <v>16.034553200000001</v>
      </c>
      <c r="K314">
        <v>1.1384532772000002</v>
      </c>
      <c r="L314">
        <v>120</v>
      </c>
      <c r="M314">
        <v>15</v>
      </c>
      <c r="N314">
        <v>15.915630273990249</v>
      </c>
      <c r="O314">
        <v>1.1300097494533079</v>
      </c>
      <c r="P314" s="139">
        <v>46174</v>
      </c>
      <c r="Q314" s="6"/>
    </row>
    <row r="315" spans="2:18">
      <c r="B315" s="256" t="s">
        <v>52</v>
      </c>
      <c r="C315" s="6">
        <v>2070</v>
      </c>
      <c r="D315" s="1">
        <v>71</v>
      </c>
      <c r="E315" s="27" t="s">
        <v>47</v>
      </c>
      <c r="F315" s="6" t="s">
        <v>51</v>
      </c>
      <c r="G315" s="7">
        <v>2420</v>
      </c>
      <c r="H315">
        <v>300</v>
      </c>
      <c r="I315">
        <v>20</v>
      </c>
      <c r="J315">
        <v>16.367903200000001</v>
      </c>
      <c r="K315">
        <v>1.1621211272000003</v>
      </c>
      <c r="L315">
        <v>120</v>
      </c>
      <c r="M315">
        <v>15</v>
      </c>
      <c r="N315">
        <v>16.246507928369457</v>
      </c>
      <c r="O315">
        <v>1.1535020629142316</v>
      </c>
      <c r="P315" s="139">
        <v>46174</v>
      </c>
      <c r="Q315" s="113"/>
    </row>
    <row r="316" spans="2:18">
      <c r="B316" s="256" t="s">
        <v>52</v>
      </c>
      <c r="C316" s="6">
        <v>2070</v>
      </c>
      <c r="D316" s="1">
        <v>71</v>
      </c>
      <c r="E316" s="27" t="s">
        <v>47</v>
      </c>
      <c r="F316" s="6" t="s">
        <v>51</v>
      </c>
      <c r="G316" s="7">
        <v>2500</v>
      </c>
      <c r="H316">
        <v>300</v>
      </c>
      <c r="I316">
        <v>10</v>
      </c>
      <c r="J316">
        <v>16.901263199999999</v>
      </c>
      <c r="K316">
        <v>1.1999896872</v>
      </c>
      <c r="L316">
        <v>120</v>
      </c>
      <c r="M316">
        <v>15</v>
      </c>
      <c r="N316">
        <v>16.775912175376192</v>
      </c>
      <c r="O316">
        <v>1.1910897644517098</v>
      </c>
      <c r="P316" s="139">
        <v>46174</v>
      </c>
      <c r="Q316" s="113"/>
    </row>
    <row r="317" spans="2:18">
      <c r="B317" s="256" t="s">
        <v>52</v>
      </c>
      <c r="C317" s="6" t="s">
        <v>472</v>
      </c>
      <c r="D317"/>
      <c r="E317"/>
      <c r="F317"/>
      <c r="G317"/>
      <c r="H317"/>
      <c r="I317"/>
      <c r="J317"/>
      <c r="K317"/>
      <c r="L317"/>
      <c r="M317"/>
      <c r="N317"/>
      <c r="O317"/>
      <c r="P317"/>
      <c r="Q317" s="113"/>
    </row>
    <row r="318" spans="2:18">
      <c r="B318" s="256" t="s">
        <v>123</v>
      </c>
      <c r="C318" s="6">
        <v>2065</v>
      </c>
      <c r="D318" s="250">
        <v>60</v>
      </c>
      <c r="E318" s="253" t="s">
        <v>1</v>
      </c>
      <c r="F318" s="252" t="s">
        <v>46</v>
      </c>
      <c r="G318" s="7">
        <v>11079</v>
      </c>
      <c r="H318" t="s">
        <v>472</v>
      </c>
      <c r="I318">
        <v>40</v>
      </c>
      <c r="J318">
        <v>11.279</v>
      </c>
      <c r="K318">
        <v>0.6767399999999999</v>
      </c>
      <c r="L318">
        <v>0</v>
      </c>
      <c r="M318">
        <v>-45</v>
      </c>
      <c r="N318">
        <v>11.533726799744231</v>
      </c>
      <c r="O318">
        <v>0.6920236079846539</v>
      </c>
      <c r="P318" s="139">
        <v>46174</v>
      </c>
      <c r="Q318" s="113"/>
    </row>
    <row r="319" spans="2:18">
      <c r="B319" s="256" t="s">
        <v>123</v>
      </c>
      <c r="C319" s="6" t="s">
        <v>472</v>
      </c>
      <c r="D319"/>
      <c r="E319"/>
      <c r="F319"/>
      <c r="G319"/>
      <c r="H319"/>
      <c r="I319"/>
      <c r="J319"/>
      <c r="K319"/>
      <c r="L319"/>
      <c r="M319"/>
      <c r="N319"/>
      <c r="O319"/>
      <c r="P319"/>
      <c r="Q319" s="113"/>
    </row>
    <row r="320" spans="2:18">
      <c r="B320" s="256" t="s">
        <v>123</v>
      </c>
      <c r="C320" s="6">
        <v>2080</v>
      </c>
      <c r="D320" s="250">
        <v>60</v>
      </c>
      <c r="E320" s="254" t="s">
        <v>67</v>
      </c>
      <c r="F320" s="6" t="s">
        <v>51</v>
      </c>
      <c r="G320" s="7">
        <v>1230</v>
      </c>
      <c r="H320" s="7" t="s">
        <v>472</v>
      </c>
      <c r="I320">
        <v>100</v>
      </c>
      <c r="J320">
        <v>8.4341732000000018</v>
      </c>
      <c r="K320">
        <v>0.50605039200000013</v>
      </c>
      <c r="L320">
        <v>90</v>
      </c>
      <c r="M320">
        <v>-15</v>
      </c>
      <c r="N320">
        <v>8.4971940504564358</v>
      </c>
      <c r="O320">
        <v>0.50983164302738615</v>
      </c>
      <c r="P320" s="139">
        <v>45870</v>
      </c>
      <c r="Q320" s="113"/>
    </row>
    <row r="321" spans="2:17">
      <c r="B321" s="256" t="s">
        <v>123</v>
      </c>
      <c r="C321" s="6">
        <v>2080</v>
      </c>
      <c r="D321" s="250">
        <v>60</v>
      </c>
      <c r="E321" s="254" t="s">
        <v>47</v>
      </c>
      <c r="F321" s="252" t="s">
        <v>51</v>
      </c>
      <c r="G321" s="255">
        <v>1350</v>
      </c>
      <c r="H321" s="257">
        <v>300</v>
      </c>
      <c r="I321" s="252" t="s">
        <v>472</v>
      </c>
      <c r="J321">
        <v>9.2342132000000028</v>
      </c>
      <c r="K321">
        <v>0.55405279200000013</v>
      </c>
      <c r="L321">
        <v>120</v>
      </c>
      <c r="M321">
        <v>15</v>
      </c>
      <c r="N321">
        <v>9.1657261246543751</v>
      </c>
      <c r="O321">
        <v>0.54994356747926243</v>
      </c>
      <c r="P321" s="139">
        <v>45627</v>
      </c>
      <c r="Q321" s="113"/>
    </row>
    <row r="322" spans="2:17">
      <c r="B322" s="256" t="s">
        <v>123</v>
      </c>
      <c r="C322" s="6">
        <v>2080</v>
      </c>
      <c r="D322" s="250">
        <v>60</v>
      </c>
      <c r="E322" s="27" t="s">
        <v>21</v>
      </c>
      <c r="F322" s="6" t="s">
        <v>46</v>
      </c>
      <c r="G322" s="7">
        <v>10590</v>
      </c>
      <c r="H322" s="110" t="s">
        <v>472</v>
      </c>
      <c r="I322" t="s">
        <v>472</v>
      </c>
      <c r="J322">
        <v>10.79</v>
      </c>
      <c r="K322">
        <v>0.64739999999999998</v>
      </c>
      <c r="L322">
        <v>0</v>
      </c>
      <c r="M322">
        <v>-45</v>
      </c>
      <c r="N322">
        <v>11.033683142941772</v>
      </c>
      <c r="O322">
        <v>0.66202098857650626</v>
      </c>
      <c r="P322" s="139">
        <v>45992</v>
      </c>
      <c r="Q322" s="113"/>
    </row>
    <row r="323" spans="2:17">
      <c r="B323" s="256" t="s">
        <v>123</v>
      </c>
      <c r="C323" s="6">
        <v>2080</v>
      </c>
      <c r="D323" s="250">
        <v>60</v>
      </c>
      <c r="E323" s="27" t="s">
        <v>240</v>
      </c>
      <c r="F323" s="6" t="s">
        <v>267</v>
      </c>
      <c r="G323" s="7">
        <v>9000</v>
      </c>
      <c r="H323" s="110">
        <v>3300</v>
      </c>
      <c r="I323" s="6" t="s">
        <v>472</v>
      </c>
      <c r="J323">
        <v>8.9065799999999999</v>
      </c>
      <c r="K323">
        <v>0.53439480000000006</v>
      </c>
      <c r="L323">
        <v>90</v>
      </c>
      <c r="M323">
        <v>-30</v>
      </c>
      <c r="N323">
        <v>9.0401786999999985</v>
      </c>
      <c r="O323">
        <v>0.54241072199999985</v>
      </c>
      <c r="P323" s="139">
        <v>46023</v>
      </c>
      <c r="Q323" s="113"/>
    </row>
    <row r="324" spans="2:17">
      <c r="B324" s="256" t="s">
        <v>123</v>
      </c>
      <c r="C324" s="6">
        <v>2080</v>
      </c>
      <c r="D324" s="1">
        <v>50</v>
      </c>
      <c r="E324" s="27" t="s">
        <v>67</v>
      </c>
      <c r="F324" s="6" t="s">
        <v>51</v>
      </c>
      <c r="G324" s="7">
        <v>1250</v>
      </c>
      <c r="H324" s="110" t="s">
        <v>472</v>
      </c>
      <c r="I324">
        <v>100</v>
      </c>
      <c r="J324">
        <v>8.6265131999999998</v>
      </c>
      <c r="K324">
        <v>0.43132566</v>
      </c>
      <c r="L324">
        <v>90</v>
      </c>
      <c r="M324">
        <v>-15</v>
      </c>
      <c r="N324">
        <v>8.6909712310892413</v>
      </c>
      <c r="O324">
        <v>0.43454856155446209</v>
      </c>
      <c r="P324" s="139">
        <v>45870</v>
      </c>
      <c r="Q324" s="113"/>
    </row>
    <row r="325" spans="2:17">
      <c r="B325" s="256" t="s">
        <v>123</v>
      </c>
      <c r="C325" s="6">
        <v>2080</v>
      </c>
      <c r="D325" s="1">
        <v>50</v>
      </c>
      <c r="E325" s="27" t="s">
        <v>240</v>
      </c>
      <c r="F325" s="6" t="s">
        <v>267</v>
      </c>
      <c r="G325" s="7">
        <v>9000</v>
      </c>
      <c r="H325" s="110">
        <v>3300</v>
      </c>
      <c r="I325" t="s">
        <v>472</v>
      </c>
      <c r="J325">
        <v>8.9065799999999999</v>
      </c>
      <c r="K325">
        <v>0.44532900000000003</v>
      </c>
      <c r="L325">
        <v>90</v>
      </c>
      <c r="M325">
        <v>-30</v>
      </c>
      <c r="N325">
        <v>9.0401786999999985</v>
      </c>
      <c r="O325">
        <v>0.45200893499999995</v>
      </c>
      <c r="P325" s="139">
        <v>45992</v>
      </c>
      <c r="Q325" s="113"/>
    </row>
    <row r="326" spans="2:17">
      <c r="B326" s="256" t="s">
        <v>303</v>
      </c>
      <c r="C326" s="6">
        <v>1900</v>
      </c>
      <c r="D326" s="250">
        <v>40</v>
      </c>
      <c r="E326" s="254" t="s">
        <v>21</v>
      </c>
      <c r="F326" s="252" t="s">
        <v>46</v>
      </c>
      <c r="G326" s="7">
        <v>14203.2</v>
      </c>
      <c r="H326" s="6" t="s">
        <v>472</v>
      </c>
      <c r="I326" t="s">
        <v>472</v>
      </c>
      <c r="J326">
        <v>14.4032</v>
      </c>
      <c r="K326">
        <v>0.57612799999999997</v>
      </c>
      <c r="L326">
        <v>0</v>
      </c>
      <c r="M326">
        <v>-45</v>
      </c>
      <c r="N326">
        <v>14.728484248787669</v>
      </c>
      <c r="O326">
        <v>0.58913936995150673</v>
      </c>
      <c r="P326" s="139">
        <v>46113</v>
      </c>
      <c r="Q326" s="113"/>
    </row>
    <row r="327" spans="2:17">
      <c r="B327" s="256" t="s">
        <v>303</v>
      </c>
      <c r="C327" s="6">
        <v>1900</v>
      </c>
      <c r="D327" s="250">
        <v>40</v>
      </c>
      <c r="E327" s="27" t="s">
        <v>151</v>
      </c>
      <c r="F327" t="s">
        <v>46</v>
      </c>
      <c r="G327" s="7">
        <v>8864.4599999999991</v>
      </c>
      <c r="H327" t="s">
        <v>472</v>
      </c>
      <c r="I327" t="s">
        <v>472</v>
      </c>
      <c r="J327">
        <v>9.0644599999999986</v>
      </c>
      <c r="K327">
        <v>0.36257839999999991</v>
      </c>
      <c r="L327">
        <v>30</v>
      </c>
      <c r="M327">
        <v>-15</v>
      </c>
      <c r="N327">
        <v>9.1321904063578287</v>
      </c>
      <c r="O327">
        <v>0.36528761625431316</v>
      </c>
      <c r="P327" s="139">
        <v>45809</v>
      </c>
      <c r="Q327" s="113"/>
    </row>
    <row r="328" spans="2:17">
      <c r="B328" s="256" t="s">
        <v>303</v>
      </c>
      <c r="C328" s="6">
        <v>1900</v>
      </c>
      <c r="D328" s="250">
        <v>40</v>
      </c>
      <c r="E328" s="254" t="s">
        <v>207</v>
      </c>
      <c r="F328" s="252" t="s">
        <v>158</v>
      </c>
      <c r="G328" s="255">
        <v>2198</v>
      </c>
      <c r="H328" t="s">
        <v>472</v>
      </c>
      <c r="I328" t="s">
        <v>472</v>
      </c>
      <c r="J328">
        <v>14.596466666666668</v>
      </c>
      <c r="K328">
        <v>0.58385866666666675</v>
      </c>
      <c r="L328">
        <v>90</v>
      </c>
      <c r="M328">
        <v>-30</v>
      </c>
      <c r="N328">
        <v>14.815413666666666</v>
      </c>
      <c r="O328">
        <v>0.59261654666666663</v>
      </c>
      <c r="P328" s="139">
        <v>45444</v>
      </c>
      <c r="Q328" s="113"/>
    </row>
    <row r="329" spans="2:17">
      <c r="B329" s="256" t="s">
        <v>303</v>
      </c>
      <c r="C329" s="6">
        <v>1900</v>
      </c>
      <c r="D329" s="250">
        <v>40</v>
      </c>
      <c r="E329" s="27" t="s">
        <v>385</v>
      </c>
      <c r="F329" t="s">
        <v>51</v>
      </c>
      <c r="G329" s="7">
        <v>1750</v>
      </c>
      <c r="H329" t="s">
        <v>472</v>
      </c>
      <c r="I329">
        <v>20</v>
      </c>
      <c r="J329">
        <v>12.982080000000003</v>
      </c>
      <c r="K329">
        <v>0.51928320000000017</v>
      </c>
      <c r="L329">
        <v>0</v>
      </c>
      <c r="M329">
        <v>-120</v>
      </c>
      <c r="N329">
        <v>13.778706523297796</v>
      </c>
      <c r="O329">
        <v>0.55114826093191183</v>
      </c>
      <c r="P329" s="139">
        <v>46143</v>
      </c>
      <c r="Q329" s="113"/>
    </row>
    <row r="330" spans="2:17">
      <c r="B330" s="256" t="s">
        <v>303</v>
      </c>
      <c r="C330" s="6">
        <v>1900</v>
      </c>
      <c r="D330" s="250">
        <v>30</v>
      </c>
      <c r="E330" s="254" t="s">
        <v>207</v>
      </c>
      <c r="F330" s="252" t="s">
        <v>158</v>
      </c>
      <c r="G330" s="255">
        <v>1990</v>
      </c>
      <c r="H330" t="s">
        <v>472</v>
      </c>
      <c r="I330" t="s">
        <v>472</v>
      </c>
      <c r="J330">
        <v>13.400466666666667</v>
      </c>
      <c r="K330">
        <v>0.40201399999999998</v>
      </c>
      <c r="L330">
        <v>90</v>
      </c>
      <c r="M330">
        <v>-30</v>
      </c>
      <c r="N330">
        <v>13.601473666666665</v>
      </c>
      <c r="O330">
        <v>0.40804420999999996</v>
      </c>
      <c r="P330" s="139">
        <v>45778</v>
      </c>
      <c r="Q330" s="113"/>
    </row>
    <row r="331" spans="2:17">
      <c r="B331" s="256" t="s">
        <v>303</v>
      </c>
      <c r="C331" s="6">
        <v>1880</v>
      </c>
      <c r="D331" s="250">
        <v>30</v>
      </c>
      <c r="E331" s="254" t="s">
        <v>151</v>
      </c>
      <c r="F331" s="252" t="s">
        <v>46</v>
      </c>
      <c r="G331" s="255">
        <v>9568.2262499999997</v>
      </c>
      <c r="H331" t="s">
        <v>472</v>
      </c>
      <c r="I331" t="s">
        <v>472</v>
      </c>
      <c r="J331">
        <v>9.7682262499999997</v>
      </c>
      <c r="K331">
        <v>0.29304678749999996</v>
      </c>
      <c r="L331">
        <v>30</v>
      </c>
      <c r="M331">
        <v>-15</v>
      </c>
      <c r="N331">
        <v>9.8412152568804689</v>
      </c>
      <c r="O331">
        <v>0.29523645770641405</v>
      </c>
      <c r="P331" s="139">
        <v>45901</v>
      </c>
      <c r="Q331" s="113"/>
    </row>
    <row r="332" spans="2:17">
      <c r="B332" s="256" t="s">
        <v>122</v>
      </c>
      <c r="C332" s="6">
        <v>1900</v>
      </c>
      <c r="D332" s="250">
        <v>40</v>
      </c>
      <c r="E332" s="254" t="s">
        <v>21</v>
      </c>
      <c r="F332" s="252" t="s">
        <v>46</v>
      </c>
      <c r="G332" s="7">
        <v>19239.78</v>
      </c>
      <c r="H332" t="s">
        <v>472</v>
      </c>
      <c r="I332" t="s">
        <v>472</v>
      </c>
      <c r="J332">
        <v>19.439779999999999</v>
      </c>
      <c r="K332">
        <v>0.77759120000000004</v>
      </c>
      <c r="L332">
        <v>0</v>
      </c>
      <c r="M332">
        <v>-45</v>
      </c>
      <c r="N332">
        <v>19.878811203753163</v>
      </c>
      <c r="O332">
        <v>0.79515244815012653</v>
      </c>
      <c r="P332" s="139">
        <v>46113</v>
      </c>
      <c r="Q332" s="113"/>
    </row>
    <row r="333" spans="2:17">
      <c r="B333" s="256" t="s">
        <v>76</v>
      </c>
      <c r="C333" s="6">
        <v>1900</v>
      </c>
      <c r="D333" s="1">
        <v>40</v>
      </c>
      <c r="E333" s="27" t="s">
        <v>21</v>
      </c>
      <c r="F333" s="6" t="s">
        <v>46</v>
      </c>
      <c r="G333" s="7">
        <v>12385.83</v>
      </c>
      <c r="H333" t="s">
        <v>472</v>
      </c>
      <c r="I333" t="s">
        <v>472</v>
      </c>
      <c r="J333">
        <v>12.58583</v>
      </c>
      <c r="K333">
        <v>0.50343319999999991</v>
      </c>
      <c r="L333">
        <v>0</v>
      </c>
      <c r="M333">
        <v>-45</v>
      </c>
      <c r="N333">
        <v>12.870070464405085</v>
      </c>
      <c r="O333">
        <v>0.51480281857620336</v>
      </c>
      <c r="P333" s="139">
        <v>46113</v>
      </c>
      <c r="Q333" s="113"/>
    </row>
    <row r="334" spans="2:17">
      <c r="B334" s="256" t="s">
        <v>76</v>
      </c>
      <c r="C334" s="6">
        <v>1900</v>
      </c>
      <c r="D334" s="1">
        <v>40</v>
      </c>
      <c r="E334" s="254" t="s">
        <v>207</v>
      </c>
      <c r="F334" s="252" t="s">
        <v>158</v>
      </c>
      <c r="G334" s="255">
        <v>2153</v>
      </c>
      <c r="H334" t="s">
        <v>472</v>
      </c>
      <c r="I334" t="s">
        <v>472</v>
      </c>
      <c r="J334">
        <v>14.337716666666669</v>
      </c>
      <c r="K334">
        <v>0.57350866666666678</v>
      </c>
      <c r="L334">
        <v>90</v>
      </c>
      <c r="M334">
        <v>-30</v>
      </c>
      <c r="N334">
        <v>14.552782416666668</v>
      </c>
      <c r="O334">
        <v>0.58211129666666672</v>
      </c>
      <c r="P334" s="139">
        <v>45444</v>
      </c>
      <c r="Q334" s="113"/>
    </row>
    <row r="335" spans="2:17">
      <c r="B335" s="256" t="s">
        <v>76</v>
      </c>
      <c r="C335" s="6">
        <v>1900</v>
      </c>
      <c r="D335" s="1">
        <v>40</v>
      </c>
      <c r="E335" s="254" t="s">
        <v>240</v>
      </c>
      <c r="F335" s="252" t="s">
        <v>51</v>
      </c>
      <c r="G335" s="255">
        <v>2600</v>
      </c>
      <c r="H335" s="110">
        <v>400</v>
      </c>
      <c r="I335" s="6">
        <v>26</v>
      </c>
      <c r="J335">
        <v>18.699180000000002</v>
      </c>
      <c r="K335">
        <v>0.74796720000000017</v>
      </c>
      <c r="L335">
        <v>75</v>
      </c>
      <c r="M335">
        <v>-45</v>
      </c>
      <c r="N335">
        <v>19.121485370976274</v>
      </c>
      <c r="O335">
        <v>0.76485941483905096</v>
      </c>
      <c r="P335" s="139">
        <v>45809</v>
      </c>
      <c r="Q335" s="113"/>
    </row>
    <row r="336" spans="2:17">
      <c r="B336" s="256" t="s">
        <v>76</v>
      </c>
      <c r="C336" s="6">
        <v>1900</v>
      </c>
      <c r="D336" s="1">
        <v>40</v>
      </c>
      <c r="E336" s="27" t="s">
        <v>385</v>
      </c>
      <c r="F336" t="s">
        <v>51</v>
      </c>
      <c r="G336" s="7">
        <v>1750</v>
      </c>
      <c r="H336" t="s">
        <v>472</v>
      </c>
      <c r="I336">
        <v>20</v>
      </c>
      <c r="J336">
        <v>12.982080000000003</v>
      </c>
      <c r="K336">
        <v>0.51928320000000017</v>
      </c>
      <c r="L336">
        <v>0</v>
      </c>
      <c r="M336">
        <v>-120</v>
      </c>
      <c r="N336">
        <v>13.778706523297796</v>
      </c>
      <c r="O336">
        <v>0.55114826093191183</v>
      </c>
      <c r="P336" s="139">
        <v>46143</v>
      </c>
      <c r="Q336" s="113"/>
    </row>
    <row r="337" spans="2:17">
      <c r="B337" s="256" t="s">
        <v>76</v>
      </c>
      <c r="C337" s="6">
        <v>1900</v>
      </c>
      <c r="D337" s="250">
        <v>30</v>
      </c>
      <c r="E337" s="254" t="s">
        <v>207</v>
      </c>
      <c r="F337" s="252" t="s">
        <v>158</v>
      </c>
      <c r="G337" s="255">
        <v>1990</v>
      </c>
      <c r="H337" s="144" t="s">
        <v>472</v>
      </c>
      <c r="I337" s="252" t="s">
        <v>472</v>
      </c>
      <c r="J337">
        <v>13.400466666666667</v>
      </c>
      <c r="K337">
        <v>0.40201399999999998</v>
      </c>
      <c r="L337">
        <v>90</v>
      </c>
      <c r="M337">
        <v>-30</v>
      </c>
      <c r="N337">
        <v>13.601473666666665</v>
      </c>
      <c r="O337">
        <v>0.40804420999999996</v>
      </c>
      <c r="P337" s="139">
        <v>45778</v>
      </c>
      <c r="Q337" s="113"/>
    </row>
    <row r="338" spans="2:17">
      <c r="B338" s="256" t="s">
        <v>76</v>
      </c>
      <c r="C338" s="6">
        <v>1905</v>
      </c>
      <c r="D338" s="1">
        <v>40</v>
      </c>
      <c r="E338" s="27" t="s">
        <v>21</v>
      </c>
      <c r="F338" s="6" t="s">
        <v>46</v>
      </c>
      <c r="G338" s="7">
        <v>12385.83</v>
      </c>
      <c r="H338" t="s">
        <v>472</v>
      </c>
      <c r="I338" t="s">
        <v>472</v>
      </c>
      <c r="J338">
        <v>12.58583</v>
      </c>
      <c r="K338">
        <v>0.50343319999999991</v>
      </c>
      <c r="L338">
        <v>0</v>
      </c>
      <c r="M338">
        <v>-45</v>
      </c>
      <c r="N338">
        <v>12.870070464405085</v>
      </c>
      <c r="O338">
        <v>0.51480281857620336</v>
      </c>
      <c r="P338" s="139">
        <v>46113</v>
      </c>
      <c r="Q338" s="113"/>
    </row>
    <row r="339" spans="2:17">
      <c r="B339" s="256" t="s">
        <v>78</v>
      </c>
      <c r="C339" s="6">
        <v>1900</v>
      </c>
      <c r="D339" s="250">
        <v>45</v>
      </c>
      <c r="E339" s="254" t="s">
        <v>21</v>
      </c>
      <c r="F339" s="252" t="s">
        <v>46</v>
      </c>
      <c r="G339" s="7">
        <v>16823.400000000001</v>
      </c>
      <c r="H339" t="s">
        <v>472</v>
      </c>
      <c r="I339" t="s">
        <v>472</v>
      </c>
      <c r="J339">
        <v>17.023400000000002</v>
      </c>
      <c r="K339">
        <v>0.76605300000000009</v>
      </c>
      <c r="L339">
        <v>0</v>
      </c>
      <c r="M339">
        <v>-45</v>
      </c>
      <c r="N339">
        <v>17.407859278550049</v>
      </c>
      <c r="O339">
        <v>0.78335366753475222</v>
      </c>
      <c r="P339" s="139">
        <v>46113</v>
      </c>
      <c r="Q339" s="113"/>
    </row>
    <row r="340" spans="2:17">
      <c r="B340" s="256" t="s">
        <v>77</v>
      </c>
      <c r="C340" s="6">
        <v>1900</v>
      </c>
      <c r="D340" s="250">
        <v>40</v>
      </c>
      <c r="E340" s="27" t="s">
        <v>21</v>
      </c>
      <c r="F340" s="6" t="s">
        <v>46</v>
      </c>
      <c r="G340" s="7">
        <v>17269.86</v>
      </c>
      <c r="H340" t="s">
        <v>472</v>
      </c>
      <c r="I340" t="s">
        <v>472</v>
      </c>
      <c r="J340">
        <v>17.469860000000001</v>
      </c>
      <c r="K340">
        <v>0.69879440000000004</v>
      </c>
      <c r="L340">
        <v>0</v>
      </c>
      <c r="M340">
        <v>-45</v>
      </c>
      <c r="N340">
        <v>17.864402204963188</v>
      </c>
      <c r="O340">
        <v>0.71457608819852747</v>
      </c>
      <c r="P340" s="139">
        <v>46113</v>
      </c>
      <c r="Q340" s="113"/>
    </row>
    <row r="341" spans="2:17">
      <c r="B341" s="256" t="s">
        <v>472</v>
      </c>
      <c r="C341" s="6" t="s">
        <v>472</v>
      </c>
      <c r="D341"/>
      <c r="E341"/>
      <c r="F341"/>
      <c r="G341"/>
      <c r="H341"/>
      <c r="I341"/>
      <c r="J341"/>
      <c r="K341"/>
      <c r="L341"/>
      <c r="M341"/>
      <c r="N341"/>
      <c r="O341"/>
      <c r="P341"/>
      <c r="Q341" s="113"/>
    </row>
    <row r="342" spans="2:17">
      <c r="B342" s="256" t="s">
        <v>149</v>
      </c>
      <c r="C342" s="6">
        <v>1900</v>
      </c>
      <c r="D342" s="250">
        <v>40</v>
      </c>
      <c r="E342" s="254" t="s">
        <v>151</v>
      </c>
      <c r="F342" s="6" t="s">
        <v>46</v>
      </c>
      <c r="G342" s="255">
        <v>9440.6498999999985</v>
      </c>
      <c r="H342" t="s">
        <v>472</v>
      </c>
      <c r="I342" t="s">
        <v>472</v>
      </c>
      <c r="J342">
        <v>9.6406498999999979</v>
      </c>
      <c r="K342">
        <v>0.38562599599999992</v>
      </c>
      <c r="L342">
        <v>30</v>
      </c>
      <c r="M342">
        <v>-15</v>
      </c>
      <c r="N342">
        <v>9.7126856456793416</v>
      </c>
      <c r="O342">
        <v>0.38850742582717368</v>
      </c>
      <c r="P342" s="139">
        <v>45901</v>
      </c>
      <c r="Q342" s="113"/>
    </row>
    <row r="343" spans="2:17">
      <c r="B343" s="256" t="s">
        <v>149</v>
      </c>
      <c r="C343" s="6" t="s">
        <v>472</v>
      </c>
      <c r="D343"/>
      <c r="E343"/>
      <c r="F343"/>
      <c r="G343"/>
      <c r="H343"/>
      <c r="I343"/>
      <c r="J343"/>
      <c r="K343"/>
      <c r="L343"/>
      <c r="M343"/>
      <c r="N343"/>
      <c r="O343"/>
      <c r="P343"/>
      <c r="Q343" s="113"/>
    </row>
    <row r="344" spans="2:17">
      <c r="B344" s="256" t="s">
        <v>149</v>
      </c>
      <c r="C344" s="6">
        <v>2140</v>
      </c>
      <c r="D344" s="250">
        <v>40</v>
      </c>
      <c r="E344" s="254" t="s">
        <v>151</v>
      </c>
      <c r="F344" s="6" t="s">
        <v>46</v>
      </c>
      <c r="G344" s="255">
        <v>9440.6498999999985</v>
      </c>
      <c r="H344" t="s">
        <v>472</v>
      </c>
      <c r="I344" t="s">
        <v>472</v>
      </c>
      <c r="J344">
        <v>9.6406498999999979</v>
      </c>
      <c r="K344">
        <v>0.38562599599999992</v>
      </c>
      <c r="L344">
        <v>30</v>
      </c>
      <c r="M344">
        <v>-15</v>
      </c>
      <c r="N344">
        <v>9.7126856456793416</v>
      </c>
      <c r="O344">
        <v>0.38850742582717368</v>
      </c>
      <c r="P344" s="139">
        <v>45901</v>
      </c>
      <c r="Q344" s="113"/>
    </row>
    <row r="345" spans="2:17">
      <c r="B345" s="256">
        <v>8222</v>
      </c>
      <c r="C345" s="6">
        <v>1840</v>
      </c>
      <c r="D345" s="250">
        <v>80</v>
      </c>
      <c r="E345" s="254" t="s">
        <v>67</v>
      </c>
      <c r="F345" s="6" t="s">
        <v>51</v>
      </c>
      <c r="G345" s="255">
        <v>2630</v>
      </c>
      <c r="H345" s="7" t="s">
        <v>472</v>
      </c>
      <c r="I345" s="6">
        <v>100</v>
      </c>
      <c r="J345">
        <v>17.767973199999997</v>
      </c>
      <c r="K345">
        <v>1.4214378559999996</v>
      </c>
      <c r="L345">
        <v>90</v>
      </c>
      <c r="M345">
        <v>-15</v>
      </c>
      <c r="N345">
        <v>17.900736987913568</v>
      </c>
      <c r="O345">
        <v>1.4320589590330854</v>
      </c>
      <c r="P345" s="139">
        <v>45536</v>
      </c>
      <c r="Q345" s="113"/>
    </row>
    <row r="346" spans="2:17">
      <c r="B346" s="256">
        <v>8222</v>
      </c>
      <c r="C346" s="6">
        <v>1840</v>
      </c>
      <c r="D346" s="250">
        <v>80</v>
      </c>
      <c r="E346" s="254" t="s">
        <v>47</v>
      </c>
      <c r="F346" s="6" t="s">
        <v>51</v>
      </c>
      <c r="G346" s="7">
        <v>2470</v>
      </c>
      <c r="H346">
        <v>300</v>
      </c>
      <c r="I346">
        <v>100</v>
      </c>
      <c r="J346">
        <v>16.7012532</v>
      </c>
      <c r="K346">
        <v>1.3361002559999999</v>
      </c>
      <c r="L346">
        <v>120</v>
      </c>
      <c r="M346">
        <v>15</v>
      </c>
      <c r="N346">
        <v>16.577385582748668</v>
      </c>
      <c r="O346">
        <v>1.3261908466198935</v>
      </c>
      <c r="P346" s="139">
        <v>45809</v>
      </c>
      <c r="Q346" s="113"/>
    </row>
    <row r="347" spans="2:17">
      <c r="B347" s="256">
        <v>9370</v>
      </c>
      <c r="C347" s="6">
        <v>1900</v>
      </c>
      <c r="D347" s="1">
        <v>70</v>
      </c>
      <c r="E347" s="27" t="s">
        <v>47</v>
      </c>
      <c r="F347" s="6" t="s">
        <v>51</v>
      </c>
      <c r="G347" s="7">
        <v>2800</v>
      </c>
      <c r="H347">
        <v>300</v>
      </c>
      <c r="I347">
        <v>20</v>
      </c>
      <c r="J347">
        <v>18.901363199999999</v>
      </c>
      <c r="K347">
        <v>1.3230954239999999</v>
      </c>
      <c r="L347">
        <v>120</v>
      </c>
      <c r="M347">
        <v>15</v>
      </c>
      <c r="N347">
        <v>18.761178101651449</v>
      </c>
      <c r="O347">
        <v>1.3132824671156014</v>
      </c>
      <c r="P347" s="139">
        <v>45901</v>
      </c>
      <c r="Q347" s="113"/>
    </row>
    <row r="348" spans="2:17">
      <c r="B348" s="256">
        <v>9370</v>
      </c>
      <c r="C348" s="6">
        <v>1900</v>
      </c>
      <c r="D348" s="1">
        <v>70</v>
      </c>
      <c r="E348" s="27" t="s">
        <v>240</v>
      </c>
      <c r="F348" s="6" t="s">
        <v>51</v>
      </c>
      <c r="G348" s="7">
        <v>19500</v>
      </c>
      <c r="H348" s="110">
        <v>400</v>
      </c>
      <c r="I348" s="6">
        <v>26</v>
      </c>
      <c r="J348">
        <v>132.36858000000004</v>
      </c>
      <c r="K348">
        <v>9.2658006000000022</v>
      </c>
      <c r="L348">
        <v>75</v>
      </c>
      <c r="M348">
        <v>-45</v>
      </c>
      <c r="N348">
        <v>135.35801388333087</v>
      </c>
      <c r="O348">
        <v>9.4750609718331624</v>
      </c>
      <c r="P348" s="139">
        <v>45962</v>
      </c>
      <c r="Q348" s="113"/>
    </row>
    <row r="349" spans="2:17">
      <c r="B349" s="256">
        <v>9370</v>
      </c>
      <c r="C349" s="6">
        <v>1900</v>
      </c>
      <c r="D349" s="1">
        <v>70</v>
      </c>
      <c r="E349" s="27" t="s">
        <v>470</v>
      </c>
      <c r="F349" t="s">
        <v>51</v>
      </c>
      <c r="G349" s="7">
        <v>2910</v>
      </c>
      <c r="H349" t="s">
        <v>472</v>
      </c>
      <c r="I349">
        <v>1000</v>
      </c>
      <c r="J349">
        <v>19.634733199999999</v>
      </c>
      <c r="K349">
        <v>1.3744313240000001</v>
      </c>
      <c r="L349">
        <v>60</v>
      </c>
      <c r="M349">
        <v>-45</v>
      </c>
      <c r="N349">
        <v>20.078167259036068</v>
      </c>
      <c r="O349">
        <v>1.4054717081325248</v>
      </c>
      <c r="P349" s="139">
        <v>45627</v>
      </c>
      <c r="Q349" s="113"/>
    </row>
    <row r="350" spans="2:17">
      <c r="B350" s="256">
        <v>9370</v>
      </c>
      <c r="C350" s="6">
        <v>1900</v>
      </c>
      <c r="D350" s="1">
        <v>70</v>
      </c>
      <c r="E350" s="27" t="s">
        <v>470</v>
      </c>
      <c r="F350" t="s">
        <v>51</v>
      </c>
      <c r="G350" s="7">
        <v>3110</v>
      </c>
      <c r="H350" t="s">
        <v>472</v>
      </c>
      <c r="I350">
        <v>1000</v>
      </c>
      <c r="J350">
        <v>20.968133199999997</v>
      </c>
      <c r="K350">
        <v>1.4677693239999996</v>
      </c>
      <c r="L350">
        <v>60</v>
      </c>
      <c r="M350">
        <v>-45</v>
      </c>
      <c r="N350">
        <v>21.441680984967352</v>
      </c>
      <c r="O350">
        <v>1.5009176689477146</v>
      </c>
      <c r="P350" s="139">
        <v>45627</v>
      </c>
      <c r="Q350" s="113"/>
    </row>
    <row r="351" spans="2:17">
      <c r="B351" s="256">
        <v>9370</v>
      </c>
      <c r="C351" s="6">
        <v>1900</v>
      </c>
      <c r="D351" s="1">
        <v>70</v>
      </c>
      <c r="E351" s="27" t="s">
        <v>470</v>
      </c>
      <c r="F351" t="s">
        <v>51</v>
      </c>
      <c r="G351" s="7">
        <v>3350</v>
      </c>
      <c r="H351" t="s">
        <v>472</v>
      </c>
      <c r="I351">
        <v>150</v>
      </c>
      <c r="J351">
        <v>22.568213199999999</v>
      </c>
      <c r="K351">
        <v>1.5797749239999999</v>
      </c>
      <c r="L351">
        <v>60</v>
      </c>
      <c r="M351">
        <v>-45</v>
      </c>
      <c r="N351">
        <v>23.077897456084894</v>
      </c>
      <c r="O351">
        <v>1.6154528219259428</v>
      </c>
      <c r="P351" s="139">
        <v>44986</v>
      </c>
      <c r="Q351" s="113"/>
    </row>
    <row r="352" spans="2:17">
      <c r="B352" s="256">
        <v>9370</v>
      </c>
      <c r="C352" s="6">
        <v>1900</v>
      </c>
      <c r="D352" s="1">
        <v>70</v>
      </c>
      <c r="E352" s="27" t="s">
        <v>470</v>
      </c>
      <c r="F352" t="s">
        <v>51</v>
      </c>
      <c r="G352" s="7">
        <v>3400</v>
      </c>
      <c r="H352" t="s">
        <v>472</v>
      </c>
      <c r="I352">
        <v>100</v>
      </c>
      <c r="J352">
        <v>22.901563200000002</v>
      </c>
      <c r="K352">
        <v>1.6031094240000001</v>
      </c>
      <c r="L352">
        <v>60</v>
      </c>
      <c r="M352">
        <v>-45</v>
      </c>
      <c r="N352">
        <v>23.418775887567719</v>
      </c>
      <c r="O352">
        <v>1.6393143121297404</v>
      </c>
      <c r="P352" s="139">
        <v>44986</v>
      </c>
      <c r="Q352" s="113"/>
    </row>
    <row r="353" spans="2:17">
      <c r="B353" s="256">
        <v>9370</v>
      </c>
      <c r="C353" s="6">
        <v>1900</v>
      </c>
      <c r="D353" s="1">
        <v>70</v>
      </c>
      <c r="E353" s="27" t="s">
        <v>470</v>
      </c>
      <c r="F353" t="s">
        <v>51</v>
      </c>
      <c r="G353" s="7">
        <v>3550</v>
      </c>
      <c r="H353" t="s">
        <v>472</v>
      </c>
      <c r="I353">
        <v>50</v>
      </c>
      <c r="J353">
        <v>23.9016132</v>
      </c>
      <c r="K353">
        <v>1.673112924</v>
      </c>
      <c r="L353">
        <v>60</v>
      </c>
      <c r="M353">
        <v>-45</v>
      </c>
      <c r="N353">
        <v>24.441411182016179</v>
      </c>
      <c r="O353">
        <v>1.7108987827411326</v>
      </c>
      <c r="P353" s="139">
        <v>44986</v>
      </c>
      <c r="Q353" s="113"/>
    </row>
    <row r="354" spans="2:17">
      <c r="B354" s="256">
        <v>9370</v>
      </c>
      <c r="C354" s="6">
        <v>1900</v>
      </c>
      <c r="D354" s="1">
        <v>70</v>
      </c>
      <c r="E354" s="27" t="s">
        <v>470</v>
      </c>
      <c r="F354" t="s">
        <v>51</v>
      </c>
      <c r="G354" s="7">
        <v>2780</v>
      </c>
      <c r="H354" t="s">
        <v>472</v>
      </c>
      <c r="I354">
        <v>400</v>
      </c>
      <c r="J354">
        <v>18.768023199999998</v>
      </c>
      <c r="K354">
        <v>1.3137616239999999</v>
      </c>
      <c r="L354">
        <v>60</v>
      </c>
      <c r="M354">
        <v>-45</v>
      </c>
      <c r="N354">
        <v>19.191883337180734</v>
      </c>
      <c r="O354">
        <v>1.3434318336026514</v>
      </c>
      <c r="P354" s="139">
        <v>46174</v>
      </c>
      <c r="Q354" s="113"/>
    </row>
    <row r="355" spans="2:17">
      <c r="B355" s="256">
        <v>9370</v>
      </c>
      <c r="C355" s="6">
        <v>1900</v>
      </c>
      <c r="D355" s="1">
        <v>70</v>
      </c>
      <c r="E355" s="27" t="s">
        <v>470</v>
      </c>
      <c r="F355" t="s">
        <v>51</v>
      </c>
      <c r="G355" s="7">
        <v>2730</v>
      </c>
      <c r="H355" t="s">
        <v>472</v>
      </c>
      <c r="I355">
        <v>800</v>
      </c>
      <c r="J355">
        <v>18.434673199999999</v>
      </c>
      <c r="K355">
        <v>1.2904271239999998</v>
      </c>
      <c r="L355">
        <v>60</v>
      </c>
      <c r="M355">
        <v>-45</v>
      </c>
      <c r="N355">
        <v>18.851004905697913</v>
      </c>
      <c r="O355">
        <v>1.3195703433988539</v>
      </c>
      <c r="P355" s="139">
        <v>46174</v>
      </c>
      <c r="Q355" s="113"/>
    </row>
    <row r="356" spans="2:17">
      <c r="B356" s="256">
        <v>9370</v>
      </c>
      <c r="C356" s="6">
        <v>1900</v>
      </c>
      <c r="D356" s="1">
        <v>70</v>
      </c>
      <c r="E356" s="27" t="s">
        <v>470</v>
      </c>
      <c r="F356" t="s">
        <v>51</v>
      </c>
      <c r="G356" s="7">
        <v>2980</v>
      </c>
      <c r="H356" t="s">
        <v>472</v>
      </c>
      <c r="I356">
        <v>400</v>
      </c>
      <c r="J356">
        <v>20.101423199999999</v>
      </c>
      <c r="K356">
        <v>1.407099624</v>
      </c>
      <c r="L356">
        <v>60</v>
      </c>
      <c r="M356">
        <v>-45</v>
      </c>
      <c r="N356">
        <v>20.555397063112018</v>
      </c>
      <c r="O356">
        <v>1.4388777944178412</v>
      </c>
      <c r="P356" s="139">
        <v>46174</v>
      </c>
      <c r="Q356" s="113"/>
    </row>
    <row r="357" spans="2:17">
      <c r="B357" s="256">
        <v>9370</v>
      </c>
      <c r="C357" s="6" t="s">
        <v>472</v>
      </c>
      <c r="D357"/>
      <c r="E357"/>
      <c r="F357"/>
      <c r="G357"/>
      <c r="H357"/>
      <c r="I357"/>
      <c r="J357"/>
      <c r="K357"/>
      <c r="L357"/>
      <c r="M357"/>
      <c r="N357"/>
      <c r="O357"/>
      <c r="P357"/>
      <c r="Q357" s="113"/>
    </row>
    <row r="358" spans="2:17">
      <c r="B358" s="256">
        <v>9370</v>
      </c>
      <c r="C358" s="6">
        <v>1880</v>
      </c>
      <c r="D358" s="250">
        <v>65</v>
      </c>
      <c r="E358" s="254" t="s">
        <v>240</v>
      </c>
      <c r="F358" s="252" t="s">
        <v>267</v>
      </c>
      <c r="G358" s="255">
        <v>19500</v>
      </c>
      <c r="H358" s="110">
        <v>3300</v>
      </c>
      <c r="I358">
        <v>100</v>
      </c>
      <c r="J358">
        <v>17.884079999999997</v>
      </c>
      <c r="K358">
        <v>1.1624651999999998</v>
      </c>
      <c r="L358">
        <v>90</v>
      </c>
      <c r="M358">
        <v>-30</v>
      </c>
      <c r="N358">
        <v>18.152341199999995</v>
      </c>
      <c r="O358">
        <v>1.1799021779999996</v>
      </c>
      <c r="P358" s="139">
        <v>46023</v>
      </c>
      <c r="Q358" s="113"/>
    </row>
    <row r="359" spans="2:17">
      <c r="B359" s="256">
        <v>9370</v>
      </c>
      <c r="C359" s="6">
        <v>1880</v>
      </c>
      <c r="D359" s="250">
        <v>65</v>
      </c>
      <c r="E359" s="254" t="s">
        <v>240</v>
      </c>
      <c r="F359" s="252" t="s">
        <v>267</v>
      </c>
      <c r="G359" s="255">
        <v>19500</v>
      </c>
      <c r="H359" s="110">
        <v>3300</v>
      </c>
      <c r="I359">
        <v>100</v>
      </c>
      <c r="J359">
        <v>17.884079999999997</v>
      </c>
      <c r="K359">
        <v>1.1624651999999998</v>
      </c>
      <c r="L359">
        <v>90</v>
      </c>
      <c r="M359">
        <v>-30</v>
      </c>
      <c r="N359">
        <v>18.152341199999995</v>
      </c>
      <c r="O359">
        <v>1.1799021779999996</v>
      </c>
      <c r="P359" s="139">
        <v>46174</v>
      </c>
      <c r="Q359" s="113"/>
    </row>
    <row r="360" spans="2:17">
      <c r="B360" s="256">
        <v>9370</v>
      </c>
      <c r="C360" s="6">
        <v>1880</v>
      </c>
      <c r="D360" s="1">
        <v>70</v>
      </c>
      <c r="E360" s="27" t="s">
        <v>240</v>
      </c>
      <c r="F360" s="6" t="s">
        <v>267</v>
      </c>
      <c r="G360" s="7">
        <v>19500</v>
      </c>
      <c r="H360" s="110">
        <v>3300</v>
      </c>
      <c r="I360">
        <v>100</v>
      </c>
      <c r="J360">
        <v>17.884079999999997</v>
      </c>
      <c r="K360">
        <v>1.2518855999999998</v>
      </c>
      <c r="L360">
        <v>90</v>
      </c>
      <c r="M360">
        <v>-30</v>
      </c>
      <c r="N360">
        <v>18.152341199999995</v>
      </c>
      <c r="O360">
        <v>1.2706638839999995</v>
      </c>
      <c r="P360" s="139">
        <v>46023</v>
      </c>
      <c r="Q360" s="113"/>
    </row>
    <row r="361" spans="2:17">
      <c r="B361" s="256">
        <v>9370</v>
      </c>
      <c r="C361" s="6">
        <v>1880</v>
      </c>
      <c r="D361" s="1">
        <v>70</v>
      </c>
      <c r="E361" s="27" t="s">
        <v>240</v>
      </c>
      <c r="F361" s="6" t="s">
        <v>267</v>
      </c>
      <c r="G361" s="7">
        <v>19500</v>
      </c>
      <c r="H361" s="110">
        <v>3300</v>
      </c>
      <c r="I361">
        <v>100</v>
      </c>
      <c r="J361">
        <v>17.884079999999997</v>
      </c>
      <c r="K361">
        <v>1.2518855999999998</v>
      </c>
      <c r="L361">
        <v>90</v>
      </c>
      <c r="M361">
        <v>-30</v>
      </c>
      <c r="N361">
        <v>18.152341199999995</v>
      </c>
      <c r="O361">
        <v>1.2706638839999995</v>
      </c>
      <c r="P361" s="139">
        <v>46174</v>
      </c>
      <c r="Q361" s="113"/>
    </row>
    <row r="362" spans="2:17">
      <c r="B362" s="256">
        <v>9370</v>
      </c>
      <c r="C362" s="6">
        <v>1880</v>
      </c>
      <c r="D362" s="1">
        <v>70</v>
      </c>
      <c r="E362" s="27" t="s">
        <v>470</v>
      </c>
      <c r="F362" t="s">
        <v>51</v>
      </c>
      <c r="G362" s="7">
        <v>2780</v>
      </c>
      <c r="H362" t="s">
        <v>472</v>
      </c>
      <c r="I362">
        <v>400</v>
      </c>
      <c r="J362">
        <v>18.768023199999998</v>
      </c>
      <c r="K362">
        <v>1.3137616239999999</v>
      </c>
      <c r="L362">
        <v>60</v>
      </c>
      <c r="M362">
        <v>-45</v>
      </c>
      <c r="N362">
        <v>19.191883337180734</v>
      </c>
      <c r="O362">
        <v>1.3434318336026514</v>
      </c>
      <c r="P362" s="139">
        <v>46174</v>
      </c>
      <c r="Q362" s="113"/>
    </row>
    <row r="363" spans="2:17">
      <c r="B363" s="256">
        <v>9370</v>
      </c>
      <c r="C363" s="6">
        <v>1880</v>
      </c>
      <c r="D363" s="1">
        <v>70</v>
      </c>
      <c r="E363" s="27" t="s">
        <v>470</v>
      </c>
      <c r="F363" t="s">
        <v>51</v>
      </c>
      <c r="G363" s="7">
        <v>2730</v>
      </c>
      <c r="H363" t="s">
        <v>472</v>
      </c>
      <c r="I363">
        <v>800</v>
      </c>
      <c r="J363">
        <v>18.434673199999999</v>
      </c>
      <c r="K363">
        <v>1.2904271239999998</v>
      </c>
      <c r="L363">
        <v>60</v>
      </c>
      <c r="M363">
        <v>-45</v>
      </c>
      <c r="N363">
        <v>18.851004905697913</v>
      </c>
      <c r="O363">
        <v>1.3195703433988539</v>
      </c>
      <c r="P363" s="139">
        <v>46174</v>
      </c>
      <c r="Q363" s="113"/>
    </row>
    <row r="364" spans="2:17">
      <c r="B364" s="256">
        <v>8130</v>
      </c>
      <c r="C364" s="6">
        <v>1870</v>
      </c>
      <c r="D364" s="1">
        <v>70</v>
      </c>
      <c r="E364" s="27" t="s">
        <v>47</v>
      </c>
      <c r="F364" s="6" t="s">
        <v>51</v>
      </c>
      <c r="G364" s="7">
        <v>2680</v>
      </c>
      <c r="H364" s="110">
        <v>300</v>
      </c>
      <c r="I364" s="6">
        <v>50</v>
      </c>
      <c r="J364">
        <v>18.1013232</v>
      </c>
      <c r="K364">
        <v>1.2670926239999998</v>
      </c>
      <c r="L364">
        <v>120</v>
      </c>
      <c r="M364">
        <v>15</v>
      </c>
      <c r="N364">
        <v>17.967071731141345</v>
      </c>
      <c r="O364">
        <v>1.2576950211798943</v>
      </c>
      <c r="P364" s="139">
        <v>45901</v>
      </c>
      <c r="Q364" s="113"/>
    </row>
    <row r="365" spans="2:17">
      <c r="B365" s="256">
        <v>5740</v>
      </c>
      <c r="C365" s="6">
        <v>1870</v>
      </c>
      <c r="D365" s="1">
        <v>70</v>
      </c>
      <c r="E365" s="27" t="s">
        <v>47</v>
      </c>
      <c r="F365" s="6" t="s">
        <v>51</v>
      </c>
      <c r="G365" s="7">
        <v>2680</v>
      </c>
      <c r="H365">
        <v>300</v>
      </c>
      <c r="I365">
        <v>50</v>
      </c>
      <c r="J365">
        <v>18.1013232</v>
      </c>
      <c r="K365">
        <v>1.2670926239999998</v>
      </c>
      <c r="L365">
        <v>120</v>
      </c>
      <c r="M365">
        <v>15</v>
      </c>
      <c r="N365">
        <v>17.967071731141345</v>
      </c>
      <c r="O365">
        <v>1.2576950211798943</v>
      </c>
      <c r="P365" s="139">
        <v>45901</v>
      </c>
    </row>
    <row r="366" spans="2:17">
      <c r="B366" s="256" t="s">
        <v>344</v>
      </c>
      <c r="C366" s="6">
        <v>1270</v>
      </c>
      <c r="D366" s="1">
        <v>40</v>
      </c>
      <c r="E366" s="27" t="s">
        <v>21</v>
      </c>
      <c r="F366" s="6" t="s">
        <v>46</v>
      </c>
      <c r="G366" s="7">
        <v>9432</v>
      </c>
      <c r="H366" s="110" t="s">
        <v>472</v>
      </c>
      <c r="I366" s="6" t="s">
        <v>472</v>
      </c>
      <c r="J366">
        <v>9.6319999999999997</v>
      </c>
      <c r="K366">
        <v>0.38528000000000001</v>
      </c>
      <c r="L366">
        <v>0</v>
      </c>
      <c r="M366">
        <v>-45</v>
      </c>
      <c r="N366">
        <v>9.8495306795936202</v>
      </c>
      <c r="O366">
        <v>0.39398122718374479</v>
      </c>
      <c r="P366" s="139">
        <v>45992</v>
      </c>
    </row>
    <row r="367" spans="2:17">
      <c r="B367" s="256">
        <v>2</v>
      </c>
      <c r="C367" s="6">
        <v>1845</v>
      </c>
      <c r="D367" s="1">
        <v>80</v>
      </c>
      <c r="E367" s="5" t="s">
        <v>0</v>
      </c>
      <c r="F367" s="6" t="s">
        <v>267</v>
      </c>
      <c r="G367" s="7">
        <v>14500</v>
      </c>
      <c r="H367" s="7">
        <v>3300</v>
      </c>
      <c r="I367" s="6">
        <v>100</v>
      </c>
      <c r="J367">
        <v>13.609080000000001</v>
      </c>
      <c r="K367">
        <v>1.0887264000000001</v>
      </c>
      <c r="L367">
        <v>90</v>
      </c>
      <c r="M367">
        <v>-30</v>
      </c>
      <c r="N367">
        <v>13.813216199999999</v>
      </c>
      <c r="O367">
        <v>1.105057296</v>
      </c>
      <c r="P367" s="139">
        <v>46023</v>
      </c>
    </row>
    <row r="368" spans="2:17">
      <c r="B368" s="256">
        <v>2</v>
      </c>
      <c r="C368" s="6">
        <v>1845</v>
      </c>
      <c r="D368" s="1">
        <v>80</v>
      </c>
      <c r="E368" s="5" t="s">
        <v>0</v>
      </c>
      <c r="F368" s="6" t="s">
        <v>51</v>
      </c>
      <c r="G368" s="7">
        <v>1950</v>
      </c>
      <c r="H368">
        <v>400</v>
      </c>
      <c r="I368">
        <v>100</v>
      </c>
      <c r="J368">
        <v>14.327280000000002</v>
      </c>
      <c r="K368">
        <v>1.1461824</v>
      </c>
      <c r="L368">
        <v>90</v>
      </c>
      <c r="M368">
        <v>-30</v>
      </c>
      <c r="N368">
        <v>14.542189200000001</v>
      </c>
      <c r="O368">
        <v>1.1633751360000002</v>
      </c>
      <c r="P368" s="139">
        <v>45839</v>
      </c>
    </row>
    <row r="369" spans="2:16">
      <c r="B369" s="256">
        <v>2</v>
      </c>
      <c r="C369" s="6">
        <v>1855</v>
      </c>
      <c r="D369" s="1">
        <v>80</v>
      </c>
      <c r="E369" s="5" t="s">
        <v>0</v>
      </c>
      <c r="F369" s="6" t="s">
        <v>267</v>
      </c>
      <c r="G369" s="7">
        <v>14500</v>
      </c>
      <c r="H369" s="7">
        <v>3300</v>
      </c>
      <c r="I369" s="6">
        <v>100</v>
      </c>
      <c r="J369">
        <v>13.609080000000001</v>
      </c>
      <c r="K369">
        <v>1.0887264000000001</v>
      </c>
      <c r="L369">
        <v>90</v>
      </c>
      <c r="M369">
        <v>-30</v>
      </c>
      <c r="N369">
        <v>13.813216199999999</v>
      </c>
      <c r="O369">
        <v>1.105057296</v>
      </c>
      <c r="P369" s="139">
        <v>46023</v>
      </c>
    </row>
    <row r="370" spans="2:16">
      <c r="B370" s="256">
        <v>2</v>
      </c>
      <c r="C370" s="6">
        <v>1865</v>
      </c>
      <c r="D370" s="1">
        <v>80</v>
      </c>
      <c r="E370" s="27" t="s">
        <v>67</v>
      </c>
      <c r="F370" s="6" t="s">
        <v>51</v>
      </c>
      <c r="G370" s="7">
        <v>2390</v>
      </c>
      <c r="H370" t="s">
        <v>472</v>
      </c>
      <c r="I370">
        <v>100</v>
      </c>
      <c r="J370">
        <v>16.167893199999998</v>
      </c>
      <c r="K370">
        <v>1.293431456</v>
      </c>
      <c r="L370">
        <v>90</v>
      </c>
      <c r="M370">
        <v>-15</v>
      </c>
      <c r="N370">
        <v>16.288701055778059</v>
      </c>
      <c r="O370">
        <v>1.3030960844622448</v>
      </c>
      <c r="P370" s="139">
        <v>46023</v>
      </c>
    </row>
    <row r="371" spans="2:16">
      <c r="B371" s="256">
        <v>2</v>
      </c>
      <c r="C371" s="6">
        <v>1865</v>
      </c>
      <c r="D371" s="1">
        <v>80</v>
      </c>
      <c r="E371" s="27" t="s">
        <v>67</v>
      </c>
      <c r="F371" s="6" t="s">
        <v>51</v>
      </c>
      <c r="G371" s="7">
        <v>2450</v>
      </c>
      <c r="H371" t="s">
        <v>472</v>
      </c>
      <c r="I371">
        <v>50</v>
      </c>
      <c r="J371">
        <v>16.5679132</v>
      </c>
      <c r="K371">
        <v>1.3254330560000001</v>
      </c>
      <c r="L371">
        <v>90</v>
      </c>
      <c r="M371">
        <v>-15</v>
      </c>
      <c r="N371">
        <v>16.691710038811937</v>
      </c>
      <c r="O371">
        <v>1.3353368031049551</v>
      </c>
      <c r="P371" s="139">
        <v>46023</v>
      </c>
    </row>
    <row r="372" spans="2:16">
      <c r="B372" s="256">
        <v>2</v>
      </c>
      <c r="C372" s="6">
        <v>1865</v>
      </c>
      <c r="D372" s="1">
        <v>80</v>
      </c>
      <c r="E372" s="27" t="s">
        <v>67</v>
      </c>
      <c r="F372" s="6" t="s">
        <v>51</v>
      </c>
      <c r="G372" s="7">
        <v>2890</v>
      </c>
      <c r="H372" t="s">
        <v>472</v>
      </c>
      <c r="I372">
        <v>25</v>
      </c>
      <c r="J372">
        <v>19.501393200000003</v>
      </c>
      <c r="K372">
        <v>1.560111456</v>
      </c>
      <c r="L372">
        <v>90</v>
      </c>
      <c r="M372">
        <v>-15</v>
      </c>
      <c r="N372">
        <v>19.647109247727041</v>
      </c>
      <c r="O372">
        <v>1.5717687398181632</v>
      </c>
      <c r="P372" s="139">
        <v>46023</v>
      </c>
    </row>
    <row r="373" spans="2:16">
      <c r="B373" s="256">
        <v>2</v>
      </c>
      <c r="C373" s="6">
        <v>1865</v>
      </c>
      <c r="D373" s="1">
        <v>80</v>
      </c>
      <c r="E373" s="5" t="s">
        <v>0</v>
      </c>
      <c r="F373" s="6" t="s">
        <v>267</v>
      </c>
      <c r="G373" s="7">
        <v>14500</v>
      </c>
      <c r="H373" s="7">
        <v>3300</v>
      </c>
      <c r="I373" s="6">
        <v>100</v>
      </c>
      <c r="J373">
        <v>13.609080000000001</v>
      </c>
      <c r="K373">
        <v>1.0887264000000001</v>
      </c>
      <c r="L373">
        <v>90</v>
      </c>
      <c r="M373">
        <v>-30</v>
      </c>
      <c r="N373">
        <v>13.813216199999999</v>
      </c>
      <c r="O373">
        <v>1.105057296</v>
      </c>
      <c r="P373" s="139">
        <v>46023</v>
      </c>
    </row>
    <row r="374" spans="2:16">
      <c r="B374" s="256">
        <v>2</v>
      </c>
      <c r="C374" s="6">
        <v>1865</v>
      </c>
      <c r="D374" s="1">
        <v>80</v>
      </c>
      <c r="E374" s="5" t="s">
        <v>0</v>
      </c>
      <c r="F374" s="6" t="s">
        <v>51</v>
      </c>
      <c r="G374" s="7">
        <v>1950</v>
      </c>
      <c r="H374">
        <v>400</v>
      </c>
      <c r="I374">
        <v>100</v>
      </c>
      <c r="J374">
        <v>14.327280000000002</v>
      </c>
      <c r="K374">
        <v>1.1461824</v>
      </c>
      <c r="L374">
        <v>90</v>
      </c>
      <c r="M374">
        <v>-30</v>
      </c>
      <c r="N374">
        <v>14.542189200000001</v>
      </c>
      <c r="O374">
        <v>1.1633751360000002</v>
      </c>
      <c r="P374" s="139">
        <v>45839</v>
      </c>
    </row>
    <row r="375" spans="2:16">
      <c r="B375" s="256">
        <v>2</v>
      </c>
      <c r="C375" s="6" t="s">
        <v>472</v>
      </c>
      <c r="D375"/>
      <c r="E375"/>
      <c r="F375"/>
      <c r="G375"/>
      <c r="H375"/>
      <c r="I375"/>
      <c r="J375"/>
      <c r="K375"/>
      <c r="L375"/>
      <c r="M375"/>
      <c r="N375"/>
      <c r="O375"/>
      <c r="P375"/>
    </row>
    <row r="376" spans="2:16">
      <c r="B376" s="250">
        <v>86</v>
      </c>
      <c r="C376" s="6">
        <v>1860</v>
      </c>
      <c r="D376" s="1">
        <v>70</v>
      </c>
      <c r="E376" s="27" t="s">
        <v>3</v>
      </c>
      <c r="F376" s="6" t="s">
        <v>267</v>
      </c>
      <c r="G376" s="7">
        <v>11600</v>
      </c>
      <c r="H376">
        <v>3300</v>
      </c>
      <c r="I376">
        <v>100</v>
      </c>
      <c r="J376">
        <v>11.129579999999999</v>
      </c>
      <c r="K376">
        <v>0.77907059999999984</v>
      </c>
      <c r="L376">
        <v>90</v>
      </c>
      <c r="M376">
        <v>-30</v>
      </c>
      <c r="N376">
        <v>11.296523699999998</v>
      </c>
      <c r="O376">
        <v>0.79075665899999992</v>
      </c>
      <c r="P376" s="139">
        <v>46023</v>
      </c>
    </row>
    <row r="377" spans="2:16">
      <c r="B377" s="250">
        <v>86</v>
      </c>
      <c r="C377" s="6">
        <v>1860</v>
      </c>
      <c r="D377" s="1">
        <v>70</v>
      </c>
      <c r="E377" s="5" t="s">
        <v>0</v>
      </c>
      <c r="F377" s="6" t="s">
        <v>267</v>
      </c>
      <c r="G377" s="7">
        <v>11600</v>
      </c>
      <c r="H377" s="7">
        <v>3300</v>
      </c>
      <c r="I377">
        <v>100</v>
      </c>
      <c r="J377">
        <v>11.129579999999999</v>
      </c>
      <c r="K377">
        <v>0.77907059999999984</v>
      </c>
      <c r="L377">
        <v>90</v>
      </c>
      <c r="M377">
        <v>-30</v>
      </c>
      <c r="N377">
        <v>11.296523699999998</v>
      </c>
      <c r="O377">
        <v>0.79075665899999992</v>
      </c>
      <c r="P377" s="139">
        <v>46023</v>
      </c>
    </row>
    <row r="378" spans="2:16">
      <c r="B378" s="250">
        <v>86</v>
      </c>
      <c r="C378" s="6">
        <v>1860</v>
      </c>
      <c r="D378" s="1">
        <v>70</v>
      </c>
      <c r="E378" s="5" t="s">
        <v>0</v>
      </c>
      <c r="F378" s="6" t="s">
        <v>267</v>
      </c>
      <c r="G378" s="7">
        <v>11600</v>
      </c>
      <c r="H378" s="7">
        <v>3300</v>
      </c>
      <c r="I378">
        <v>100</v>
      </c>
      <c r="J378">
        <v>11.129579999999999</v>
      </c>
      <c r="K378">
        <v>0.77907059999999984</v>
      </c>
      <c r="L378">
        <v>90</v>
      </c>
      <c r="M378">
        <v>-30</v>
      </c>
      <c r="N378">
        <v>11.296523699999998</v>
      </c>
      <c r="O378">
        <v>0.79075665899999992</v>
      </c>
      <c r="P378" s="139">
        <v>46174</v>
      </c>
    </row>
    <row r="379" spans="2:16">
      <c r="B379" s="250">
        <v>86</v>
      </c>
      <c r="C379" s="6">
        <v>1860</v>
      </c>
      <c r="D379" s="1">
        <v>70</v>
      </c>
      <c r="E379" s="5" t="s">
        <v>0</v>
      </c>
      <c r="F379" s="6" t="s">
        <v>51</v>
      </c>
      <c r="G379" s="7">
        <v>1380</v>
      </c>
      <c r="H379" s="110">
        <v>400</v>
      </c>
      <c r="I379" s="6">
        <v>100</v>
      </c>
      <c r="J379">
        <v>10.493459999999999</v>
      </c>
      <c r="K379">
        <v>0.73454219999999992</v>
      </c>
      <c r="L379">
        <v>90</v>
      </c>
      <c r="M379">
        <v>-30</v>
      </c>
      <c r="N379">
        <v>10.650861899999997</v>
      </c>
      <c r="O379">
        <v>0.7455603329999998</v>
      </c>
      <c r="P379" s="139">
        <v>45931</v>
      </c>
    </row>
    <row r="380" spans="2:16">
      <c r="B380" s="250">
        <v>86</v>
      </c>
      <c r="C380" s="6">
        <v>1870</v>
      </c>
      <c r="D380" s="1">
        <v>70</v>
      </c>
      <c r="E380" s="5" t="s">
        <v>0</v>
      </c>
      <c r="F380" s="6" t="s">
        <v>267</v>
      </c>
      <c r="G380" s="7">
        <v>11600</v>
      </c>
      <c r="H380" s="7">
        <v>3300</v>
      </c>
      <c r="I380">
        <v>100</v>
      </c>
      <c r="J380">
        <v>11.129579999999999</v>
      </c>
      <c r="K380">
        <v>0.77907059999999984</v>
      </c>
      <c r="L380">
        <v>90</v>
      </c>
      <c r="M380">
        <v>-30</v>
      </c>
      <c r="N380">
        <v>11.296523699999998</v>
      </c>
      <c r="O380">
        <v>0.79075665899999992</v>
      </c>
      <c r="P380" s="139">
        <v>46023</v>
      </c>
    </row>
    <row r="381" spans="2:16">
      <c r="B381" s="250">
        <v>86</v>
      </c>
      <c r="C381" s="6">
        <v>1250</v>
      </c>
      <c r="D381" s="1">
        <v>70</v>
      </c>
      <c r="E381" s="5" t="s">
        <v>0</v>
      </c>
      <c r="F381" s="6" t="s">
        <v>267</v>
      </c>
      <c r="G381" s="7">
        <v>11600</v>
      </c>
      <c r="H381" s="7">
        <v>3300</v>
      </c>
      <c r="I381">
        <v>100</v>
      </c>
      <c r="J381">
        <v>11.129579999999999</v>
      </c>
      <c r="K381">
        <v>0.77907059999999984</v>
      </c>
      <c r="L381">
        <v>90</v>
      </c>
      <c r="M381">
        <v>-30</v>
      </c>
      <c r="N381">
        <v>11.296523699999998</v>
      </c>
      <c r="O381">
        <v>0.79075665899999992</v>
      </c>
      <c r="P381" s="139">
        <v>46023</v>
      </c>
    </row>
    <row r="382" spans="2:16">
      <c r="B382" s="256">
        <v>1833</v>
      </c>
      <c r="C382" s="6">
        <v>1870</v>
      </c>
      <c r="D382" s="1">
        <v>70</v>
      </c>
      <c r="E382" s="27" t="s">
        <v>3</v>
      </c>
      <c r="F382" s="6" t="s">
        <v>267</v>
      </c>
      <c r="G382" s="7">
        <v>8300</v>
      </c>
      <c r="H382">
        <v>3300</v>
      </c>
      <c r="I382">
        <v>100</v>
      </c>
      <c r="J382">
        <v>8.3080800000000021</v>
      </c>
      <c r="K382">
        <v>0.58156560000000013</v>
      </c>
      <c r="L382">
        <v>90</v>
      </c>
      <c r="M382">
        <v>-30</v>
      </c>
      <c r="N382">
        <v>8.4327012000000021</v>
      </c>
      <c r="O382">
        <v>0.59028908400000013</v>
      </c>
      <c r="P382" s="139">
        <v>46023</v>
      </c>
    </row>
    <row r="383" spans="2:16">
      <c r="B383" s="256">
        <v>1833</v>
      </c>
      <c r="C383" s="6">
        <v>1870</v>
      </c>
      <c r="D383" s="1">
        <v>70</v>
      </c>
      <c r="E383" s="27" t="s">
        <v>3</v>
      </c>
      <c r="F383" s="6" t="s">
        <v>51</v>
      </c>
      <c r="G383" s="7">
        <v>1080</v>
      </c>
      <c r="H383">
        <v>400</v>
      </c>
      <c r="I383">
        <v>100</v>
      </c>
      <c r="J383">
        <v>8.4756600000000013</v>
      </c>
      <c r="K383">
        <v>0.59329620000000005</v>
      </c>
      <c r="L383">
        <v>90</v>
      </c>
      <c r="M383">
        <v>-30</v>
      </c>
      <c r="N383">
        <v>8.602794900000001</v>
      </c>
      <c r="O383">
        <v>0.60219564300000006</v>
      </c>
      <c r="P383" s="139">
        <v>45809</v>
      </c>
    </row>
    <row r="384" spans="2:16">
      <c r="B384" s="256" t="s">
        <v>345</v>
      </c>
      <c r="C384" s="6">
        <v>1870</v>
      </c>
      <c r="D384" s="1">
        <v>70</v>
      </c>
      <c r="E384" s="27" t="s">
        <v>2</v>
      </c>
      <c r="F384" t="s">
        <v>51</v>
      </c>
      <c r="G384" s="7">
        <v>1800</v>
      </c>
      <c r="H384" t="s">
        <v>472</v>
      </c>
      <c r="I384">
        <v>100</v>
      </c>
      <c r="J384">
        <v>12.057363200000003</v>
      </c>
      <c r="K384">
        <v>0.84401542400000018</v>
      </c>
      <c r="L384">
        <v>120</v>
      </c>
      <c r="M384">
        <v>15</v>
      </c>
      <c r="N384">
        <v>11.967937763954406</v>
      </c>
      <c r="O384">
        <v>0.83775564347680842</v>
      </c>
      <c r="P384" s="139">
        <v>46174</v>
      </c>
    </row>
    <row r="385" spans="2:16">
      <c r="B385" s="256" t="s">
        <v>345</v>
      </c>
      <c r="C385" s="6">
        <v>1870</v>
      </c>
      <c r="D385" s="1">
        <v>70</v>
      </c>
      <c r="E385" s="27" t="s">
        <v>2</v>
      </c>
      <c r="F385" t="s">
        <v>51</v>
      </c>
      <c r="G385" s="7">
        <v>1820</v>
      </c>
      <c r="H385" s="7" t="s">
        <v>472</v>
      </c>
      <c r="I385">
        <v>70</v>
      </c>
      <c r="J385">
        <v>12.190703200000002</v>
      </c>
      <c r="K385">
        <v>0.85334922400000013</v>
      </c>
      <c r="L385">
        <v>120</v>
      </c>
      <c r="M385">
        <v>15</v>
      </c>
      <c r="N385">
        <v>12.100288825706089</v>
      </c>
      <c r="O385">
        <v>0.84702021779942627</v>
      </c>
      <c r="P385" s="139">
        <v>46174</v>
      </c>
    </row>
    <row r="386" spans="2:16">
      <c r="B386" s="256" t="s">
        <v>345</v>
      </c>
      <c r="C386" s="6">
        <v>1870</v>
      </c>
      <c r="D386" s="1">
        <v>70</v>
      </c>
      <c r="E386" s="27" t="s">
        <v>2</v>
      </c>
      <c r="F386" t="s">
        <v>51</v>
      </c>
      <c r="G386" s="7">
        <v>1850</v>
      </c>
      <c r="H386" t="s">
        <v>472</v>
      </c>
      <c r="I386">
        <v>50</v>
      </c>
      <c r="J386">
        <v>12.390713200000002</v>
      </c>
      <c r="K386">
        <v>0.86734992400000011</v>
      </c>
      <c r="L386">
        <v>120</v>
      </c>
      <c r="M386">
        <v>15</v>
      </c>
      <c r="N386">
        <v>12.298815418333616</v>
      </c>
      <c r="O386">
        <v>0.86091707928335304</v>
      </c>
      <c r="P386" s="139">
        <v>46174</v>
      </c>
    </row>
    <row r="387" spans="2:16">
      <c r="B387" s="256" t="s">
        <v>345</v>
      </c>
      <c r="C387" s="6">
        <v>1870</v>
      </c>
      <c r="D387" s="1">
        <v>70</v>
      </c>
      <c r="E387" s="27" t="s">
        <v>2</v>
      </c>
      <c r="F387" t="s">
        <v>51</v>
      </c>
      <c r="G387" s="7">
        <v>1900</v>
      </c>
      <c r="H387" t="s">
        <v>472</v>
      </c>
      <c r="I387">
        <v>30</v>
      </c>
      <c r="J387">
        <v>12.724063200000002</v>
      </c>
      <c r="K387">
        <v>0.89068442400000014</v>
      </c>
      <c r="L387">
        <v>120</v>
      </c>
      <c r="M387">
        <v>15</v>
      </c>
      <c r="N387">
        <v>12.629693072712826</v>
      </c>
      <c r="O387">
        <v>0.88407851508989788</v>
      </c>
      <c r="P387" s="139">
        <v>46174</v>
      </c>
    </row>
    <row r="388" spans="2:16">
      <c r="B388" s="256" t="s">
        <v>345</v>
      </c>
      <c r="C388" s="6" t="s">
        <v>472</v>
      </c>
      <c r="D388"/>
      <c r="E388"/>
      <c r="F388"/>
      <c r="G388"/>
      <c r="H388"/>
      <c r="I388"/>
      <c r="J388"/>
      <c r="K388"/>
      <c r="L388"/>
      <c r="M388"/>
      <c r="N388"/>
      <c r="O388"/>
      <c r="P388"/>
    </row>
    <row r="389" spans="2:16">
      <c r="B389" s="256" t="s">
        <v>346</v>
      </c>
      <c r="C389" s="6">
        <v>1870</v>
      </c>
      <c r="D389" s="1">
        <v>72</v>
      </c>
      <c r="E389" s="27" t="s">
        <v>2</v>
      </c>
      <c r="F389" t="s">
        <v>51</v>
      </c>
      <c r="G389" s="7">
        <v>1920</v>
      </c>
      <c r="H389" t="s">
        <v>472</v>
      </c>
      <c r="I389">
        <v>100</v>
      </c>
      <c r="J389">
        <v>12.8574032</v>
      </c>
      <c r="K389">
        <v>0.9257330304000001</v>
      </c>
      <c r="L389">
        <v>120</v>
      </c>
      <c r="M389">
        <v>15</v>
      </c>
      <c r="N389">
        <v>12.762044134464507</v>
      </c>
      <c r="O389">
        <v>0.91886717768144455</v>
      </c>
      <c r="P389" s="139">
        <v>46174</v>
      </c>
    </row>
    <row r="390" spans="2:16">
      <c r="B390" s="256" t="s">
        <v>346</v>
      </c>
      <c r="C390" s="6">
        <v>1870</v>
      </c>
      <c r="D390" s="1">
        <v>72</v>
      </c>
      <c r="E390" s="27" t="s">
        <v>2</v>
      </c>
      <c r="F390" t="s">
        <v>51</v>
      </c>
      <c r="G390" s="7">
        <v>1940</v>
      </c>
      <c r="H390" t="s">
        <v>472</v>
      </c>
      <c r="I390">
        <v>70</v>
      </c>
      <c r="J390">
        <v>12.990743200000001</v>
      </c>
      <c r="K390">
        <v>0.93533351040000001</v>
      </c>
      <c r="L390">
        <v>120</v>
      </c>
      <c r="M390">
        <v>15</v>
      </c>
      <c r="N390">
        <v>12.894395196216191</v>
      </c>
      <c r="O390">
        <v>0.92839645412756566</v>
      </c>
      <c r="P390" s="139">
        <v>46174</v>
      </c>
    </row>
    <row r="391" spans="2:16">
      <c r="B391" s="256" t="s">
        <v>346</v>
      </c>
      <c r="C391" s="6">
        <v>1870</v>
      </c>
      <c r="D391" s="1">
        <v>72</v>
      </c>
      <c r="E391" s="27" t="s">
        <v>2</v>
      </c>
      <c r="F391" t="s">
        <v>51</v>
      </c>
      <c r="G391" s="7">
        <v>2020</v>
      </c>
      <c r="H391" t="s">
        <v>472</v>
      </c>
      <c r="I391">
        <v>30</v>
      </c>
      <c r="J391">
        <v>13.524103200000003</v>
      </c>
      <c r="K391">
        <v>0.9737354304000001</v>
      </c>
      <c r="L391">
        <v>120</v>
      </c>
      <c r="M391">
        <v>15</v>
      </c>
      <c r="N391">
        <v>13.423799443222929</v>
      </c>
      <c r="O391">
        <v>0.9665135599120509</v>
      </c>
      <c r="P391" s="139">
        <v>46174</v>
      </c>
    </row>
    <row r="392" spans="2:16">
      <c r="B392" s="256" t="s">
        <v>346</v>
      </c>
      <c r="C392" s="6">
        <v>1870</v>
      </c>
      <c r="D392" s="1">
        <v>72</v>
      </c>
      <c r="E392" s="27" t="s">
        <v>2</v>
      </c>
      <c r="F392" t="s">
        <v>51</v>
      </c>
      <c r="G392" s="7">
        <v>1970</v>
      </c>
      <c r="H392" t="s">
        <v>472</v>
      </c>
      <c r="I392">
        <v>50</v>
      </c>
      <c r="J392">
        <v>13.190753200000001</v>
      </c>
      <c r="K392">
        <v>0.94973423040000016</v>
      </c>
      <c r="L392">
        <v>120</v>
      </c>
      <c r="M392">
        <v>15</v>
      </c>
      <c r="N392">
        <v>13.092921788843718</v>
      </c>
      <c r="O392">
        <v>0.94269036879674772</v>
      </c>
      <c r="P392" s="139">
        <v>46174</v>
      </c>
    </row>
    <row r="393" spans="2:16">
      <c r="B393" s="256">
        <v>673</v>
      </c>
      <c r="C393" s="6">
        <v>1855</v>
      </c>
      <c r="D393" s="1">
        <v>80</v>
      </c>
      <c r="E393" s="5" t="s">
        <v>1</v>
      </c>
      <c r="F393" s="6" t="s">
        <v>46</v>
      </c>
      <c r="G393" s="7">
        <v>26060</v>
      </c>
      <c r="H393" t="s">
        <v>472</v>
      </c>
      <c r="I393">
        <v>20</v>
      </c>
      <c r="J393">
        <v>26.259999999999998</v>
      </c>
      <c r="K393">
        <v>2.1008</v>
      </c>
      <c r="L393">
        <v>0</v>
      </c>
      <c r="M393">
        <v>-45</v>
      </c>
      <c r="N393">
        <v>26.853060179207688</v>
      </c>
      <c r="O393">
        <v>2.1482448143366151</v>
      </c>
      <c r="P393" s="139">
        <v>46174</v>
      </c>
    </row>
    <row r="394" spans="2:16">
      <c r="B394" s="256">
        <v>986</v>
      </c>
      <c r="C394" s="6">
        <v>1855</v>
      </c>
      <c r="D394" s="1">
        <v>90</v>
      </c>
      <c r="E394" s="5" t="s">
        <v>1</v>
      </c>
      <c r="F394" s="6" t="s">
        <v>46</v>
      </c>
      <c r="G394" s="7">
        <v>20331</v>
      </c>
      <c r="H394" t="s">
        <v>472</v>
      </c>
      <c r="I394">
        <v>50</v>
      </c>
      <c r="J394">
        <v>20.530999999999999</v>
      </c>
      <c r="K394">
        <v>1.8477899999999998</v>
      </c>
      <c r="L394">
        <v>0</v>
      </c>
      <c r="M394">
        <v>-45</v>
      </c>
      <c r="N394">
        <v>20.994675496546574</v>
      </c>
      <c r="O394">
        <v>1.8895207946891914</v>
      </c>
      <c r="P394" s="139">
        <v>46174</v>
      </c>
    </row>
    <row r="395" spans="2:16">
      <c r="B395" s="256">
        <v>986</v>
      </c>
      <c r="C395" s="6">
        <v>2175</v>
      </c>
      <c r="D395" s="1">
        <v>90</v>
      </c>
      <c r="E395" s="5" t="s">
        <v>1</v>
      </c>
      <c r="F395" s="6" t="s">
        <v>46</v>
      </c>
      <c r="G395" s="7">
        <v>20331</v>
      </c>
      <c r="H395" t="s">
        <v>472</v>
      </c>
      <c r="I395">
        <v>50</v>
      </c>
      <c r="J395">
        <v>20.530999999999999</v>
      </c>
      <c r="K395">
        <v>1.8477899999999998</v>
      </c>
      <c r="L395">
        <v>0</v>
      </c>
      <c r="M395">
        <v>-45</v>
      </c>
      <c r="N395">
        <v>20.994675496546574</v>
      </c>
      <c r="O395">
        <v>1.8895207946891914</v>
      </c>
      <c r="P395" s="139">
        <v>46174</v>
      </c>
    </row>
    <row r="396" spans="2:16">
      <c r="B396" s="250" t="s">
        <v>348</v>
      </c>
      <c r="C396" s="6">
        <v>1870</v>
      </c>
      <c r="D396" s="1">
        <v>68</v>
      </c>
      <c r="E396" s="27" t="s">
        <v>47</v>
      </c>
      <c r="F396" s="6" t="s">
        <v>51</v>
      </c>
      <c r="G396" s="7">
        <v>2400</v>
      </c>
      <c r="H396">
        <v>300</v>
      </c>
      <c r="I396">
        <v>100</v>
      </c>
      <c r="J396">
        <v>16.2345632</v>
      </c>
      <c r="K396">
        <v>1.1039502976</v>
      </c>
      <c r="L396">
        <v>120</v>
      </c>
      <c r="M396">
        <v>15</v>
      </c>
      <c r="N396">
        <v>16.114156866617773</v>
      </c>
      <c r="O396">
        <v>1.0957626669300085</v>
      </c>
      <c r="P396" s="139">
        <v>46174</v>
      </c>
    </row>
    <row r="397" spans="2:16">
      <c r="B397" s="250" t="s">
        <v>348</v>
      </c>
      <c r="C397" s="6">
        <v>1870</v>
      </c>
      <c r="D397" s="1">
        <v>68</v>
      </c>
      <c r="E397" s="27" t="s">
        <v>47</v>
      </c>
      <c r="F397" s="6" t="s">
        <v>51</v>
      </c>
      <c r="G397" s="7">
        <v>2420</v>
      </c>
      <c r="H397">
        <v>300</v>
      </c>
      <c r="I397">
        <v>50</v>
      </c>
      <c r="J397">
        <v>16.367903200000001</v>
      </c>
      <c r="K397">
        <v>1.1130174176000001</v>
      </c>
      <c r="L397">
        <v>120</v>
      </c>
      <c r="M397">
        <v>15</v>
      </c>
      <c r="N397">
        <v>16.246507928369457</v>
      </c>
      <c r="O397">
        <v>1.1047625391291231</v>
      </c>
      <c r="P397" s="139">
        <v>46174</v>
      </c>
    </row>
    <row r="398" spans="2:16">
      <c r="B398" s="250" t="s">
        <v>348</v>
      </c>
      <c r="C398" s="6">
        <v>1870</v>
      </c>
      <c r="D398" s="1">
        <v>68</v>
      </c>
      <c r="E398" s="27" t="s">
        <v>47</v>
      </c>
      <c r="F398" s="6" t="s">
        <v>51</v>
      </c>
      <c r="G398" s="7">
        <v>2470</v>
      </c>
      <c r="H398">
        <v>300</v>
      </c>
      <c r="I398">
        <v>30</v>
      </c>
      <c r="J398">
        <v>16.7012532</v>
      </c>
      <c r="K398">
        <v>1.1356852175999999</v>
      </c>
      <c r="L398">
        <v>120</v>
      </c>
      <c r="M398">
        <v>15</v>
      </c>
      <c r="N398">
        <v>16.577385582748668</v>
      </c>
      <c r="O398">
        <v>1.1272622196269095</v>
      </c>
      <c r="P398" s="139">
        <v>46174</v>
      </c>
    </row>
    <row r="399" spans="2:16">
      <c r="B399" s="250" t="s">
        <v>348</v>
      </c>
      <c r="C399" s="6">
        <v>1870</v>
      </c>
      <c r="D399" s="1">
        <v>68</v>
      </c>
      <c r="E399" s="27" t="s">
        <v>47</v>
      </c>
      <c r="F399" s="6" t="s">
        <v>51</v>
      </c>
      <c r="G399" s="7">
        <v>2520</v>
      </c>
      <c r="H399">
        <v>300</v>
      </c>
      <c r="I399">
        <v>20</v>
      </c>
      <c r="J399">
        <v>17.034603199999999</v>
      </c>
      <c r="K399">
        <v>1.1583530175999999</v>
      </c>
      <c r="L399">
        <v>120</v>
      </c>
      <c r="M399">
        <v>15</v>
      </c>
      <c r="N399">
        <v>16.908263237127876</v>
      </c>
      <c r="O399">
        <v>1.1497619001246955</v>
      </c>
      <c r="P399" s="139">
        <v>46174</v>
      </c>
    </row>
    <row r="400" spans="2:16">
      <c r="B400" s="250" t="s">
        <v>348</v>
      </c>
      <c r="C400" s="6">
        <v>1870</v>
      </c>
      <c r="D400" s="1">
        <v>68</v>
      </c>
      <c r="E400" s="27" t="s">
        <v>47</v>
      </c>
      <c r="F400" s="6" t="s">
        <v>51</v>
      </c>
      <c r="G400" s="7">
        <v>2600</v>
      </c>
      <c r="H400">
        <v>300</v>
      </c>
      <c r="I400">
        <v>10</v>
      </c>
      <c r="J400">
        <v>17.567963200000001</v>
      </c>
      <c r="K400">
        <v>1.1946214976</v>
      </c>
      <c r="L400">
        <v>120</v>
      </c>
      <c r="M400">
        <v>15</v>
      </c>
      <c r="N400">
        <v>17.437667484134614</v>
      </c>
      <c r="O400">
        <v>1.1857613889211538</v>
      </c>
      <c r="P400" s="139">
        <v>46174</v>
      </c>
    </row>
    <row r="401" spans="2:16">
      <c r="B401" s="250" t="s">
        <v>374</v>
      </c>
      <c r="C401" s="6">
        <v>1270</v>
      </c>
      <c r="D401" s="1">
        <v>65</v>
      </c>
      <c r="E401" s="5" t="s">
        <v>108</v>
      </c>
      <c r="F401" s="6" t="s">
        <v>51</v>
      </c>
      <c r="G401" s="7">
        <v>2160</v>
      </c>
      <c r="H401" s="7">
        <v>500</v>
      </c>
      <c r="I401" s="6">
        <v>80</v>
      </c>
      <c r="J401">
        <v>14.634483200000002</v>
      </c>
      <c r="K401">
        <v>0.95124140800000012</v>
      </c>
      <c r="L401">
        <v>30</v>
      </c>
      <c r="M401">
        <v>-75</v>
      </c>
      <c r="N401">
        <v>15.189465648595659</v>
      </c>
      <c r="O401">
        <v>0.98731526715871787</v>
      </c>
      <c r="P401" s="139">
        <v>46174</v>
      </c>
    </row>
    <row r="402" spans="2:16">
      <c r="B402" s="250" t="s">
        <v>374</v>
      </c>
      <c r="C402" s="6">
        <v>1270</v>
      </c>
      <c r="D402" s="1">
        <v>65</v>
      </c>
      <c r="E402" s="5" t="s">
        <v>108</v>
      </c>
      <c r="F402" s="6" t="s">
        <v>51</v>
      </c>
      <c r="G402" s="7">
        <v>2180</v>
      </c>
      <c r="H402">
        <v>500</v>
      </c>
      <c r="I402" s="6">
        <v>50</v>
      </c>
      <c r="J402">
        <v>14.767823200000002</v>
      </c>
      <c r="K402">
        <v>0.95990850800000016</v>
      </c>
      <c r="L402">
        <v>30</v>
      </c>
      <c r="M402">
        <v>-75</v>
      </c>
      <c r="N402">
        <v>15.327862291777686</v>
      </c>
      <c r="O402">
        <v>0.99631104896554967</v>
      </c>
      <c r="P402" s="139">
        <v>46174</v>
      </c>
    </row>
    <row r="403" spans="2:16">
      <c r="B403" s="250" t="s">
        <v>374</v>
      </c>
      <c r="C403" s="6">
        <v>1270</v>
      </c>
      <c r="D403" s="1">
        <v>65</v>
      </c>
      <c r="E403" s="5" t="s">
        <v>108</v>
      </c>
      <c r="F403" s="6" t="s">
        <v>51</v>
      </c>
      <c r="G403" s="7">
        <v>2210</v>
      </c>
      <c r="H403">
        <v>500</v>
      </c>
      <c r="I403">
        <v>20</v>
      </c>
      <c r="J403">
        <v>14.967833199999999</v>
      </c>
      <c r="K403">
        <v>0.97290915799999989</v>
      </c>
      <c r="L403">
        <v>30</v>
      </c>
      <c r="M403">
        <v>-75</v>
      </c>
      <c r="N403">
        <v>15.535457256550721</v>
      </c>
      <c r="O403">
        <v>1.0098047216757968</v>
      </c>
      <c r="P403" s="139">
        <v>46174</v>
      </c>
    </row>
    <row r="404" spans="2:16">
      <c r="B404" s="250" t="s">
        <v>374</v>
      </c>
      <c r="C404" s="6">
        <v>1870</v>
      </c>
      <c r="D404" s="1">
        <v>65</v>
      </c>
      <c r="E404" s="5" t="s">
        <v>108</v>
      </c>
      <c r="F404" s="6" t="s">
        <v>51</v>
      </c>
      <c r="G404" s="7">
        <v>1960</v>
      </c>
      <c r="H404">
        <v>500</v>
      </c>
      <c r="I404">
        <v>80</v>
      </c>
      <c r="J404">
        <v>13.301083200000001</v>
      </c>
      <c r="K404">
        <v>0.86457040800000007</v>
      </c>
      <c r="L404">
        <v>30</v>
      </c>
      <c r="M404">
        <v>-75</v>
      </c>
      <c r="N404">
        <v>13.805499216775406</v>
      </c>
      <c r="O404">
        <v>0.89735744909040138</v>
      </c>
      <c r="P404" s="139">
        <v>46174</v>
      </c>
    </row>
    <row r="405" spans="2:16">
      <c r="B405" s="250" t="s">
        <v>374</v>
      </c>
      <c r="C405" s="6">
        <v>1870</v>
      </c>
      <c r="D405" s="1">
        <v>65</v>
      </c>
      <c r="E405" s="5" t="s">
        <v>108</v>
      </c>
      <c r="F405" s="6" t="s">
        <v>51</v>
      </c>
      <c r="G405" s="7">
        <v>1980</v>
      </c>
      <c r="H405">
        <v>500</v>
      </c>
      <c r="I405">
        <v>50</v>
      </c>
      <c r="J405">
        <v>13.434423200000001</v>
      </c>
      <c r="K405">
        <v>0.87323750800000011</v>
      </c>
      <c r="L405">
        <v>30</v>
      </c>
      <c r="M405">
        <v>-75</v>
      </c>
      <c r="N405">
        <v>13.943895859957431</v>
      </c>
      <c r="O405">
        <v>0.90635323089723308</v>
      </c>
      <c r="P405" s="139">
        <v>46174</v>
      </c>
    </row>
    <row r="406" spans="2:16">
      <c r="B406" s="250" t="s">
        <v>374</v>
      </c>
      <c r="C406" s="6">
        <v>1870</v>
      </c>
      <c r="D406" s="1">
        <v>65</v>
      </c>
      <c r="E406" s="5" t="s">
        <v>108</v>
      </c>
      <c r="F406" s="6" t="s">
        <v>51</v>
      </c>
      <c r="G406" s="7">
        <v>2010</v>
      </c>
      <c r="H406">
        <v>500</v>
      </c>
      <c r="I406">
        <v>20</v>
      </c>
      <c r="J406">
        <v>13.6344332</v>
      </c>
      <c r="K406">
        <v>0.88623815800000005</v>
      </c>
      <c r="L406">
        <v>30</v>
      </c>
      <c r="M406">
        <v>-75</v>
      </c>
      <c r="N406">
        <v>14.151490824730468</v>
      </c>
      <c r="O406">
        <v>0.91984690360748034</v>
      </c>
      <c r="P406" s="139">
        <v>46174</v>
      </c>
    </row>
    <row r="407" spans="2:16">
      <c r="B407" s="250" t="s">
        <v>374</v>
      </c>
      <c r="C407" s="6">
        <v>1870</v>
      </c>
      <c r="D407" s="1">
        <v>65</v>
      </c>
      <c r="E407" s="5" t="s">
        <v>0</v>
      </c>
      <c r="F407" s="6" t="s">
        <v>267</v>
      </c>
      <c r="G407" s="7">
        <v>10950</v>
      </c>
      <c r="H407">
        <v>3300</v>
      </c>
      <c r="I407">
        <v>100</v>
      </c>
      <c r="J407">
        <v>10.573829999999997</v>
      </c>
      <c r="K407">
        <v>0.68729894999999985</v>
      </c>
      <c r="L407">
        <v>90</v>
      </c>
      <c r="M407">
        <v>-30</v>
      </c>
      <c r="N407">
        <v>10.732437449999995</v>
      </c>
      <c r="O407">
        <v>0.69760843424999963</v>
      </c>
      <c r="P407" s="139">
        <v>46023</v>
      </c>
    </row>
    <row r="408" spans="2:16">
      <c r="B408" s="250" t="s">
        <v>374</v>
      </c>
      <c r="C408" s="6">
        <v>2175</v>
      </c>
      <c r="D408" s="1">
        <v>65</v>
      </c>
      <c r="E408" s="5" t="s">
        <v>108</v>
      </c>
      <c r="F408" s="6" t="s">
        <v>51</v>
      </c>
      <c r="G408" s="7">
        <v>1960</v>
      </c>
      <c r="H408">
        <v>500</v>
      </c>
      <c r="I408">
        <v>80</v>
      </c>
      <c r="J408">
        <v>13.301083200000001</v>
      </c>
      <c r="K408">
        <v>0.86457040800000007</v>
      </c>
      <c r="L408">
        <v>30</v>
      </c>
      <c r="M408">
        <v>-75</v>
      </c>
      <c r="N408">
        <v>13.805499216775406</v>
      </c>
      <c r="O408">
        <v>0.89735744909040138</v>
      </c>
      <c r="P408" s="139">
        <v>46174</v>
      </c>
    </row>
    <row r="409" spans="2:16">
      <c r="B409" s="250" t="s">
        <v>374</v>
      </c>
      <c r="C409" s="6">
        <v>2175</v>
      </c>
      <c r="D409" s="1">
        <v>65</v>
      </c>
      <c r="E409" s="5" t="s">
        <v>108</v>
      </c>
      <c r="F409" s="6" t="s">
        <v>51</v>
      </c>
      <c r="G409" s="7">
        <v>1980</v>
      </c>
      <c r="H409">
        <v>500</v>
      </c>
      <c r="I409">
        <v>50</v>
      </c>
      <c r="J409">
        <v>13.434423200000001</v>
      </c>
      <c r="K409">
        <v>0.87323750800000011</v>
      </c>
      <c r="L409">
        <v>30</v>
      </c>
      <c r="M409">
        <v>-75</v>
      </c>
      <c r="N409">
        <v>13.943895859957431</v>
      </c>
      <c r="O409">
        <v>0.90635323089723308</v>
      </c>
      <c r="P409" s="139">
        <v>46174</v>
      </c>
    </row>
    <row r="410" spans="2:16">
      <c r="B410" s="250" t="s">
        <v>374</v>
      </c>
      <c r="C410" s="6">
        <v>2175</v>
      </c>
      <c r="D410" s="1">
        <v>65</v>
      </c>
      <c r="E410" s="5" t="s">
        <v>108</v>
      </c>
      <c r="F410" s="6" t="s">
        <v>51</v>
      </c>
      <c r="G410" s="7">
        <v>2010</v>
      </c>
      <c r="H410">
        <v>500</v>
      </c>
      <c r="I410">
        <v>20</v>
      </c>
      <c r="J410">
        <v>13.6344332</v>
      </c>
      <c r="K410">
        <v>0.88623815800000005</v>
      </c>
      <c r="L410">
        <v>30</v>
      </c>
      <c r="M410">
        <v>-75</v>
      </c>
      <c r="N410">
        <v>14.151490824730468</v>
      </c>
      <c r="O410">
        <v>0.91984690360748034</v>
      </c>
      <c r="P410" s="139">
        <v>46174</v>
      </c>
    </row>
    <row r="411" spans="2:16">
      <c r="B411" s="250" t="s">
        <v>374</v>
      </c>
      <c r="C411" s="6">
        <v>2175</v>
      </c>
      <c r="D411" s="1">
        <v>65</v>
      </c>
      <c r="E411" s="5" t="s">
        <v>0</v>
      </c>
      <c r="F411" s="6" t="s">
        <v>267</v>
      </c>
      <c r="G411" s="7">
        <v>10950</v>
      </c>
      <c r="H411">
        <v>3300</v>
      </c>
      <c r="I411">
        <v>100</v>
      </c>
      <c r="J411">
        <v>10.573829999999997</v>
      </c>
      <c r="K411">
        <v>0.68729894999999985</v>
      </c>
      <c r="L411">
        <v>90</v>
      </c>
      <c r="M411">
        <v>-30</v>
      </c>
      <c r="N411">
        <v>10.732437449999995</v>
      </c>
      <c r="O411">
        <v>0.69760843424999963</v>
      </c>
      <c r="P411" s="139">
        <v>46023</v>
      </c>
    </row>
    <row r="412" spans="2:16">
      <c r="B412" s="250" t="s">
        <v>374</v>
      </c>
      <c r="C412" s="6" t="s">
        <v>472</v>
      </c>
      <c r="D412"/>
      <c r="E412"/>
      <c r="F412"/>
      <c r="G412"/>
      <c r="H412"/>
      <c r="I412"/>
      <c r="J412"/>
      <c r="K412"/>
      <c r="L412"/>
      <c r="M412"/>
      <c r="N412"/>
      <c r="O412"/>
      <c r="P412"/>
    </row>
    <row r="413" spans="2:16">
      <c r="B413" s="250" t="s">
        <v>439</v>
      </c>
      <c r="C413" s="6">
        <v>1870</v>
      </c>
      <c r="D413" s="1">
        <v>70</v>
      </c>
      <c r="E413" s="5" t="s">
        <v>0</v>
      </c>
      <c r="F413" s="6" t="s">
        <v>267</v>
      </c>
      <c r="G413" s="7">
        <v>10300</v>
      </c>
      <c r="H413">
        <v>3300</v>
      </c>
      <c r="I413">
        <v>100</v>
      </c>
      <c r="J413">
        <v>10.018080000000001</v>
      </c>
      <c r="K413">
        <v>0.70126560000000004</v>
      </c>
      <c r="L413">
        <v>90</v>
      </c>
      <c r="M413">
        <v>-30</v>
      </c>
      <c r="N413">
        <v>10.1683512</v>
      </c>
      <c r="O413">
        <v>0.711784584</v>
      </c>
      <c r="P413" s="139">
        <v>46023</v>
      </c>
    </row>
    <row r="414" spans="2:16">
      <c r="B414" s="250" t="s">
        <v>439</v>
      </c>
      <c r="C414" s="6">
        <v>1870</v>
      </c>
      <c r="D414" s="1">
        <v>70</v>
      </c>
      <c r="E414" s="5" t="s">
        <v>0</v>
      </c>
      <c r="F414" s="6" t="s">
        <v>51</v>
      </c>
      <c r="G414" s="7">
        <v>1337</v>
      </c>
      <c r="H414">
        <v>400</v>
      </c>
      <c r="I414">
        <v>100</v>
      </c>
      <c r="J414">
        <v>10.204242000000001</v>
      </c>
      <c r="K414">
        <v>0.71429693999999999</v>
      </c>
      <c r="L414">
        <v>90</v>
      </c>
      <c r="M414">
        <v>-30</v>
      </c>
      <c r="N414">
        <v>10.357305629999999</v>
      </c>
      <c r="O414">
        <v>0.72501139409999993</v>
      </c>
      <c r="P414" s="139">
        <v>45717</v>
      </c>
    </row>
    <row r="415" spans="2:16">
      <c r="B415" s="250">
        <v>9371</v>
      </c>
      <c r="C415" s="6" t="s">
        <v>472</v>
      </c>
      <c r="D415"/>
      <c r="E415"/>
      <c r="F415"/>
      <c r="G415"/>
      <c r="H415"/>
      <c r="I415"/>
      <c r="J415"/>
      <c r="K415"/>
      <c r="L415"/>
      <c r="M415"/>
      <c r="N415"/>
      <c r="O415"/>
      <c r="P415"/>
    </row>
    <row r="416" spans="2:16">
      <c r="B416" s="250">
        <v>9372</v>
      </c>
      <c r="C416" s="6" t="s">
        <v>472</v>
      </c>
      <c r="D416"/>
      <c r="E416"/>
      <c r="F416"/>
      <c r="G416"/>
      <c r="H416"/>
      <c r="I416"/>
      <c r="J416"/>
      <c r="K416"/>
      <c r="L416"/>
      <c r="M416"/>
      <c r="N416"/>
      <c r="O416"/>
      <c r="P416"/>
    </row>
    <row r="417" spans="2:16">
      <c r="B417" s="250">
        <v>9374</v>
      </c>
      <c r="C417" s="6" t="s">
        <v>472</v>
      </c>
      <c r="D417"/>
      <c r="E417"/>
      <c r="F417"/>
      <c r="G417"/>
      <c r="H417"/>
      <c r="I417"/>
      <c r="J417"/>
      <c r="K417"/>
      <c r="L417"/>
      <c r="M417"/>
      <c r="N417"/>
      <c r="O417"/>
      <c r="P417"/>
    </row>
    <row r="418" spans="2:16">
      <c r="B418" s="250">
        <v>9377</v>
      </c>
      <c r="C418" s="6" t="s">
        <v>472</v>
      </c>
      <c r="D418"/>
      <c r="E418"/>
      <c r="F418"/>
      <c r="G418"/>
      <c r="H418"/>
      <c r="I418"/>
      <c r="J418"/>
      <c r="K418"/>
      <c r="L418"/>
      <c r="M418"/>
      <c r="N418"/>
      <c r="O418"/>
      <c r="P418"/>
    </row>
    <row r="419" spans="2:16">
      <c r="B419" s="250">
        <v>204</v>
      </c>
      <c r="C419" s="6" t="s">
        <v>472</v>
      </c>
      <c r="D419"/>
      <c r="E419"/>
      <c r="F419"/>
      <c r="G419"/>
      <c r="H419"/>
      <c r="I419"/>
      <c r="J419"/>
      <c r="K419"/>
      <c r="L419"/>
      <c r="M419"/>
      <c r="N419"/>
      <c r="O419"/>
      <c r="P419"/>
    </row>
    <row r="420" spans="2:16">
      <c r="B420" s="250" t="s">
        <v>448</v>
      </c>
      <c r="C420" s="6">
        <v>1870</v>
      </c>
      <c r="D420" s="1">
        <v>50</v>
      </c>
      <c r="E420" s="27" t="s">
        <v>240</v>
      </c>
      <c r="F420" s="6" t="s">
        <v>267</v>
      </c>
      <c r="G420" s="7">
        <v>13000</v>
      </c>
      <c r="H420">
        <v>3300</v>
      </c>
      <c r="I420">
        <v>100</v>
      </c>
      <c r="J420">
        <v>12.32658</v>
      </c>
      <c r="K420">
        <v>0.61632900000000002</v>
      </c>
      <c r="L420">
        <v>90</v>
      </c>
      <c r="M420">
        <v>-30</v>
      </c>
      <c r="N420">
        <v>12.511478699999998</v>
      </c>
      <c r="O420">
        <v>0.62557393499999991</v>
      </c>
      <c r="P420" s="139">
        <v>46023</v>
      </c>
    </row>
    <row r="421" spans="2:16">
      <c r="B421" s="250">
        <v>247</v>
      </c>
      <c r="C421" s="6">
        <v>1870</v>
      </c>
      <c r="D421" s="1">
        <v>70</v>
      </c>
      <c r="E421" s="5" t="s">
        <v>0</v>
      </c>
      <c r="F421" s="6" t="s">
        <v>267</v>
      </c>
      <c r="G421" s="7">
        <v>8500</v>
      </c>
      <c r="H421">
        <v>3300</v>
      </c>
      <c r="I421">
        <v>100</v>
      </c>
      <c r="J421">
        <v>8.4790800000000015</v>
      </c>
      <c r="K421">
        <v>0.59353560000000016</v>
      </c>
      <c r="L421">
        <v>90</v>
      </c>
      <c r="M421">
        <v>-30</v>
      </c>
      <c r="N421">
        <v>8.6062662000000003</v>
      </c>
      <c r="O421">
        <v>0.60243863400000008</v>
      </c>
      <c r="P421" s="139">
        <v>46143</v>
      </c>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2"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513"/>
  <sheetViews>
    <sheetView showGridLines="0" tabSelected="1" zoomScaleNormal="100" workbookViewId="0">
      <pane xSplit="7" ySplit="3" topLeftCell="H4" activePane="bottomRight" state="frozen"/>
      <selection pane="topRight" activeCell="F1" sqref="F1"/>
      <selection pane="bottomLeft" activeCell="A5" sqref="A5"/>
      <selection pane="bottomRight" activeCell="BJ14" sqref="BJ14"/>
    </sheetView>
  </sheetViews>
  <sheetFormatPr defaultColWidth="9.140625" defaultRowHeight="15" outlineLevelCol="1"/>
  <cols>
    <col min="1" max="1" width="13.140625" style="148" bestFit="1" customWidth="1"/>
    <col min="2" max="2" width="10.7109375" style="148" customWidth="1"/>
    <col min="3" max="3" width="7.7109375" style="148" customWidth="1"/>
    <col min="4" max="4" width="10.5703125" style="148" customWidth="1"/>
    <col min="5" max="5" width="6.7109375" style="148" customWidth="1"/>
    <col min="6" max="6" width="14.140625" style="149" customWidth="1"/>
    <col min="7" max="7" width="29.85546875" style="149" customWidth="1"/>
    <col min="8" max="8" width="11.42578125" style="148" hidden="1" customWidth="1" outlineLevel="1"/>
    <col min="9" max="9" width="14.85546875" style="148" hidden="1" customWidth="1" outlineLevel="1"/>
    <col min="10" max="10" width="16.7109375" style="148" hidden="1" customWidth="1" outlineLevel="1"/>
    <col min="11" max="11" width="27.85546875" style="148" hidden="1" customWidth="1" outlineLevel="1"/>
    <col min="12" max="12" width="10.5703125" style="148" hidden="1" customWidth="1" outlineLevel="1"/>
    <col min="13" max="13" width="16.85546875" style="148" hidden="1" customWidth="1" outlineLevel="1"/>
    <col min="14" max="14" width="8.140625" style="148" customWidth="1" collapsed="1"/>
    <col min="15" max="15" width="12.140625" style="148" hidden="1" customWidth="1" outlineLevel="1"/>
    <col min="16" max="16" width="23" style="148" hidden="1" customWidth="1" outlineLevel="1"/>
    <col min="17" max="17" width="19.5703125" style="148" hidden="1" customWidth="1" outlineLevel="1"/>
    <col min="18" max="18" width="11.140625" style="148" hidden="1" customWidth="1" outlineLevel="1"/>
    <col min="19" max="19" width="7.7109375" style="148" hidden="1" customWidth="1" outlineLevel="1"/>
    <col min="20" max="20" width="9.42578125" style="148" hidden="1" customWidth="1" outlineLevel="1"/>
    <col min="21" max="21" width="13.28515625" style="148" hidden="1" customWidth="1" outlineLevel="1"/>
    <col min="22" max="22" width="11.85546875" style="148" hidden="1" customWidth="1" outlineLevel="1"/>
    <col min="23" max="23" width="10.7109375" style="148" customWidth="1" collapsed="1"/>
    <col min="24" max="24" width="11" style="148" customWidth="1"/>
    <col min="25" max="26" width="9.140625" style="150" hidden="1" customWidth="1" outlineLevel="1"/>
    <col min="27" max="27" width="9.42578125" style="150" hidden="1" customWidth="1" outlineLevel="1"/>
    <col min="28" max="28" width="9.140625" style="150" hidden="1" customWidth="1" outlineLevel="1"/>
    <col min="29" max="29" width="9.28515625" style="150" hidden="1" customWidth="1" outlineLevel="1"/>
    <col min="30" max="34" width="9.140625" style="150" hidden="1" customWidth="1" outlineLevel="1"/>
    <col min="35" max="35" width="9.28515625" style="150" hidden="1" customWidth="1" outlineLevel="1"/>
    <col min="36" max="38" width="9.140625" style="150" hidden="1" customWidth="1" outlineLevel="1"/>
    <col min="39" max="39" width="9.42578125" style="150" hidden="1" customWidth="1" outlineLevel="1"/>
    <col min="40" max="40" width="9.140625" style="150" hidden="1" customWidth="1" outlineLevel="1"/>
    <col min="41" max="41" width="9.28515625" style="150" hidden="1" customWidth="1" outlineLevel="1"/>
    <col min="42" max="46" width="9.140625" style="150" hidden="1" customWidth="1" outlineLevel="1"/>
    <col min="47" max="47" width="9.28515625" style="150" hidden="1" customWidth="1" outlineLevel="1"/>
    <col min="48" max="48" width="9.140625" style="150" hidden="1" customWidth="1" outlineLevel="1"/>
    <col min="49" max="49" width="11" style="150" hidden="1" customWidth="1" outlineLevel="1" collapsed="1"/>
    <col min="50" max="50" width="11" style="150" hidden="1" customWidth="1" outlineLevel="1"/>
    <col min="51" max="51" width="9.42578125" style="150" hidden="1" customWidth="1" outlineLevel="1"/>
    <col min="52" max="52" width="9.140625" style="150" hidden="1" customWidth="1" outlineLevel="1"/>
    <col min="53" max="53" width="9.28515625" style="150" hidden="1" customWidth="1" outlineLevel="1"/>
    <col min="54" max="54" width="9.140625" style="150" hidden="1" customWidth="1" outlineLevel="1"/>
    <col min="55" max="55" width="9.42578125" style="150" hidden="1" customWidth="1" outlineLevel="1"/>
    <col min="56" max="58" width="9.140625" style="150" hidden="1" customWidth="1" outlineLevel="1"/>
    <col min="59" max="59" width="9.85546875" style="150" hidden="1" customWidth="1" outlineLevel="1"/>
    <col min="60" max="60" width="9.5703125" style="150" hidden="1" customWidth="1" outlineLevel="1"/>
    <col min="61" max="61" width="9.5703125" style="150" customWidth="1" collapsed="1"/>
    <col min="62" max="72" width="9.5703125" style="150" customWidth="1"/>
    <col min="73" max="73" width="13.5703125" style="150" customWidth="1"/>
    <col min="74" max="74" width="14.7109375" style="150" customWidth="1"/>
    <col min="75" max="75" width="13" style="150" customWidth="1"/>
    <col min="76" max="76" width="10.5703125" style="150" customWidth="1"/>
    <col min="77" max="77" width="11.42578125" style="150" customWidth="1"/>
    <col min="78" max="78" width="10.7109375" style="150" customWidth="1"/>
    <col min="79" max="79" width="10.5703125" style="153" customWidth="1"/>
    <col min="80" max="80" width="9.42578125" style="152" customWidth="1"/>
    <col min="81" max="81" width="11" style="152" customWidth="1"/>
    <col min="82" max="82" width="11.140625" style="153" bestFit="1" customWidth="1"/>
    <col min="83" max="83" width="10.42578125" style="153" customWidth="1"/>
    <col min="84" max="84" width="10.5703125" style="148" customWidth="1"/>
    <col min="85" max="85" width="11.140625" style="148" customWidth="1"/>
    <col min="86" max="86" width="11.5703125" style="148" customWidth="1"/>
    <col min="87" max="87" width="10.140625" style="150" customWidth="1"/>
    <col min="88" max="88" width="12" style="150" customWidth="1"/>
    <col min="89" max="89" width="10.42578125" style="150" customWidth="1"/>
    <col min="90" max="90" width="10.85546875" style="150" bestFit="1" customWidth="1"/>
    <col min="91" max="91" width="6.5703125" style="150" customWidth="1"/>
    <col min="92" max="92" width="3.42578125" style="150" customWidth="1"/>
    <col min="93" max="93" width="10.5703125" style="150" bestFit="1" customWidth="1"/>
    <col min="94" max="94" width="11.5703125" style="150" customWidth="1"/>
    <col min="95" max="95" width="10.5703125" style="150" bestFit="1" customWidth="1"/>
    <col min="96" max="16384" width="9.140625" style="150"/>
  </cols>
  <sheetData>
    <row r="1" spans="1:91" ht="14.45" customHeight="1">
      <c r="CA1" s="151" t="s">
        <v>331</v>
      </c>
      <c r="CB1" s="208">
        <f>0.01*$CK$2</f>
        <v>5.9000000000000004E-2</v>
      </c>
      <c r="CF1" s="154"/>
      <c r="CG1" s="154"/>
      <c r="CH1" s="155"/>
      <c r="CI1" s="155"/>
      <c r="CJ1" s="156" t="s">
        <v>147</v>
      </c>
      <c r="CK1" s="207">
        <f>Premissas!C24</f>
        <v>5</v>
      </c>
      <c r="CL1" s="156" t="s">
        <v>245</v>
      </c>
      <c r="CM1" s="207">
        <f>Premissas!C26</f>
        <v>0.75</v>
      </c>
    </row>
    <row r="2" spans="1:91">
      <c r="I2" s="157" t="s">
        <v>53</v>
      </c>
      <c r="S2" s="225" t="s">
        <v>33</v>
      </c>
      <c r="T2" s="225"/>
      <c r="U2" s="225"/>
      <c r="CA2" s="151" t="s">
        <v>126</v>
      </c>
      <c r="CB2" s="209">
        <f>-0.03*$CK$2</f>
        <v>-0.17699999999999999</v>
      </c>
      <c r="CF2" s="154"/>
      <c r="CG2" s="154"/>
      <c r="CH2" s="155" t="s">
        <v>314</v>
      </c>
      <c r="CI2" s="210">
        <f>Premissas!D29</f>
        <v>1.4999999999999999E-2</v>
      </c>
      <c r="CJ2" s="156" t="s">
        <v>148</v>
      </c>
      <c r="CK2" s="207">
        <f>Premissas!C25</f>
        <v>5.9</v>
      </c>
      <c r="CL2" s="156" t="s">
        <v>456</v>
      </c>
      <c r="CM2" s="207">
        <v>6.6369999999999998E-2</v>
      </c>
    </row>
    <row r="3" spans="1:91" s="175" customFormat="1" ht="45">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354</v>
      </c>
      <c r="Q3" s="159" t="s">
        <v>26</v>
      </c>
      <c r="R3" s="159" t="s">
        <v>25</v>
      </c>
      <c r="S3" s="161" t="s">
        <v>17</v>
      </c>
      <c r="T3" s="161" t="s">
        <v>22</v>
      </c>
      <c r="U3" s="161" t="s">
        <v>18</v>
      </c>
      <c r="V3" s="162" t="s">
        <v>34</v>
      </c>
      <c r="W3" s="162" t="s">
        <v>44</v>
      </c>
      <c r="X3" s="162" t="s">
        <v>45</v>
      </c>
      <c r="Y3" s="163" t="s">
        <v>386</v>
      </c>
      <c r="Z3" s="163" t="s">
        <v>387</v>
      </c>
      <c r="AA3" s="163" t="s">
        <v>388</v>
      </c>
      <c r="AB3" s="163" t="s">
        <v>389</v>
      </c>
      <c r="AC3" s="163" t="s">
        <v>390</v>
      </c>
      <c r="AD3" s="163" t="s">
        <v>391</v>
      </c>
      <c r="AE3" s="163" t="s">
        <v>392</v>
      </c>
      <c r="AF3" s="163" t="s">
        <v>393</v>
      </c>
      <c r="AG3" s="163" t="s">
        <v>394</v>
      </c>
      <c r="AH3" s="163" t="s">
        <v>395</v>
      </c>
      <c r="AI3" s="163" t="s">
        <v>396</v>
      </c>
      <c r="AJ3" s="163" t="s">
        <v>397</v>
      </c>
      <c r="AK3" s="164" t="s">
        <v>398</v>
      </c>
      <c r="AL3" s="164" t="s">
        <v>399</v>
      </c>
      <c r="AM3" s="164" t="s">
        <v>400</v>
      </c>
      <c r="AN3" s="164" t="s">
        <v>401</v>
      </c>
      <c r="AO3" s="164" t="s">
        <v>402</v>
      </c>
      <c r="AP3" s="164" t="s">
        <v>403</v>
      </c>
      <c r="AQ3" s="164" t="s">
        <v>404</v>
      </c>
      <c r="AR3" s="164" t="s">
        <v>405</v>
      </c>
      <c r="AS3" s="164" t="s">
        <v>406</v>
      </c>
      <c r="AT3" s="164" t="s">
        <v>407</v>
      </c>
      <c r="AU3" s="164" t="s">
        <v>408</v>
      </c>
      <c r="AV3" s="164" t="s">
        <v>409</v>
      </c>
      <c r="AW3" s="165" t="s">
        <v>410</v>
      </c>
      <c r="AX3" s="165" t="s">
        <v>411</v>
      </c>
      <c r="AY3" s="165" t="s">
        <v>412</v>
      </c>
      <c r="AZ3" s="165" t="s">
        <v>413</v>
      </c>
      <c r="BA3" s="165" t="s">
        <v>414</v>
      </c>
      <c r="BB3" s="165" t="s">
        <v>415</v>
      </c>
      <c r="BC3" s="165" t="s">
        <v>416</v>
      </c>
      <c r="BD3" s="165" t="s">
        <v>417</v>
      </c>
      <c r="BE3" s="165" t="s">
        <v>418</v>
      </c>
      <c r="BF3" s="165" t="s">
        <v>419</v>
      </c>
      <c r="BG3" s="165" t="s">
        <v>420</v>
      </c>
      <c r="BH3" s="165" t="s">
        <v>421</v>
      </c>
      <c r="BI3" s="162" t="s">
        <v>422</v>
      </c>
      <c r="BJ3" s="162" t="s">
        <v>423</v>
      </c>
      <c r="BK3" s="162" t="s">
        <v>424</v>
      </c>
      <c r="BL3" s="162" t="s">
        <v>425</v>
      </c>
      <c r="BM3" s="162" t="s">
        <v>426</v>
      </c>
      <c r="BN3" s="162" t="s">
        <v>427</v>
      </c>
      <c r="BO3" s="162" t="s">
        <v>428</v>
      </c>
      <c r="BP3" s="162" t="s">
        <v>429</v>
      </c>
      <c r="BQ3" s="162" t="s">
        <v>430</v>
      </c>
      <c r="BR3" s="162" t="s">
        <v>431</v>
      </c>
      <c r="BS3" s="162" t="s">
        <v>432</v>
      </c>
      <c r="BT3" s="162" t="s">
        <v>433</v>
      </c>
      <c r="BU3" s="166" t="s">
        <v>138</v>
      </c>
      <c r="BV3" s="167" t="s">
        <v>300</v>
      </c>
      <c r="BW3" s="166" t="s">
        <v>36</v>
      </c>
      <c r="BX3" s="168" t="s">
        <v>434</v>
      </c>
      <c r="BY3" s="168" t="s">
        <v>135</v>
      </c>
      <c r="BZ3" s="168" t="s">
        <v>242</v>
      </c>
      <c r="CA3" s="168" t="s">
        <v>134</v>
      </c>
      <c r="CB3" s="169" t="s">
        <v>332</v>
      </c>
      <c r="CC3" s="169" t="s">
        <v>139</v>
      </c>
      <c r="CD3" s="170" t="s">
        <v>248</v>
      </c>
      <c r="CE3" s="171" t="s">
        <v>249</v>
      </c>
      <c r="CF3" s="172" t="s">
        <v>56</v>
      </c>
      <c r="CG3" s="172" t="s">
        <v>435</v>
      </c>
      <c r="CH3" s="172" t="s">
        <v>136</v>
      </c>
      <c r="CI3" s="172" t="s">
        <v>137</v>
      </c>
      <c r="CJ3" s="173" t="s">
        <v>141</v>
      </c>
      <c r="CK3" s="174" t="s">
        <v>142</v>
      </c>
    </row>
    <row r="4" spans="1:91">
      <c r="A4" s="176">
        <v>10932</v>
      </c>
      <c r="B4" s="177">
        <v>399</v>
      </c>
      <c r="C4" s="178">
        <v>68</v>
      </c>
      <c r="D4" s="178">
        <v>1870</v>
      </c>
      <c r="E4" s="178" t="s">
        <v>50</v>
      </c>
      <c r="F4" s="179" t="s">
        <v>67</v>
      </c>
      <c r="G4" s="180" t="s">
        <v>145</v>
      </c>
      <c r="H4" s="178" t="s">
        <v>42</v>
      </c>
      <c r="I4" s="178"/>
      <c r="J4" s="178"/>
      <c r="K4" s="178"/>
      <c r="L4" s="178" t="s">
        <v>59</v>
      </c>
      <c r="M4" s="178">
        <v>90</v>
      </c>
      <c r="N4" s="178"/>
      <c r="O4" s="178"/>
      <c r="P4" s="178"/>
      <c r="Q4" s="178"/>
      <c r="R4" s="178" t="s">
        <v>19</v>
      </c>
      <c r="S4" s="181"/>
      <c r="T4" s="181"/>
      <c r="U4" s="182"/>
      <c r="V4" s="182" t="s">
        <v>35</v>
      </c>
      <c r="W4" s="183">
        <v>50</v>
      </c>
      <c r="X4" s="182" t="s">
        <v>51</v>
      </c>
      <c r="Y4" s="184">
        <v>2450</v>
      </c>
      <c r="Z4" s="184">
        <v>2450</v>
      </c>
      <c r="AA4" s="184">
        <v>2450</v>
      </c>
      <c r="AB4" s="184">
        <v>2400</v>
      </c>
      <c r="AC4" s="184">
        <v>2400</v>
      </c>
      <c r="AD4" s="184">
        <v>2400</v>
      </c>
      <c r="AE4" s="184">
        <v>2250</v>
      </c>
      <c r="AF4" s="184">
        <v>2250</v>
      </c>
      <c r="AG4" s="184">
        <v>2250</v>
      </c>
      <c r="AH4" s="184">
        <v>2150</v>
      </c>
      <c r="AI4" s="184">
        <v>2150</v>
      </c>
      <c r="AJ4" s="184">
        <v>2150</v>
      </c>
      <c r="AK4" s="184">
        <v>2150</v>
      </c>
      <c r="AL4" s="184">
        <v>2200</v>
      </c>
      <c r="AM4" s="184">
        <v>2200</v>
      </c>
      <c r="AN4" s="184">
        <v>2300</v>
      </c>
      <c r="AO4" s="184">
        <v>2300</v>
      </c>
      <c r="AP4" s="184">
        <v>2300</v>
      </c>
      <c r="AQ4" s="184">
        <v>2450</v>
      </c>
      <c r="AR4" s="184">
        <v>2450</v>
      </c>
      <c r="AS4" s="184">
        <v>2450</v>
      </c>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46" cm="1">
        <f t="array" ref="BU4">LOOKUP(2,1/(Y4:BT4&lt;&gt;""),Y4:BH4)</f>
        <v>2450</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45536</v>
      </c>
      <c r="BW4" s="211" t="e" cm="1">
        <f t="array" ref="BW4">(LOOKUP(2,1/(BH4:BT4&lt;&gt;""),BH4:BT4))/(INDEX(BH4:BT4,MATCH(TRUE,INDEX((BH4:BT4&lt;&gt;0),0),0)))-1</f>
        <v>#N/A</v>
      </c>
      <c r="BX4" s="212">
        <f t="shared" ref="BX4" si="0">BU4/1000</f>
        <v>2.4500000000000002</v>
      </c>
      <c r="BY4" s="212">
        <f t="shared" ref="BY4:BY67" si="1">IF(X4="BRL",BX4,IF(X4="EUR",BX4*$CK$2,IF(X4="USD",BX4*$CK$1,IF(X4="CNY",BX4*$CM$1,IF(X4="RUB",BX4*$CM$2,"CRRY#")))))</f>
        <v>14.455000000000002</v>
      </c>
      <c r="BZ4" s="212">
        <f ca="1">IF(L4="BR",'Impostos e Frete'!$F$6,IF(L4="EU",'Impostos e Frete'!$I$3,IF(L4="CN",'Impostos e Frete'!$I$4,IF(L4="JP",'Impostos e Frete'!$I$5,IF(L4="RU",'Impostos e Frete'!$I$7,"ERRO")))))</f>
        <v>0.14176320000000001</v>
      </c>
      <c r="CA4" s="212">
        <f>VLOOKUP(L4,'Impostos e Frete'!$A$3:$B$7,2,0)*'Preços e Condições'!BY4</f>
        <v>1.8791500000000003</v>
      </c>
      <c r="CB4" s="147">
        <f t="shared" ref="CB4" si="2">IF(R4="CFR",$CB$2,IF(R4="FOB",0,IF(R4="EXW",$CB$1,"ERRO")))</f>
        <v>0</v>
      </c>
      <c r="CC4" s="147">
        <f>IF(X4="BRL",'Impostos e Frete'!$B$11,'Impostos e Frete'!$B$12)</f>
        <v>9.1999999999999998E-2</v>
      </c>
      <c r="CD4" s="213">
        <f t="shared" ref="CD4" ca="1" si="3">SUM(BY4:CC4)</f>
        <v>16.5679132</v>
      </c>
      <c r="CE4" s="214">
        <f t="shared" ref="CE4" ca="1" si="4">IF(C4="","erro",(CD4/1000)*C4)</f>
        <v>1.1266180976</v>
      </c>
      <c r="CF4" s="215">
        <f>VLOOKUP(L4,'Impostos e Frete'!$A$3:$C$7,3,0)</f>
        <v>105</v>
      </c>
      <c r="CG4" s="215">
        <f t="shared" ref="CG4" si="5">M4</f>
        <v>90</v>
      </c>
      <c r="CH4" s="215">
        <f t="shared" ref="CH4" si="6">CG4-CF4</f>
        <v>-15</v>
      </c>
      <c r="CI4" s="216">
        <f t="shared" ref="CI4" ca="1" si="7">CD4*(1+VALUE($CI$2))^((CH4*-1)/30)-CD4</f>
        <v>0.1237968388119377</v>
      </c>
      <c r="CJ4" s="217">
        <f t="shared" ref="CJ4" ca="1" si="8">CD4+CI4</f>
        <v>16.691710038811937</v>
      </c>
      <c r="CK4" s="218">
        <f t="shared" ref="CK4" ca="1" si="9">IF(C4="","erro",(CJ4/1000)*C4)</f>
        <v>1.1350362826392117</v>
      </c>
    </row>
    <row r="5" spans="1:91">
      <c r="A5" s="176">
        <v>10932</v>
      </c>
      <c r="B5" s="177">
        <v>399</v>
      </c>
      <c r="C5" s="178">
        <v>68</v>
      </c>
      <c r="D5" s="178">
        <v>1870</v>
      </c>
      <c r="E5" s="178" t="s">
        <v>50</v>
      </c>
      <c r="F5" s="179" t="s">
        <v>67</v>
      </c>
      <c r="G5" s="180" t="s">
        <v>145</v>
      </c>
      <c r="H5" s="178" t="s">
        <v>42</v>
      </c>
      <c r="I5" s="178"/>
      <c r="J5" s="178"/>
      <c r="K5" s="178"/>
      <c r="L5" s="178" t="s">
        <v>59</v>
      </c>
      <c r="M5" s="178">
        <v>90</v>
      </c>
      <c r="N5" s="178"/>
      <c r="O5" s="178"/>
      <c r="P5" s="178"/>
      <c r="Q5" s="178"/>
      <c r="R5" s="178" t="s">
        <v>19</v>
      </c>
      <c r="S5" s="181"/>
      <c r="T5" s="181"/>
      <c r="U5" s="182"/>
      <c r="V5" s="182" t="s">
        <v>35</v>
      </c>
      <c r="W5" s="183">
        <v>100</v>
      </c>
      <c r="X5" s="182" t="s">
        <v>51</v>
      </c>
      <c r="Y5" s="184">
        <v>2370</v>
      </c>
      <c r="Z5" s="184">
        <v>2370</v>
      </c>
      <c r="AA5" s="184">
        <v>2370</v>
      </c>
      <c r="AB5" s="184">
        <v>2320</v>
      </c>
      <c r="AC5" s="184">
        <v>2320</v>
      </c>
      <c r="AD5" s="184">
        <v>2320</v>
      </c>
      <c r="AE5" s="184">
        <v>2170</v>
      </c>
      <c r="AF5" s="184">
        <v>2170</v>
      </c>
      <c r="AG5" s="184">
        <v>2170</v>
      </c>
      <c r="AH5" s="184">
        <v>2070</v>
      </c>
      <c r="AI5" s="184">
        <v>2070</v>
      </c>
      <c r="AJ5" s="184">
        <v>2070</v>
      </c>
      <c r="AK5" s="184">
        <v>2070</v>
      </c>
      <c r="AL5" s="184">
        <v>2120</v>
      </c>
      <c r="AM5" s="184">
        <v>2120</v>
      </c>
      <c r="AN5" s="184">
        <v>2220</v>
      </c>
      <c r="AO5" s="184">
        <v>2220</v>
      </c>
      <c r="AP5" s="184">
        <v>2220</v>
      </c>
      <c r="AQ5" s="184">
        <v>2370</v>
      </c>
      <c r="AR5" s="184">
        <v>2370</v>
      </c>
      <c r="AS5" s="184">
        <v>2370</v>
      </c>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46" cm="1">
        <f t="array" ref="BU5">LOOKUP(2,1/(Y5:BT5&lt;&gt;""),Y5:BH5)</f>
        <v>2370</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45536</v>
      </c>
      <c r="BW5" s="211" t="e" cm="1">
        <f t="array" ref="BW5">(LOOKUP(2,1/(BH5:BT5&lt;&gt;""),BH5:BT5))/(INDEX(BH5:BT5,MATCH(TRUE,INDEX((BH5:BT5&lt;&gt;0),0),0)))-1</f>
        <v>#N/A</v>
      </c>
      <c r="BX5" s="212">
        <f t="shared" ref="BX5:BX70" si="10">BU5/1000</f>
        <v>2.37</v>
      </c>
      <c r="BY5" s="212">
        <f t="shared" si="1"/>
        <v>13.983000000000002</v>
      </c>
      <c r="BZ5" s="212">
        <f ca="1">IF(L5="BR",'Impostos e Frete'!$F$6,IF(L5="EU",'Impostos e Frete'!$I$3,IF(L5="CN",'Impostos e Frete'!$I$4,IF(L5="JP",'Impostos e Frete'!$I$5,IF(L5="RU",'Impostos e Frete'!$I$7,"ERRO")))))</f>
        <v>0.14176320000000001</v>
      </c>
      <c r="CA5" s="212">
        <f>VLOOKUP(L5,'Impostos e Frete'!$A$3:$B$7,2,0)*'Preços e Condições'!BY5</f>
        <v>1.8177900000000005</v>
      </c>
      <c r="CB5" s="147">
        <f t="shared" ref="CB5:CB70" si="11">IF(R5="CFR",$CB$2,IF(R5="FOB",0,IF(R5="EXW",$CB$1,"ERRO")))</f>
        <v>0</v>
      </c>
      <c r="CC5" s="147">
        <f>IF(X5="BRL",'Impostos e Frete'!$B$11,'Impostos e Frete'!$B$12)</f>
        <v>9.1999999999999998E-2</v>
      </c>
      <c r="CD5" s="213">
        <f t="shared" ref="CD5:CD70" ca="1" si="12">SUM(BY5:CC5)</f>
        <v>16.034553200000001</v>
      </c>
      <c r="CE5" s="214">
        <f t="shared" ref="CE5:CE70" ca="1" si="13">IF(C5="","erro",(CD5/1000)*C5)</f>
        <v>1.0903496176000003</v>
      </c>
      <c r="CF5" s="215">
        <f>VLOOKUP(L5,'Impostos e Frete'!$A$3:$C$7,3,0)</f>
        <v>105</v>
      </c>
      <c r="CG5" s="215">
        <f t="shared" ref="CG5:CG70" si="14">M5</f>
        <v>90</v>
      </c>
      <c r="CH5" s="215">
        <f t="shared" ref="CH5:CH70" si="15">CG5-CF5</f>
        <v>-15</v>
      </c>
      <c r="CI5" s="216">
        <f t="shared" ref="CI5:CI70" ca="1" si="16">CD5*(1+VALUE($CI$2))^((CH5*-1)/30)-CD5</f>
        <v>0.11981152810010443</v>
      </c>
      <c r="CJ5" s="217">
        <f t="shared" ref="CJ5:CJ70" ca="1" si="17">CD5+CI5</f>
        <v>16.154364728100106</v>
      </c>
      <c r="CK5" s="218">
        <f t="shared" ref="CK5:CK70" ca="1" si="18">IF(C5="","erro",(CJ5/1000)*C5)</f>
        <v>1.0984968015108072</v>
      </c>
    </row>
    <row r="6" spans="1:91">
      <c r="A6" s="176">
        <v>10945</v>
      </c>
      <c r="B6" s="177">
        <v>932</v>
      </c>
      <c r="C6" s="178">
        <v>80</v>
      </c>
      <c r="D6" s="178">
        <v>1855</v>
      </c>
      <c r="E6" s="178" t="s">
        <v>49</v>
      </c>
      <c r="F6" s="179" t="s">
        <v>67</v>
      </c>
      <c r="G6" s="180" t="s">
        <v>69</v>
      </c>
      <c r="H6" s="178" t="s">
        <v>42</v>
      </c>
      <c r="I6" s="178" t="s">
        <v>68</v>
      </c>
      <c r="J6" s="178"/>
      <c r="K6" s="178"/>
      <c r="L6" s="178" t="s">
        <v>59</v>
      </c>
      <c r="M6" s="178">
        <v>90</v>
      </c>
      <c r="N6" s="178"/>
      <c r="O6" s="178"/>
      <c r="P6" s="178"/>
      <c r="Q6" s="178"/>
      <c r="R6" s="178" t="s">
        <v>19</v>
      </c>
      <c r="S6" s="181"/>
      <c r="T6" s="181"/>
      <c r="U6" s="182"/>
      <c r="V6" s="182" t="s">
        <v>35</v>
      </c>
      <c r="W6" s="183">
        <v>25</v>
      </c>
      <c r="X6" s="182" t="s">
        <v>51</v>
      </c>
      <c r="Y6" s="184">
        <v>3100</v>
      </c>
      <c r="Z6" s="184">
        <v>3100</v>
      </c>
      <c r="AA6" s="184">
        <v>3100</v>
      </c>
      <c r="AB6" s="184">
        <v>2850</v>
      </c>
      <c r="AC6" s="184">
        <v>2850</v>
      </c>
      <c r="AD6" s="184">
        <v>2850</v>
      </c>
      <c r="AE6" s="184">
        <v>2700</v>
      </c>
      <c r="AF6" s="184">
        <v>2700</v>
      </c>
      <c r="AG6" s="184">
        <v>2700</v>
      </c>
      <c r="AH6" s="184">
        <v>2600</v>
      </c>
      <c r="AI6" s="184">
        <v>2600</v>
      </c>
      <c r="AJ6" s="184">
        <v>2600</v>
      </c>
      <c r="AK6" s="184">
        <v>2600</v>
      </c>
      <c r="AL6" s="184">
        <v>2650</v>
      </c>
      <c r="AM6" s="184">
        <v>2650</v>
      </c>
      <c r="AN6" s="184">
        <v>2750</v>
      </c>
      <c r="AO6" s="184">
        <v>2750</v>
      </c>
      <c r="AP6" s="184">
        <v>2750</v>
      </c>
      <c r="AQ6" s="184">
        <v>2900</v>
      </c>
      <c r="AR6" s="184">
        <v>2900</v>
      </c>
      <c r="AS6" s="184">
        <v>2900</v>
      </c>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46" cm="1">
        <f t="array" ref="BU6">LOOKUP(2,1/(Y6:BT6&lt;&gt;""),Y6:BH6)</f>
        <v>2900</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45536</v>
      </c>
      <c r="BW6" s="211" t="e" cm="1">
        <f t="array" ref="BW6">(LOOKUP(2,1/(BH6:BT6&lt;&gt;""),BH6:BT6))/(INDEX(BH6:BT6,MATCH(TRUE,INDEX((BH6:BT6&lt;&gt;0),0),0)))-1</f>
        <v>#N/A</v>
      </c>
      <c r="BX6" s="212">
        <f t="shared" si="10"/>
        <v>2.9</v>
      </c>
      <c r="BY6" s="212">
        <f t="shared" si="1"/>
        <v>17.11</v>
      </c>
      <c r="BZ6" s="212">
        <f ca="1">IF(L6="BR",'Impostos e Frete'!$F$6,IF(L6="EU",'Impostos e Frete'!$I$3,IF(L6="CN",'Impostos e Frete'!$I$4,IF(L6="JP",'Impostos e Frete'!$I$5,IF(L6="RU",'Impostos e Frete'!$I$7,"ERRO")))))</f>
        <v>0.14176320000000001</v>
      </c>
      <c r="CA6" s="212">
        <f>VLOOKUP(L6,'Impostos e Frete'!$A$3:$B$7,2,0)*'Preços e Condições'!BY6</f>
        <v>2.2242999999999999</v>
      </c>
      <c r="CB6" s="147">
        <f t="shared" si="11"/>
        <v>0</v>
      </c>
      <c r="CC6" s="147">
        <f>IF(X6="BRL",'Impostos e Frete'!$B$11,'Impostos e Frete'!$B$12)</f>
        <v>9.1999999999999998E-2</v>
      </c>
      <c r="CD6" s="213">
        <f t="shared" ca="1" si="12"/>
        <v>19.568063199999997</v>
      </c>
      <c r="CE6" s="214">
        <f t="shared" ca="1" si="13"/>
        <v>1.5654450559999997</v>
      </c>
      <c r="CF6" s="215">
        <f>VLOOKUP(L6,'Impostos e Frete'!$A$3:$C$7,3,0)</f>
        <v>105</v>
      </c>
      <c r="CG6" s="215">
        <f t="shared" si="14"/>
        <v>90</v>
      </c>
      <c r="CH6" s="215">
        <f t="shared" si="15"/>
        <v>-15</v>
      </c>
      <c r="CI6" s="216">
        <f t="shared" ca="1" si="16"/>
        <v>0.14621421156601855</v>
      </c>
      <c r="CJ6" s="217">
        <f t="shared" ca="1" si="17"/>
        <v>19.714277411566016</v>
      </c>
      <c r="CK6" s="218">
        <f t="shared" ca="1" si="18"/>
        <v>1.5771421929252813</v>
      </c>
    </row>
    <row r="7" spans="1:91">
      <c r="A7" s="176">
        <v>10945</v>
      </c>
      <c r="B7" s="177">
        <v>932</v>
      </c>
      <c r="C7" s="178">
        <v>80</v>
      </c>
      <c r="D7" s="178">
        <v>1855</v>
      </c>
      <c r="E7" s="178" t="s">
        <v>49</v>
      </c>
      <c r="F7" s="179" t="s">
        <v>67</v>
      </c>
      <c r="G7" s="180" t="s">
        <v>69</v>
      </c>
      <c r="H7" s="178" t="s">
        <v>42</v>
      </c>
      <c r="I7" s="178" t="s">
        <v>68</v>
      </c>
      <c r="J7" s="178"/>
      <c r="K7" s="178"/>
      <c r="L7" s="178" t="s">
        <v>59</v>
      </c>
      <c r="M7" s="178">
        <v>90</v>
      </c>
      <c r="N7" s="178"/>
      <c r="O7" s="178"/>
      <c r="P7" s="178"/>
      <c r="Q7" s="178"/>
      <c r="R7" s="178" t="s">
        <v>19</v>
      </c>
      <c r="S7" s="181"/>
      <c r="T7" s="181"/>
      <c r="U7" s="182"/>
      <c r="V7" s="182" t="s">
        <v>35</v>
      </c>
      <c r="W7" s="183">
        <v>15</v>
      </c>
      <c r="X7" s="182" t="s">
        <v>51</v>
      </c>
      <c r="Y7" s="184">
        <v>3850</v>
      </c>
      <c r="Z7" s="184">
        <v>3850</v>
      </c>
      <c r="AA7" s="184">
        <v>3850</v>
      </c>
      <c r="AB7" s="184">
        <v>3700</v>
      </c>
      <c r="AC7" s="184">
        <v>3700</v>
      </c>
      <c r="AD7" s="184">
        <v>3700</v>
      </c>
      <c r="AE7" s="184">
        <v>3550</v>
      </c>
      <c r="AF7" s="184">
        <v>3550</v>
      </c>
      <c r="AG7" s="184">
        <v>3550</v>
      </c>
      <c r="AH7" s="184">
        <v>3450</v>
      </c>
      <c r="AI7" s="184">
        <v>3450</v>
      </c>
      <c r="AJ7" s="184">
        <v>3450</v>
      </c>
      <c r="AK7" s="184">
        <v>3450</v>
      </c>
      <c r="AL7" s="184">
        <v>3500</v>
      </c>
      <c r="AM7" s="184">
        <v>3500</v>
      </c>
      <c r="AN7" s="184">
        <v>3600</v>
      </c>
      <c r="AO7" s="184">
        <v>3600</v>
      </c>
      <c r="AP7" s="184">
        <v>3600</v>
      </c>
      <c r="AQ7" s="184">
        <v>3750</v>
      </c>
      <c r="AR7" s="184">
        <v>3750</v>
      </c>
      <c r="AS7" s="184">
        <v>3750</v>
      </c>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3750</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45536</v>
      </c>
      <c r="BW7" s="211" t="e" cm="1">
        <f t="array" ref="BW7">(LOOKUP(2,1/(BH7:BT7&lt;&gt;""),BH7:BT7))/(INDEX(BH7:BT7,MATCH(TRUE,INDEX((BH7:BT7&lt;&gt;0),0),0)))-1</f>
        <v>#N/A</v>
      </c>
      <c r="BX7" s="212">
        <f t="shared" si="10"/>
        <v>3.75</v>
      </c>
      <c r="BY7" s="212">
        <f t="shared" si="1"/>
        <v>22.125</v>
      </c>
      <c r="BZ7" s="212">
        <f ca="1">IF(L7="BR",'Impostos e Frete'!$F$6,IF(L7="EU",'Impostos e Frete'!$I$3,IF(L7="CN",'Impostos e Frete'!$I$4,IF(L7="JP",'Impostos e Frete'!$I$5,IF(L7="RU",'Impostos e Frete'!$I$7,"ERRO")))))</f>
        <v>0.14176320000000001</v>
      </c>
      <c r="CA7" s="212">
        <f>VLOOKUP(L7,'Impostos e Frete'!$A$3:$B$7,2,0)*'Preços e Condições'!BY7</f>
        <v>2.8762500000000002</v>
      </c>
      <c r="CB7" s="147">
        <f t="shared" si="11"/>
        <v>0</v>
      </c>
      <c r="CC7" s="147">
        <f>IF(X7="BRL",'Impostos e Frete'!$B$11,'Impostos e Frete'!$B$12)</f>
        <v>9.1999999999999998E-2</v>
      </c>
      <c r="CD7" s="213">
        <f t="shared" ca="1" si="12"/>
        <v>25.235013199999997</v>
      </c>
      <c r="CE7" s="214">
        <f t="shared" ca="1" si="13"/>
        <v>2.0188010559999996</v>
      </c>
      <c r="CF7" s="215">
        <f>VLOOKUP(L7,'Impostos e Frete'!$A$3:$C$7,3,0)</f>
        <v>105</v>
      </c>
      <c r="CG7" s="215">
        <f t="shared" si="14"/>
        <v>90</v>
      </c>
      <c r="CH7" s="215">
        <f t="shared" si="15"/>
        <v>-15</v>
      </c>
      <c r="CI7" s="216">
        <f t="shared" ca="1" si="16"/>
        <v>0.18855813787928</v>
      </c>
      <c r="CJ7" s="217">
        <f t="shared" ca="1" si="17"/>
        <v>25.423571337879277</v>
      </c>
      <c r="CK7" s="218">
        <f t="shared" ca="1" si="18"/>
        <v>2.0338857070303424</v>
      </c>
    </row>
    <row r="8" spans="1:91">
      <c r="A8" s="176">
        <v>10945</v>
      </c>
      <c r="B8" s="177">
        <v>932</v>
      </c>
      <c r="C8" s="178">
        <v>80</v>
      </c>
      <c r="D8" s="178">
        <v>1855</v>
      </c>
      <c r="E8" s="178" t="s">
        <v>49</v>
      </c>
      <c r="F8" s="179" t="s">
        <v>67</v>
      </c>
      <c r="G8" s="180" t="s">
        <v>69</v>
      </c>
      <c r="H8" s="178" t="s">
        <v>42</v>
      </c>
      <c r="I8" s="178" t="s">
        <v>68</v>
      </c>
      <c r="J8" s="178"/>
      <c r="K8" s="178"/>
      <c r="L8" s="178" t="s">
        <v>59</v>
      </c>
      <c r="M8" s="178">
        <v>90</v>
      </c>
      <c r="N8" s="178"/>
      <c r="O8" s="178"/>
      <c r="P8" s="178"/>
      <c r="Q8" s="178"/>
      <c r="R8" s="178" t="s">
        <v>19</v>
      </c>
      <c r="S8" s="181"/>
      <c r="T8" s="181"/>
      <c r="U8" s="182"/>
      <c r="V8" s="182" t="s">
        <v>35</v>
      </c>
      <c r="W8" s="183">
        <v>50</v>
      </c>
      <c r="X8" s="182" t="s">
        <v>51</v>
      </c>
      <c r="Y8" s="184">
        <v>2750</v>
      </c>
      <c r="Z8" s="184">
        <v>2750</v>
      </c>
      <c r="AA8" s="184">
        <v>2750</v>
      </c>
      <c r="AB8" s="184">
        <v>2500</v>
      </c>
      <c r="AC8" s="184">
        <v>2500</v>
      </c>
      <c r="AD8" s="184">
        <v>2500</v>
      </c>
      <c r="AE8" s="184">
        <v>2350</v>
      </c>
      <c r="AF8" s="184">
        <v>2350</v>
      </c>
      <c r="AG8" s="184">
        <v>2350</v>
      </c>
      <c r="AH8" s="184">
        <v>2250</v>
      </c>
      <c r="AI8" s="184">
        <v>2250</v>
      </c>
      <c r="AJ8" s="184">
        <v>2250</v>
      </c>
      <c r="AK8" s="184">
        <v>2250</v>
      </c>
      <c r="AL8" s="184">
        <v>2300</v>
      </c>
      <c r="AM8" s="184">
        <v>2300</v>
      </c>
      <c r="AN8" s="184">
        <v>2400</v>
      </c>
      <c r="AO8" s="184">
        <v>2400</v>
      </c>
      <c r="AP8" s="184">
        <v>2400</v>
      </c>
      <c r="AQ8" s="184">
        <v>2550</v>
      </c>
      <c r="AR8" s="184">
        <v>2550</v>
      </c>
      <c r="AS8" s="184">
        <v>2550</v>
      </c>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46" cm="1">
        <f t="array" ref="BU8">LOOKUP(2,1/(Y8:BT8&lt;&gt;""),Y8:BH8)</f>
        <v>2550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45536</v>
      </c>
      <c r="BW8" s="211" t="e" cm="1">
        <f t="array" ref="BW8">(LOOKUP(2,1/(BH8:BT8&lt;&gt;""),BH8:BT8))/(INDEX(BH8:BT8,MATCH(TRUE,INDEX((BH8:BT8&lt;&gt;0),0),0)))-1</f>
        <v>#N/A</v>
      </c>
      <c r="BX8" s="212">
        <f t="shared" si="10"/>
        <v>2.5499999999999998</v>
      </c>
      <c r="BY8" s="212">
        <f t="shared" si="1"/>
        <v>15.045</v>
      </c>
      <c r="BZ8" s="212">
        <f ca="1">IF(L8="BR",'Impostos e Frete'!$F$6,IF(L8="EU",'Impostos e Frete'!$I$3,IF(L8="CN",'Impostos e Frete'!$I$4,IF(L8="JP",'Impostos e Frete'!$I$5,IF(L8="RU",'Impostos e Frete'!$I$7,"ERRO")))))</f>
        <v>0.14176320000000001</v>
      </c>
      <c r="CA8" s="212">
        <f>VLOOKUP(L8,'Impostos e Frete'!$A$3:$B$7,2,0)*'Preços e Condições'!BY8</f>
        <v>1.9558500000000001</v>
      </c>
      <c r="CB8" s="147">
        <f t="shared" si="11"/>
        <v>0</v>
      </c>
      <c r="CC8" s="147">
        <f>IF(X8="BRL",'Impostos e Frete'!$B$11,'Impostos e Frete'!$B$12)</f>
        <v>9.1999999999999998E-2</v>
      </c>
      <c r="CD8" s="213">
        <f t="shared" ca="1" si="12"/>
        <v>17.234613199999998</v>
      </c>
      <c r="CE8" s="214">
        <f t="shared" ca="1" si="13"/>
        <v>1.3787690559999999</v>
      </c>
      <c r="CF8" s="215">
        <f>VLOOKUP(L8,'Impostos e Frete'!$A$3:$C$7,3,0)</f>
        <v>105</v>
      </c>
      <c r="CG8" s="215">
        <f t="shared" si="14"/>
        <v>90</v>
      </c>
      <c r="CH8" s="215">
        <f t="shared" si="15"/>
        <v>-15</v>
      </c>
      <c r="CI8" s="216">
        <f t="shared" ca="1" si="16"/>
        <v>0.12877847720173463</v>
      </c>
      <c r="CJ8" s="217">
        <f t="shared" ca="1" si="17"/>
        <v>17.363391677201733</v>
      </c>
      <c r="CK8" s="218">
        <f t="shared" ca="1" si="18"/>
        <v>1.3890713341761387</v>
      </c>
    </row>
    <row r="9" spans="1:91">
      <c r="A9" s="176">
        <v>10945</v>
      </c>
      <c r="B9" s="177">
        <v>932</v>
      </c>
      <c r="C9" s="178">
        <v>80</v>
      </c>
      <c r="D9" s="178">
        <v>1855</v>
      </c>
      <c r="E9" s="178" t="s">
        <v>49</v>
      </c>
      <c r="F9" s="179" t="s">
        <v>67</v>
      </c>
      <c r="G9" s="180" t="s">
        <v>69</v>
      </c>
      <c r="H9" s="178" t="s">
        <v>42</v>
      </c>
      <c r="I9" s="178" t="s">
        <v>68</v>
      </c>
      <c r="J9" s="178"/>
      <c r="K9" s="178"/>
      <c r="L9" s="178" t="s">
        <v>59</v>
      </c>
      <c r="M9" s="178">
        <v>90</v>
      </c>
      <c r="N9" s="178"/>
      <c r="O9" s="178"/>
      <c r="P9" s="178"/>
      <c r="Q9" s="178"/>
      <c r="R9" s="178" t="s">
        <v>19</v>
      </c>
      <c r="S9" s="181"/>
      <c r="T9" s="181"/>
      <c r="U9" s="182"/>
      <c r="V9" s="182" t="s">
        <v>35</v>
      </c>
      <c r="W9" s="183">
        <v>100</v>
      </c>
      <c r="X9" s="182" t="s">
        <v>51</v>
      </c>
      <c r="Y9" s="184">
        <v>2650</v>
      </c>
      <c r="Z9" s="184">
        <v>2650</v>
      </c>
      <c r="AA9" s="184">
        <v>2650</v>
      </c>
      <c r="AB9" s="184">
        <v>2400</v>
      </c>
      <c r="AC9" s="184">
        <v>2400</v>
      </c>
      <c r="AD9" s="184">
        <v>2400</v>
      </c>
      <c r="AE9" s="184">
        <v>2250</v>
      </c>
      <c r="AF9" s="184">
        <v>2250</v>
      </c>
      <c r="AG9" s="184">
        <v>2250</v>
      </c>
      <c r="AH9" s="184">
        <v>2150</v>
      </c>
      <c r="AI9" s="184">
        <v>2150</v>
      </c>
      <c r="AJ9" s="184">
        <v>2150</v>
      </c>
      <c r="AK9" s="184">
        <v>2150</v>
      </c>
      <c r="AL9" s="184">
        <v>2200</v>
      </c>
      <c r="AM9" s="184">
        <v>2200</v>
      </c>
      <c r="AN9" s="184">
        <v>2300</v>
      </c>
      <c r="AO9" s="184">
        <v>2300</v>
      </c>
      <c r="AP9" s="184">
        <v>2300</v>
      </c>
      <c r="AQ9" s="184">
        <v>2450</v>
      </c>
      <c r="AR9" s="184">
        <v>2450</v>
      </c>
      <c r="AS9" s="184">
        <v>2450</v>
      </c>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46" cm="1">
        <f t="array" ref="BU9">LOOKUP(2,1/(Y9:BT9&lt;&gt;""),Y9:BH9)</f>
        <v>2450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45536</v>
      </c>
      <c r="BW9" s="211" t="e" cm="1">
        <f t="array" ref="BW9">(LOOKUP(2,1/(BH9:BT9&lt;&gt;""),BH9:BT9))/(INDEX(BH9:BT9,MATCH(TRUE,INDEX((BH9:BT9&lt;&gt;0),0),0)))-1</f>
        <v>#N/A</v>
      </c>
      <c r="BX9" s="212">
        <f t="shared" si="10"/>
        <v>2.4500000000000002</v>
      </c>
      <c r="BY9" s="212">
        <f t="shared" si="1"/>
        <v>14.455000000000002</v>
      </c>
      <c r="BZ9" s="212">
        <f ca="1">IF(L9="BR",'Impostos e Frete'!$F$6,IF(L9="EU",'Impostos e Frete'!$I$3,IF(L9="CN",'Impostos e Frete'!$I$4,IF(L9="JP",'Impostos e Frete'!$I$5,IF(L9="RU",'Impostos e Frete'!$I$7,"ERRO")))))</f>
        <v>0.14176320000000001</v>
      </c>
      <c r="CA9" s="212">
        <f>VLOOKUP(L9,'Impostos e Frete'!$A$3:$B$7,2,0)*'Preços e Condições'!BY9</f>
        <v>1.8791500000000003</v>
      </c>
      <c r="CB9" s="147">
        <f t="shared" si="11"/>
        <v>0</v>
      </c>
      <c r="CC9" s="147">
        <f>IF(X9="BRL",'Impostos e Frete'!$B$11,'Impostos e Frete'!$B$12)</f>
        <v>9.1999999999999998E-2</v>
      </c>
      <c r="CD9" s="213">
        <f t="shared" ca="1" si="12"/>
        <v>16.5679132</v>
      </c>
      <c r="CE9" s="214">
        <f t="shared" ca="1" si="13"/>
        <v>1.3254330560000001</v>
      </c>
      <c r="CF9" s="215">
        <f>VLOOKUP(L9,'Impostos e Frete'!$A$3:$C$7,3,0)</f>
        <v>105</v>
      </c>
      <c r="CG9" s="215">
        <f t="shared" si="14"/>
        <v>90</v>
      </c>
      <c r="CH9" s="215">
        <f t="shared" si="15"/>
        <v>-15</v>
      </c>
      <c r="CI9" s="216">
        <f t="shared" ca="1" si="16"/>
        <v>0.1237968388119377</v>
      </c>
      <c r="CJ9" s="217">
        <f t="shared" ca="1" si="17"/>
        <v>16.691710038811937</v>
      </c>
      <c r="CK9" s="218">
        <f t="shared" ca="1" si="18"/>
        <v>1.3353368031049551</v>
      </c>
    </row>
    <row r="10" spans="1:91">
      <c r="A10" s="176">
        <v>10957</v>
      </c>
      <c r="B10" s="177">
        <v>8222</v>
      </c>
      <c r="C10" s="178">
        <v>80</v>
      </c>
      <c r="D10" s="178">
        <v>1840</v>
      </c>
      <c r="E10" s="178" t="s">
        <v>49</v>
      </c>
      <c r="F10" s="179" t="s">
        <v>67</v>
      </c>
      <c r="G10" s="180" t="s">
        <v>74</v>
      </c>
      <c r="H10" s="178" t="s">
        <v>66</v>
      </c>
      <c r="I10" s="178" t="s">
        <v>73</v>
      </c>
      <c r="J10" s="178"/>
      <c r="K10" s="178"/>
      <c r="L10" s="178" t="s">
        <v>59</v>
      </c>
      <c r="M10" s="178">
        <v>90</v>
      </c>
      <c r="N10" s="178"/>
      <c r="O10" s="178"/>
      <c r="P10" s="178"/>
      <c r="Q10" s="178"/>
      <c r="R10" s="178" t="s">
        <v>19</v>
      </c>
      <c r="S10" s="181"/>
      <c r="T10" s="181"/>
      <c r="U10" s="182"/>
      <c r="V10" s="182" t="s">
        <v>35</v>
      </c>
      <c r="W10" s="183">
        <v>100</v>
      </c>
      <c r="X10" s="182" t="s">
        <v>51</v>
      </c>
      <c r="Y10" s="184">
        <v>2680</v>
      </c>
      <c r="Z10" s="184">
        <v>2680</v>
      </c>
      <c r="AA10" s="184">
        <v>2680</v>
      </c>
      <c r="AB10" s="184">
        <v>2590</v>
      </c>
      <c r="AC10" s="184">
        <v>2590</v>
      </c>
      <c r="AD10" s="184">
        <v>2590</v>
      </c>
      <c r="AE10" s="184">
        <v>2380</v>
      </c>
      <c r="AF10" s="184">
        <v>2380</v>
      </c>
      <c r="AG10" s="184">
        <v>2380</v>
      </c>
      <c r="AH10" s="184">
        <v>2330</v>
      </c>
      <c r="AI10" s="184">
        <v>2330</v>
      </c>
      <c r="AJ10" s="184">
        <v>2330</v>
      </c>
      <c r="AK10" s="184">
        <v>2330</v>
      </c>
      <c r="AL10" s="184">
        <v>2380</v>
      </c>
      <c r="AM10" s="184">
        <v>2380</v>
      </c>
      <c r="AN10" s="184">
        <v>2480</v>
      </c>
      <c r="AO10" s="184">
        <v>2480</v>
      </c>
      <c r="AP10" s="184">
        <v>2480</v>
      </c>
      <c r="AQ10" s="184">
        <v>2630</v>
      </c>
      <c r="AR10" s="184">
        <v>2630</v>
      </c>
      <c r="AS10" s="184">
        <v>2630</v>
      </c>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46" cm="1">
        <f t="array" ref="BU10">LOOKUP(2,1/(Y10:BT10&lt;&gt;""),Y10:BH10)</f>
        <v>2630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45536</v>
      </c>
      <c r="BW10" s="211" t="e" cm="1">
        <f t="array" ref="BW10">(LOOKUP(2,1/(BH10:BT10&lt;&gt;""),BH10:BT10))/(INDEX(BH10:BT10,MATCH(TRUE,INDEX((BH10:BT10&lt;&gt;0),0),0)))-1</f>
        <v>#N/A</v>
      </c>
      <c r="BX10" s="212">
        <f t="shared" si="10"/>
        <v>2.63</v>
      </c>
      <c r="BY10" s="212">
        <f t="shared" si="1"/>
        <v>15.516999999999999</v>
      </c>
      <c r="BZ10" s="212">
        <f ca="1">IF(L10="BR",'Impostos e Frete'!$F$6,IF(L10="EU",'Impostos e Frete'!$I$3,IF(L10="CN",'Impostos e Frete'!$I$4,IF(L10="JP",'Impostos e Frete'!$I$5,IF(L10="RU",'Impostos e Frete'!$I$7,"ERRO")))))</f>
        <v>0.14176320000000001</v>
      </c>
      <c r="CA10" s="212">
        <f>VLOOKUP(L10,'Impostos e Frete'!$A$3:$B$7,2,0)*'Preços e Condições'!BY10</f>
        <v>2.0172099999999999</v>
      </c>
      <c r="CB10" s="147">
        <f t="shared" si="11"/>
        <v>0</v>
      </c>
      <c r="CC10" s="147">
        <f>IF(X10="BRL",'Impostos e Frete'!$B$11,'Impostos e Frete'!$B$12)</f>
        <v>9.1999999999999998E-2</v>
      </c>
      <c r="CD10" s="213">
        <f t="shared" ca="1" si="12"/>
        <v>17.767973199999997</v>
      </c>
      <c r="CE10" s="214">
        <f t="shared" ca="1" si="13"/>
        <v>1.4214378559999996</v>
      </c>
      <c r="CF10" s="215">
        <f>VLOOKUP(L10,'Impostos e Frete'!$A$3:$C$7,3,0)</f>
        <v>105</v>
      </c>
      <c r="CG10" s="215">
        <f t="shared" si="14"/>
        <v>90</v>
      </c>
      <c r="CH10" s="215">
        <f t="shared" si="15"/>
        <v>-15</v>
      </c>
      <c r="CI10" s="216">
        <f t="shared" ca="1" si="16"/>
        <v>0.13276378791357146</v>
      </c>
      <c r="CJ10" s="217">
        <f t="shared" ca="1" si="17"/>
        <v>17.900736987913568</v>
      </c>
      <c r="CK10" s="218">
        <f t="shared" ca="1" si="18"/>
        <v>1.4320589590330854</v>
      </c>
    </row>
    <row r="11" spans="1:91">
      <c r="A11" s="176">
        <v>10959</v>
      </c>
      <c r="B11" s="177" t="s">
        <v>123</v>
      </c>
      <c r="C11" s="178">
        <v>60</v>
      </c>
      <c r="D11" s="178">
        <v>2080</v>
      </c>
      <c r="E11" s="178" t="s">
        <v>49</v>
      </c>
      <c r="F11" s="179" t="s">
        <v>67</v>
      </c>
      <c r="G11" s="185" t="s">
        <v>330</v>
      </c>
      <c r="H11" s="178" t="s">
        <v>61</v>
      </c>
      <c r="I11" s="178"/>
      <c r="J11" s="178"/>
      <c r="K11" s="178"/>
      <c r="L11" s="178" t="s">
        <v>59</v>
      </c>
      <c r="M11" s="178">
        <v>90</v>
      </c>
      <c r="N11" s="178"/>
      <c r="O11" s="178"/>
      <c r="P11" s="178"/>
      <c r="Q11" s="178"/>
      <c r="R11" s="178" t="s">
        <v>19</v>
      </c>
      <c r="S11" s="181"/>
      <c r="T11" s="181"/>
      <c r="U11" s="182"/>
      <c r="V11" s="182" t="s">
        <v>35</v>
      </c>
      <c r="W11" s="183">
        <v>100</v>
      </c>
      <c r="X11" s="182" t="s">
        <v>51</v>
      </c>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v>1230</v>
      </c>
      <c r="BA11" s="184">
        <v>1230</v>
      </c>
      <c r="BB11" s="184">
        <v>1230</v>
      </c>
      <c r="BC11" s="184">
        <v>1230</v>
      </c>
      <c r="BD11" s="184">
        <v>1230</v>
      </c>
      <c r="BE11" s="184"/>
      <c r="BF11" s="184"/>
      <c r="BG11" s="184"/>
      <c r="BH11" s="184"/>
      <c r="BI11" s="184"/>
      <c r="BJ11" s="184"/>
      <c r="BK11" s="184"/>
      <c r="BL11" s="184"/>
      <c r="BM11" s="184"/>
      <c r="BN11" s="184"/>
      <c r="BO11" s="184"/>
      <c r="BP11" s="184"/>
      <c r="BQ11" s="184"/>
      <c r="BR11" s="184"/>
      <c r="BS11" s="184"/>
      <c r="BT11" s="184"/>
      <c r="BU11" s="146" cm="1">
        <f t="array" ref="BU11">LOOKUP(2,1/(Y11:BT11&lt;&gt;""),Y11:BH11)</f>
        <v>1230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45870</v>
      </c>
      <c r="BW11" s="211" t="e" cm="1">
        <f t="array" ref="BW11">(LOOKUP(2,1/(BH11:BT11&lt;&gt;""),BH11:BT11))/(INDEX(BH11:BT11,MATCH(TRUE,INDEX((BH11:BT11&lt;&gt;0),0),0)))-1</f>
        <v>#N/A</v>
      </c>
      <c r="BX11" s="212">
        <f t="shared" si="10"/>
        <v>1.23</v>
      </c>
      <c r="BY11" s="212">
        <f t="shared" si="1"/>
        <v>7.2570000000000006</v>
      </c>
      <c r="BZ11" s="212">
        <f ca="1">IF(L11="BR",'Impostos e Frete'!$F$6,IF(L11="EU",'Impostos e Frete'!$I$3,IF(L11="CN",'Impostos e Frete'!$I$4,IF(L11="JP",'Impostos e Frete'!$I$5,IF(L11="RU",'Impostos e Frete'!$I$7,"ERRO")))))</f>
        <v>0.14176320000000001</v>
      </c>
      <c r="CA11" s="212">
        <f>VLOOKUP(L11,'Impostos e Frete'!$A$3:$B$7,2,0)*'Preços e Condições'!BY11</f>
        <v>0.94341000000000008</v>
      </c>
      <c r="CB11" s="147">
        <f t="shared" si="11"/>
        <v>0</v>
      </c>
      <c r="CC11" s="147">
        <f>IF(X11="BRL",'Impostos e Frete'!$B$11,'Impostos e Frete'!$B$12)</f>
        <v>9.1999999999999998E-2</v>
      </c>
      <c r="CD11" s="213">
        <f t="shared" ca="1" si="12"/>
        <v>8.4341732000000018</v>
      </c>
      <c r="CE11" s="214">
        <f t="shared" ca="1" si="13"/>
        <v>0.50605039200000013</v>
      </c>
      <c r="CF11" s="215">
        <f>VLOOKUP(L11,'Impostos e Frete'!$A$3:$C$7,3,0)</f>
        <v>105</v>
      </c>
      <c r="CG11" s="215">
        <f t="shared" si="14"/>
        <v>90</v>
      </c>
      <c r="CH11" s="215">
        <f t="shared" si="15"/>
        <v>-15</v>
      </c>
      <c r="CI11" s="216">
        <f t="shared" ca="1" si="16"/>
        <v>6.3020850456434019E-2</v>
      </c>
      <c r="CJ11" s="217">
        <f t="shared" ca="1" si="17"/>
        <v>8.4971940504564358</v>
      </c>
      <c r="CK11" s="218">
        <f t="shared" ca="1" si="18"/>
        <v>0.50983164302738615</v>
      </c>
    </row>
    <row r="12" spans="1:91">
      <c r="A12" s="176">
        <v>10960</v>
      </c>
      <c r="B12" s="177" t="s">
        <v>123</v>
      </c>
      <c r="C12" s="178">
        <v>50</v>
      </c>
      <c r="D12" s="178">
        <v>2080</v>
      </c>
      <c r="E12" s="178" t="s">
        <v>49</v>
      </c>
      <c r="F12" s="179" t="s">
        <v>67</v>
      </c>
      <c r="G12" s="185" t="s">
        <v>329</v>
      </c>
      <c r="H12" s="178" t="s">
        <v>61</v>
      </c>
      <c r="I12" s="178"/>
      <c r="J12" s="178"/>
      <c r="K12" s="178"/>
      <c r="L12" s="178" t="s">
        <v>59</v>
      </c>
      <c r="M12" s="178">
        <v>90</v>
      </c>
      <c r="N12" s="178"/>
      <c r="O12" s="178"/>
      <c r="P12" s="178"/>
      <c r="Q12" s="178"/>
      <c r="R12" s="178" t="s">
        <v>331</v>
      </c>
      <c r="S12" s="181"/>
      <c r="T12" s="181"/>
      <c r="U12" s="182"/>
      <c r="V12" s="182" t="s">
        <v>35</v>
      </c>
      <c r="W12" s="183">
        <v>100</v>
      </c>
      <c r="X12" s="182" t="s">
        <v>51</v>
      </c>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v>1250</v>
      </c>
      <c r="BA12" s="184">
        <v>1250</v>
      </c>
      <c r="BB12" s="184">
        <v>1250</v>
      </c>
      <c r="BC12" s="184">
        <v>1250</v>
      </c>
      <c r="BD12" s="184">
        <v>1250</v>
      </c>
      <c r="BE12" s="184"/>
      <c r="BF12" s="184"/>
      <c r="BG12" s="184"/>
      <c r="BH12" s="184"/>
      <c r="BI12" s="184"/>
      <c r="BJ12" s="184"/>
      <c r="BK12" s="184"/>
      <c r="BL12" s="184"/>
      <c r="BM12" s="184"/>
      <c r="BN12" s="184"/>
      <c r="BO12" s="184"/>
      <c r="BP12" s="184"/>
      <c r="BQ12" s="184"/>
      <c r="BR12" s="184"/>
      <c r="BS12" s="184"/>
      <c r="BT12" s="184"/>
      <c r="BU12" s="146" cm="1">
        <f t="array" ref="BU12">LOOKUP(2,1/(Y12:BT12&lt;&gt;""),Y12:BH12)</f>
        <v>1250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45870</v>
      </c>
      <c r="BW12" s="211" t="e" cm="1">
        <f t="array" ref="BW12">(LOOKUP(2,1/(BH12:BT12&lt;&gt;""),BH12:BT12))/(INDEX(BH12:BT12,MATCH(TRUE,INDEX((BH12:BT12&lt;&gt;0),0),0)))-1</f>
        <v>#N/A</v>
      </c>
      <c r="BX12" s="212">
        <f t="shared" si="10"/>
        <v>1.25</v>
      </c>
      <c r="BY12" s="212">
        <f t="shared" si="1"/>
        <v>7.375</v>
      </c>
      <c r="BZ12" s="212">
        <f ca="1">IF(L12="BR",'Impostos e Frete'!$F$6,IF(L12="EU",'Impostos e Frete'!$I$3,IF(L12="CN",'Impostos e Frete'!$I$4,IF(L12="JP",'Impostos e Frete'!$I$5,IF(L12="RU",'Impostos e Frete'!$I$7,"ERRO")))))</f>
        <v>0.14176320000000001</v>
      </c>
      <c r="CA12" s="212">
        <f>VLOOKUP(L12,'Impostos e Frete'!$A$3:$B$7,2,0)*'Preços e Condições'!BY12</f>
        <v>0.95874999999999999</v>
      </c>
      <c r="CB12" s="147">
        <f t="shared" si="11"/>
        <v>5.9000000000000004E-2</v>
      </c>
      <c r="CC12" s="147">
        <f>IF(X12="BRL",'Impostos e Frete'!$B$11,'Impostos e Frete'!$B$12)</f>
        <v>9.1999999999999998E-2</v>
      </c>
      <c r="CD12" s="213">
        <f t="shared" ca="1" si="12"/>
        <v>8.6265131999999998</v>
      </c>
      <c r="CE12" s="214">
        <f t="shared" ca="1" si="13"/>
        <v>0.43132566</v>
      </c>
      <c r="CF12" s="215">
        <f>VLOOKUP(L12,'Impostos e Frete'!$A$3:$C$7,3,0)</f>
        <v>105</v>
      </c>
      <c r="CG12" s="215">
        <f t="shared" si="14"/>
        <v>90</v>
      </c>
      <c r="CH12" s="215">
        <f t="shared" si="15"/>
        <v>-15</v>
      </c>
      <c r="CI12" s="216">
        <f t="shared" ca="1" si="16"/>
        <v>6.445803108924153E-2</v>
      </c>
      <c r="CJ12" s="217">
        <f t="shared" ca="1" si="17"/>
        <v>8.6909712310892413</v>
      </c>
      <c r="CK12" s="218">
        <f t="shared" ca="1" si="18"/>
        <v>0.43454856155446209</v>
      </c>
    </row>
    <row r="13" spans="1:91">
      <c r="A13" s="176">
        <v>10961</v>
      </c>
      <c r="B13" s="186">
        <v>2</v>
      </c>
      <c r="C13" s="178">
        <v>80</v>
      </c>
      <c r="D13" s="178">
        <v>1865</v>
      </c>
      <c r="E13" s="178" t="s">
        <v>50</v>
      </c>
      <c r="F13" s="179" t="s">
        <v>67</v>
      </c>
      <c r="G13" s="185" t="s">
        <v>379</v>
      </c>
      <c r="H13" s="178" t="s">
        <v>43</v>
      </c>
      <c r="I13" s="178" t="s">
        <v>378</v>
      </c>
      <c r="J13" s="178"/>
      <c r="K13" s="178"/>
      <c r="L13" s="178" t="s">
        <v>59</v>
      </c>
      <c r="M13" s="178">
        <v>90</v>
      </c>
      <c r="N13" s="178"/>
      <c r="O13" s="178"/>
      <c r="P13" s="178"/>
      <c r="Q13" s="178"/>
      <c r="R13" s="178" t="s">
        <v>19</v>
      </c>
      <c r="S13" s="181"/>
      <c r="T13" s="181"/>
      <c r="U13" s="182"/>
      <c r="V13" s="182" t="s">
        <v>35</v>
      </c>
      <c r="W13" s="183">
        <v>100</v>
      </c>
      <c r="X13" s="182" t="s">
        <v>51</v>
      </c>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v>2390</v>
      </c>
      <c r="BH13" s="184">
        <v>2390</v>
      </c>
      <c r="BI13" s="184">
        <v>2390</v>
      </c>
      <c r="BJ13" s="184"/>
      <c r="BK13" s="184"/>
      <c r="BL13" s="184"/>
      <c r="BM13" s="184"/>
      <c r="BN13" s="184"/>
      <c r="BO13" s="184"/>
      <c r="BP13" s="184"/>
      <c r="BQ13" s="184"/>
      <c r="BR13" s="184"/>
      <c r="BS13" s="184"/>
      <c r="BT13" s="184"/>
      <c r="BU13" s="146" cm="1">
        <f t="array" ref="BU13">LOOKUP(2,1/(Y13:BT13&lt;&gt;""),Y13:BH13)</f>
        <v>2390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46023</v>
      </c>
      <c r="BW13" s="211" cm="1">
        <f t="array" ref="BW13">(LOOKUP(2,1/(BH13:BT13&lt;&gt;""),BH13:BT13))/(INDEX(BH13:BT13,MATCH(TRUE,INDEX((BH13:BT13&lt;&gt;0),0),0)))-1</f>
        <v>0</v>
      </c>
      <c r="BX13" s="212">
        <f t="shared" si="10"/>
        <v>2.39</v>
      </c>
      <c r="BY13" s="212">
        <f t="shared" si="1"/>
        <v>14.101000000000001</v>
      </c>
      <c r="BZ13" s="212">
        <f ca="1">IF(L13="BR",'Impostos e Frete'!$F$6,IF(L13="EU",'Impostos e Frete'!$I$3,IF(L13="CN",'Impostos e Frete'!$I$4,IF(L13="JP",'Impostos e Frete'!$I$5,IF(L13="RU",'Impostos e Frete'!$I$7,"ERRO")))))</f>
        <v>0.14176320000000001</v>
      </c>
      <c r="CA13" s="212">
        <f>VLOOKUP(L13,'Impostos e Frete'!$A$3:$B$7,2,0)*'Preços e Condições'!BY13</f>
        <v>1.8331300000000001</v>
      </c>
      <c r="CB13" s="147">
        <f t="shared" si="11"/>
        <v>0</v>
      </c>
      <c r="CC13" s="147">
        <f>IF(X13="BRL",'Impostos e Frete'!$B$11,'Impostos e Frete'!$B$12)</f>
        <v>9.1999999999999998E-2</v>
      </c>
      <c r="CD13" s="213">
        <f t="shared" ca="1" si="12"/>
        <v>16.167893199999998</v>
      </c>
      <c r="CE13" s="214">
        <f t="shared" ca="1" si="13"/>
        <v>1.293431456</v>
      </c>
      <c r="CF13" s="215">
        <f>VLOOKUP(L13,'Impostos e Frete'!$A$3:$C$7,3,0)</f>
        <v>105</v>
      </c>
      <c r="CG13" s="215">
        <f t="shared" si="14"/>
        <v>90</v>
      </c>
      <c r="CH13" s="215">
        <f t="shared" si="15"/>
        <v>-15</v>
      </c>
      <c r="CI13" s="216">
        <f t="shared" ca="1" si="16"/>
        <v>0.12080785577806097</v>
      </c>
      <c r="CJ13" s="217">
        <f t="shared" ca="1" si="17"/>
        <v>16.288701055778059</v>
      </c>
      <c r="CK13" s="218">
        <f t="shared" ca="1" si="18"/>
        <v>1.3030960844622448</v>
      </c>
    </row>
    <row r="14" spans="1:91">
      <c r="A14" s="176">
        <v>10961</v>
      </c>
      <c r="B14" s="186">
        <v>2</v>
      </c>
      <c r="C14" s="178">
        <v>80</v>
      </c>
      <c r="D14" s="178">
        <v>1865</v>
      </c>
      <c r="E14" s="178" t="s">
        <v>50</v>
      </c>
      <c r="F14" s="179" t="s">
        <v>67</v>
      </c>
      <c r="G14" s="185" t="s">
        <v>379</v>
      </c>
      <c r="H14" s="178" t="s">
        <v>43</v>
      </c>
      <c r="I14" s="178" t="s">
        <v>378</v>
      </c>
      <c r="J14" s="178"/>
      <c r="K14" s="178"/>
      <c r="L14" s="178" t="s">
        <v>59</v>
      </c>
      <c r="M14" s="178">
        <v>90</v>
      </c>
      <c r="N14" s="178"/>
      <c r="O14" s="178"/>
      <c r="P14" s="178"/>
      <c r="Q14" s="178"/>
      <c r="R14" s="178" t="s">
        <v>19</v>
      </c>
      <c r="S14" s="181"/>
      <c r="T14" s="181"/>
      <c r="U14" s="182"/>
      <c r="V14" s="182" t="s">
        <v>35</v>
      </c>
      <c r="W14" s="183">
        <v>50</v>
      </c>
      <c r="X14" s="182" t="s">
        <v>51</v>
      </c>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v>2450</v>
      </c>
      <c r="BH14" s="184">
        <v>2450</v>
      </c>
      <c r="BI14" s="184">
        <v>2450</v>
      </c>
      <c r="BJ14" s="184"/>
      <c r="BK14" s="184"/>
      <c r="BL14" s="184"/>
      <c r="BM14" s="184"/>
      <c r="BN14" s="184"/>
      <c r="BO14" s="184"/>
      <c r="BP14" s="184"/>
      <c r="BQ14" s="184"/>
      <c r="BR14" s="184"/>
      <c r="BS14" s="184"/>
      <c r="BT14" s="184"/>
      <c r="BU14" s="146" cm="1">
        <f t="array" ref="BU14">LOOKUP(2,1/(Y14:BT14&lt;&gt;""),Y14:BH14)</f>
        <v>2450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46023</v>
      </c>
      <c r="BW14" s="211" cm="1">
        <f t="array" ref="BW14">(LOOKUP(2,1/(BH14:BT14&lt;&gt;""),BH14:BT14))/(INDEX(BH14:BT14,MATCH(TRUE,INDEX((BH14:BT14&lt;&gt;0),0),0)))-1</f>
        <v>0</v>
      </c>
      <c r="BX14" s="212">
        <f t="shared" si="10"/>
        <v>2.4500000000000002</v>
      </c>
      <c r="BY14" s="212">
        <f t="shared" si="1"/>
        <v>14.455000000000002</v>
      </c>
      <c r="BZ14" s="212">
        <f ca="1">IF(L14="BR",'Impostos e Frete'!$F$6,IF(L14="EU",'Impostos e Frete'!$I$3,IF(L14="CN",'Impostos e Frete'!$I$4,IF(L14="JP",'Impostos e Frete'!$I$5,IF(L14="RU",'Impostos e Frete'!$I$7,"ERRO")))))</f>
        <v>0.14176320000000001</v>
      </c>
      <c r="CA14" s="212">
        <f>VLOOKUP(L14,'Impostos e Frete'!$A$3:$B$7,2,0)*'Preços e Condições'!BY14</f>
        <v>1.8791500000000003</v>
      </c>
      <c r="CB14" s="147">
        <f t="shared" si="11"/>
        <v>0</v>
      </c>
      <c r="CC14" s="147">
        <f>IF(X14="BRL",'Impostos e Frete'!$B$11,'Impostos e Frete'!$B$12)</f>
        <v>9.1999999999999998E-2</v>
      </c>
      <c r="CD14" s="213">
        <f t="shared" ca="1" si="12"/>
        <v>16.5679132</v>
      </c>
      <c r="CE14" s="214">
        <f t="shared" ca="1" si="13"/>
        <v>1.3254330560000001</v>
      </c>
      <c r="CF14" s="215">
        <f>VLOOKUP(L14,'Impostos e Frete'!$A$3:$C$7,3,0)</f>
        <v>105</v>
      </c>
      <c r="CG14" s="215">
        <f t="shared" si="14"/>
        <v>90</v>
      </c>
      <c r="CH14" s="215">
        <f t="shared" si="15"/>
        <v>-15</v>
      </c>
      <c r="CI14" s="216">
        <f t="shared" ca="1" si="16"/>
        <v>0.1237968388119377</v>
      </c>
      <c r="CJ14" s="217">
        <f t="shared" ca="1" si="17"/>
        <v>16.691710038811937</v>
      </c>
      <c r="CK14" s="218">
        <f t="shared" ca="1" si="18"/>
        <v>1.3353368031049551</v>
      </c>
    </row>
    <row r="15" spans="1:91">
      <c r="A15" s="176">
        <v>10961</v>
      </c>
      <c r="B15" s="186">
        <v>2</v>
      </c>
      <c r="C15" s="178">
        <v>80</v>
      </c>
      <c r="D15" s="178">
        <v>1865</v>
      </c>
      <c r="E15" s="178" t="s">
        <v>50</v>
      </c>
      <c r="F15" s="179" t="s">
        <v>67</v>
      </c>
      <c r="G15" s="185" t="s">
        <v>379</v>
      </c>
      <c r="H15" s="178" t="s">
        <v>43</v>
      </c>
      <c r="I15" s="178" t="s">
        <v>378</v>
      </c>
      <c r="J15" s="178"/>
      <c r="K15" s="178"/>
      <c r="L15" s="178" t="s">
        <v>59</v>
      </c>
      <c r="M15" s="178">
        <v>90</v>
      </c>
      <c r="N15" s="178"/>
      <c r="O15" s="178"/>
      <c r="P15" s="178"/>
      <c r="Q15" s="178"/>
      <c r="R15" s="178" t="s">
        <v>19</v>
      </c>
      <c r="S15" s="181"/>
      <c r="T15" s="181"/>
      <c r="U15" s="182"/>
      <c r="V15" s="182" t="s">
        <v>35</v>
      </c>
      <c r="W15" s="183">
        <v>25</v>
      </c>
      <c r="X15" s="182" t="s">
        <v>51</v>
      </c>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v>2890</v>
      </c>
      <c r="BH15" s="184">
        <v>2890</v>
      </c>
      <c r="BI15" s="184">
        <v>2890</v>
      </c>
      <c r="BJ15" s="184"/>
      <c r="BK15" s="184"/>
      <c r="BL15" s="184"/>
      <c r="BM15" s="184"/>
      <c r="BN15" s="184"/>
      <c r="BO15" s="184"/>
      <c r="BP15" s="184"/>
      <c r="BQ15" s="184"/>
      <c r="BR15" s="184"/>
      <c r="BS15" s="184"/>
      <c r="BT15" s="184"/>
      <c r="BU15" s="146" cm="1">
        <f t="array" ref="BU15">LOOKUP(2,1/(Y15:BT15&lt;&gt;""),Y15:BH15)</f>
        <v>2890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46023</v>
      </c>
      <c r="BW15" s="211" cm="1">
        <f t="array" ref="BW15">(LOOKUP(2,1/(BH15:BT15&lt;&gt;""),BH15:BT15))/(INDEX(BH15:BT15,MATCH(TRUE,INDEX((BH15:BT15&lt;&gt;0),0),0)))-1</f>
        <v>0</v>
      </c>
      <c r="BX15" s="212">
        <f t="shared" si="10"/>
        <v>2.89</v>
      </c>
      <c r="BY15" s="212">
        <f t="shared" si="1"/>
        <v>17.051000000000002</v>
      </c>
      <c r="BZ15" s="212">
        <f ca="1">IF(L15="BR",'Impostos e Frete'!$F$6,IF(L15="EU",'Impostos e Frete'!$I$3,IF(L15="CN",'Impostos e Frete'!$I$4,IF(L15="JP",'Impostos e Frete'!$I$5,IF(L15="RU",'Impostos e Frete'!$I$7,"ERRO")))))</f>
        <v>0.14176320000000001</v>
      </c>
      <c r="CA15" s="212">
        <f>VLOOKUP(L15,'Impostos e Frete'!$A$3:$B$7,2,0)*'Preços e Condições'!BY15</f>
        <v>2.2166300000000003</v>
      </c>
      <c r="CB15" s="147">
        <f t="shared" si="11"/>
        <v>0</v>
      </c>
      <c r="CC15" s="147">
        <f>IF(X15="BRL",'Impostos e Frete'!$B$11,'Impostos e Frete'!$B$12)</f>
        <v>9.1999999999999998E-2</v>
      </c>
      <c r="CD15" s="213">
        <f t="shared" ca="1" si="12"/>
        <v>19.501393200000003</v>
      </c>
      <c r="CE15" s="214">
        <f t="shared" ca="1" si="13"/>
        <v>1.560111456</v>
      </c>
      <c r="CF15" s="215">
        <f>VLOOKUP(L15,'Impostos e Frete'!$A$3:$C$7,3,0)</f>
        <v>105</v>
      </c>
      <c r="CG15" s="215">
        <f t="shared" si="14"/>
        <v>90</v>
      </c>
      <c r="CH15" s="215">
        <f t="shared" si="15"/>
        <v>-15</v>
      </c>
      <c r="CI15" s="216">
        <f t="shared" ca="1" si="16"/>
        <v>0.1457160477270385</v>
      </c>
      <c r="CJ15" s="217">
        <f t="shared" ca="1" si="17"/>
        <v>19.647109247727041</v>
      </c>
      <c r="CK15" s="218">
        <f t="shared" ca="1" si="18"/>
        <v>1.5717687398181632</v>
      </c>
    </row>
    <row r="16" spans="1:91">
      <c r="A16" s="176">
        <v>10962</v>
      </c>
      <c r="B16" s="177">
        <v>483</v>
      </c>
      <c r="C16" s="178">
        <v>70</v>
      </c>
      <c r="D16" s="178">
        <v>1870</v>
      </c>
      <c r="E16" s="178" t="s">
        <v>50</v>
      </c>
      <c r="F16" s="179" t="s">
        <v>67</v>
      </c>
      <c r="G16" s="185" t="s">
        <v>376</v>
      </c>
      <c r="H16" s="178" t="s">
        <v>63</v>
      </c>
      <c r="I16" s="178"/>
      <c r="J16" s="178"/>
      <c r="K16" s="178"/>
      <c r="L16" s="178" t="s">
        <v>59</v>
      </c>
      <c r="M16" s="178">
        <v>90</v>
      </c>
      <c r="N16" s="178"/>
      <c r="O16" s="178"/>
      <c r="P16" s="178"/>
      <c r="Q16" s="178"/>
      <c r="R16" s="178" t="s">
        <v>19</v>
      </c>
      <c r="S16" s="181"/>
      <c r="T16" s="181"/>
      <c r="U16" s="182"/>
      <c r="V16" s="182" t="s">
        <v>35</v>
      </c>
      <c r="W16" s="183">
        <v>300</v>
      </c>
      <c r="X16" s="182" t="s">
        <v>51</v>
      </c>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v>1750</v>
      </c>
      <c r="BH16" s="184">
        <v>1750</v>
      </c>
      <c r="BI16" s="184">
        <v>1750</v>
      </c>
      <c r="BJ16" s="184"/>
      <c r="BK16" s="184"/>
      <c r="BL16" s="184"/>
      <c r="BM16" s="184"/>
      <c r="BN16" s="184"/>
      <c r="BO16" s="184"/>
      <c r="BP16" s="184"/>
      <c r="BQ16" s="184"/>
      <c r="BR16" s="184"/>
      <c r="BS16" s="184"/>
      <c r="BT16" s="184"/>
      <c r="BU16" s="146" cm="1">
        <f t="array" ref="BU16">LOOKUP(2,1/(Y16:BT16&lt;&gt;""),Y16:BH16)</f>
        <v>1750</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46023</v>
      </c>
      <c r="BW16" s="211" cm="1">
        <f t="array" ref="BW16">(LOOKUP(2,1/(BH16:BT16&lt;&gt;""),BH16:BT16))/(INDEX(BH16:BT16,MATCH(TRUE,INDEX((BH16:BT16&lt;&gt;0),0),0)))-1</f>
        <v>0</v>
      </c>
      <c r="BX16" s="212">
        <f t="shared" si="10"/>
        <v>1.75</v>
      </c>
      <c r="BY16" s="212">
        <f t="shared" si="1"/>
        <v>10.325000000000001</v>
      </c>
      <c r="BZ16" s="212">
        <f ca="1">IF(L16="BR",'Impostos e Frete'!$F$6,IF(L16="EU",'Impostos e Frete'!$I$3,IF(L16="CN",'Impostos e Frete'!$I$4,IF(L16="JP",'Impostos e Frete'!$I$5,IF(L16="RU",'Impostos e Frete'!$I$7,"ERRO")))))</f>
        <v>0.14176320000000001</v>
      </c>
      <c r="CA16" s="212">
        <f>VLOOKUP(L16,'Impostos e Frete'!$A$3:$B$7,2,0)*'Preços e Condições'!BY16</f>
        <v>1.3422500000000002</v>
      </c>
      <c r="CB16" s="147">
        <f t="shared" si="11"/>
        <v>0</v>
      </c>
      <c r="CC16" s="147">
        <f>IF(X16="BRL",'Impostos e Frete'!$B$11,'Impostos e Frete'!$B$12)</f>
        <v>9.1999999999999998E-2</v>
      </c>
      <c r="CD16" s="213">
        <f t="shared" ca="1" si="12"/>
        <v>11.901013200000001</v>
      </c>
      <c r="CE16" s="214">
        <f t="shared" ca="1" si="13"/>
        <v>0.83307092400000005</v>
      </c>
      <c r="CF16" s="215">
        <f>VLOOKUP(L16,'Impostos e Frete'!$A$3:$C$7,3,0)</f>
        <v>105</v>
      </c>
      <c r="CG16" s="215">
        <f t="shared" si="14"/>
        <v>90</v>
      </c>
      <c r="CH16" s="215">
        <f t="shared" si="15"/>
        <v>-15</v>
      </c>
      <c r="CI16" s="216">
        <f t="shared" ca="1" si="16"/>
        <v>8.892537008336987E-2</v>
      </c>
      <c r="CJ16" s="217">
        <f t="shared" ca="1" si="17"/>
        <v>11.989938570083371</v>
      </c>
      <c r="CK16" s="218">
        <f t="shared" ca="1" si="18"/>
        <v>0.83929569990583597</v>
      </c>
    </row>
    <row r="17" spans="1:89">
      <c r="A17" s="176">
        <v>10962</v>
      </c>
      <c r="B17" s="177">
        <v>483</v>
      </c>
      <c r="C17" s="178">
        <v>70</v>
      </c>
      <c r="D17" s="178">
        <v>1870</v>
      </c>
      <c r="E17" s="178" t="s">
        <v>50</v>
      </c>
      <c r="F17" s="179" t="s">
        <v>67</v>
      </c>
      <c r="G17" s="185" t="s">
        <v>376</v>
      </c>
      <c r="H17" s="178" t="s">
        <v>63</v>
      </c>
      <c r="I17" s="178"/>
      <c r="J17" s="178"/>
      <c r="K17" s="178"/>
      <c r="L17" s="178" t="s">
        <v>59</v>
      </c>
      <c r="M17" s="178">
        <v>90</v>
      </c>
      <c r="N17" s="178"/>
      <c r="O17" s="178"/>
      <c r="P17" s="178"/>
      <c r="Q17" s="178"/>
      <c r="R17" s="178" t="s">
        <v>19</v>
      </c>
      <c r="S17" s="181"/>
      <c r="T17" s="181"/>
      <c r="U17" s="182"/>
      <c r="V17" s="182" t="s">
        <v>35</v>
      </c>
      <c r="W17" s="183">
        <v>150</v>
      </c>
      <c r="X17" s="182" t="s">
        <v>51</v>
      </c>
      <c r="Y17" s="184"/>
      <c r="Z17" s="184"/>
      <c r="AA17" s="184"/>
      <c r="AB17" s="184"/>
      <c r="AC17" s="184"/>
      <c r="AD17" s="184"/>
      <c r="AE17" s="184"/>
      <c r="AF17" s="184"/>
      <c r="AG17" s="184"/>
      <c r="AH17" s="184"/>
      <c r="AI17" s="184"/>
      <c r="AJ17" s="184"/>
      <c r="AK17" s="184"/>
      <c r="AL17" s="184"/>
      <c r="AM17" s="184"/>
      <c r="AN17" s="184"/>
      <c r="AO17" s="184"/>
      <c r="AP17" s="184"/>
      <c r="AQ17" s="184"/>
      <c r="AR17" s="184"/>
      <c r="AS17" s="184"/>
      <c r="AT17" s="184"/>
      <c r="AU17" s="184"/>
      <c r="AV17" s="184"/>
      <c r="AW17" s="184"/>
      <c r="AX17" s="184"/>
      <c r="AY17" s="184"/>
      <c r="AZ17" s="184"/>
      <c r="BA17" s="184"/>
      <c r="BB17" s="184"/>
      <c r="BC17" s="184"/>
      <c r="BD17" s="184"/>
      <c r="BE17" s="184"/>
      <c r="BF17" s="184"/>
      <c r="BG17" s="184">
        <v>1790</v>
      </c>
      <c r="BH17" s="184">
        <v>1790</v>
      </c>
      <c r="BI17" s="184">
        <v>1790</v>
      </c>
      <c r="BJ17" s="184"/>
      <c r="BK17" s="184"/>
      <c r="BL17" s="184"/>
      <c r="BM17" s="184"/>
      <c r="BN17" s="184"/>
      <c r="BO17" s="184"/>
      <c r="BP17" s="184"/>
      <c r="BQ17" s="184"/>
      <c r="BR17" s="184"/>
      <c r="BS17" s="184"/>
      <c r="BT17" s="184"/>
      <c r="BU17" s="146" cm="1">
        <f t="array" ref="BU17">LOOKUP(2,1/(Y17:BT17&lt;&gt;""),Y17:BH17)</f>
        <v>1790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46023</v>
      </c>
      <c r="BW17" s="211" cm="1">
        <f t="array" ref="BW17">(LOOKUP(2,1/(BH17:BT17&lt;&gt;""),BH17:BT17))/(INDEX(BH17:BT17,MATCH(TRUE,INDEX((BH17:BT17&lt;&gt;0),0),0)))-1</f>
        <v>0</v>
      </c>
      <c r="BX17" s="212">
        <f t="shared" si="10"/>
        <v>1.79</v>
      </c>
      <c r="BY17" s="212">
        <f t="shared" si="1"/>
        <v>10.561000000000002</v>
      </c>
      <c r="BZ17" s="212">
        <f ca="1">IF(L17="BR",'Impostos e Frete'!$F$6,IF(L17="EU",'Impostos e Frete'!$I$3,IF(L17="CN",'Impostos e Frete'!$I$4,IF(L17="JP",'Impostos e Frete'!$I$5,IF(L17="RU",'Impostos e Frete'!$I$7,"ERRO")))))</f>
        <v>0.14176320000000001</v>
      </c>
      <c r="CA17" s="212">
        <f>VLOOKUP(L17,'Impostos e Frete'!$A$3:$B$7,2,0)*'Preços e Condições'!BY17</f>
        <v>1.3729300000000002</v>
      </c>
      <c r="CB17" s="147">
        <f t="shared" si="11"/>
        <v>0</v>
      </c>
      <c r="CC17" s="147">
        <f>IF(X17="BRL",'Impostos e Frete'!$B$11,'Impostos e Frete'!$B$12)</f>
        <v>9.1999999999999998E-2</v>
      </c>
      <c r="CD17" s="213">
        <f t="shared" ca="1" si="12"/>
        <v>12.167693200000002</v>
      </c>
      <c r="CE17" s="214">
        <f t="shared" ca="1" si="13"/>
        <v>0.85173852400000016</v>
      </c>
      <c r="CF17" s="215">
        <f>VLOOKUP(L17,'Impostos e Frete'!$A$3:$C$7,3,0)</f>
        <v>105</v>
      </c>
      <c r="CG17" s="215">
        <f t="shared" si="14"/>
        <v>90</v>
      </c>
      <c r="CH17" s="215">
        <f t="shared" si="15"/>
        <v>-15</v>
      </c>
      <c r="CI17" s="216">
        <f t="shared" ca="1" si="16"/>
        <v>9.0918025439288286E-2</v>
      </c>
      <c r="CJ17" s="217">
        <f t="shared" ca="1" si="17"/>
        <v>12.25861122543929</v>
      </c>
      <c r="CK17" s="218">
        <f t="shared" ca="1" si="18"/>
        <v>0.85810278578075039</v>
      </c>
    </row>
    <row r="18" spans="1:89">
      <c r="A18" s="176">
        <v>10962</v>
      </c>
      <c r="B18" s="177">
        <v>483</v>
      </c>
      <c r="C18" s="178">
        <v>70</v>
      </c>
      <c r="D18" s="178">
        <v>1870</v>
      </c>
      <c r="E18" s="178" t="s">
        <v>50</v>
      </c>
      <c r="F18" s="179" t="s">
        <v>67</v>
      </c>
      <c r="G18" s="185" t="s">
        <v>376</v>
      </c>
      <c r="H18" s="178" t="s">
        <v>63</v>
      </c>
      <c r="I18" s="178"/>
      <c r="J18" s="178"/>
      <c r="K18" s="178"/>
      <c r="L18" s="178" t="s">
        <v>59</v>
      </c>
      <c r="M18" s="178">
        <v>90</v>
      </c>
      <c r="N18" s="178"/>
      <c r="O18" s="178"/>
      <c r="P18" s="178"/>
      <c r="Q18" s="178"/>
      <c r="R18" s="178" t="s">
        <v>19</v>
      </c>
      <c r="S18" s="181"/>
      <c r="T18" s="181"/>
      <c r="U18" s="182"/>
      <c r="V18" s="182" t="s">
        <v>35</v>
      </c>
      <c r="W18" s="183">
        <v>100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c r="AX18" s="184"/>
      <c r="AY18" s="184"/>
      <c r="AZ18" s="184"/>
      <c r="BA18" s="184"/>
      <c r="BB18" s="184"/>
      <c r="BC18" s="184"/>
      <c r="BD18" s="184"/>
      <c r="BE18" s="184"/>
      <c r="BF18" s="184"/>
      <c r="BG18" s="184">
        <v>1900</v>
      </c>
      <c r="BH18" s="184">
        <v>1900</v>
      </c>
      <c r="BI18" s="184">
        <v>1900</v>
      </c>
      <c r="BJ18" s="184"/>
      <c r="BK18" s="184"/>
      <c r="BL18" s="184"/>
      <c r="BM18" s="184"/>
      <c r="BN18" s="184"/>
      <c r="BO18" s="184"/>
      <c r="BP18" s="184"/>
      <c r="BQ18" s="184"/>
      <c r="BR18" s="184"/>
      <c r="BS18" s="184"/>
      <c r="BT18" s="184"/>
      <c r="BU18" s="146" cm="1">
        <f t="array" ref="BU18">LOOKUP(2,1/(Y18:BT18&lt;&gt;""),Y18:BH18)</f>
        <v>1900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46023</v>
      </c>
      <c r="BW18" s="211" cm="1">
        <f t="array" ref="BW18">(LOOKUP(2,1/(BH18:BT18&lt;&gt;""),BH18:BT18))/(INDEX(BH18:BT18,MATCH(TRUE,INDEX((BH18:BT18&lt;&gt;0),0),0)))-1</f>
        <v>0</v>
      </c>
      <c r="BX18" s="212">
        <f t="shared" si="10"/>
        <v>1.9</v>
      </c>
      <c r="BY18" s="212">
        <f t="shared" si="1"/>
        <v>11.21</v>
      </c>
      <c r="BZ18" s="212">
        <f ca="1">IF(L18="BR",'Impostos e Frete'!$F$6,IF(L18="EU",'Impostos e Frete'!$I$3,IF(L18="CN",'Impostos e Frete'!$I$4,IF(L18="JP",'Impostos e Frete'!$I$5,IF(L18="RU",'Impostos e Frete'!$I$7,"ERRO")))))</f>
        <v>0.14176320000000001</v>
      </c>
      <c r="CA18" s="212">
        <f>VLOOKUP(L18,'Impostos e Frete'!$A$3:$B$7,2,0)*'Preços e Condições'!BY18</f>
        <v>1.4573000000000003</v>
      </c>
      <c r="CB18" s="147">
        <f t="shared" si="11"/>
        <v>0</v>
      </c>
      <c r="CC18" s="147">
        <f>IF(X18="BRL",'Impostos e Frete'!$B$11,'Impostos e Frete'!$B$12)</f>
        <v>9.1999999999999998E-2</v>
      </c>
      <c r="CD18" s="213">
        <f t="shared" ca="1" si="12"/>
        <v>12.901063200000001</v>
      </c>
      <c r="CE18" s="214">
        <f t="shared" ca="1" si="13"/>
        <v>0.90307442400000015</v>
      </c>
      <c r="CF18" s="215">
        <f>VLOOKUP(L18,'Impostos e Frete'!$A$3:$C$7,3,0)</f>
        <v>105</v>
      </c>
      <c r="CG18" s="215">
        <f t="shared" si="14"/>
        <v>90</v>
      </c>
      <c r="CH18" s="215">
        <f t="shared" si="15"/>
        <v>-15</v>
      </c>
      <c r="CI18" s="216">
        <f t="shared" ca="1" si="16"/>
        <v>9.6397827668063485E-2</v>
      </c>
      <c r="CJ18" s="217">
        <f t="shared" ca="1" si="17"/>
        <v>12.997461027668065</v>
      </c>
      <c r="CK18" s="218">
        <f t="shared" ca="1" si="18"/>
        <v>0.90982227193676446</v>
      </c>
    </row>
    <row r="19" spans="1:89">
      <c r="A19" s="176">
        <v>10962</v>
      </c>
      <c r="B19" s="177">
        <v>483</v>
      </c>
      <c r="C19" s="178">
        <v>70</v>
      </c>
      <c r="D19" s="178">
        <v>1870</v>
      </c>
      <c r="E19" s="178" t="s">
        <v>50</v>
      </c>
      <c r="F19" s="179" t="s">
        <v>67</v>
      </c>
      <c r="G19" s="185" t="s">
        <v>376</v>
      </c>
      <c r="H19" s="178" t="s">
        <v>63</v>
      </c>
      <c r="I19" s="178"/>
      <c r="J19" s="178"/>
      <c r="K19" s="178"/>
      <c r="L19" s="178" t="s">
        <v>59</v>
      </c>
      <c r="M19" s="178">
        <v>90</v>
      </c>
      <c r="N19" s="178"/>
      <c r="O19" s="178"/>
      <c r="P19" s="178"/>
      <c r="Q19" s="178"/>
      <c r="R19" s="178" t="s">
        <v>19</v>
      </c>
      <c r="S19" s="181"/>
      <c r="T19" s="181"/>
      <c r="U19" s="182"/>
      <c r="V19" s="182" t="s">
        <v>35</v>
      </c>
      <c r="W19" s="183">
        <v>50</v>
      </c>
      <c r="X19" s="182" t="s">
        <v>51</v>
      </c>
      <c r="Y19" s="184"/>
      <c r="Z19" s="184"/>
      <c r="AA19" s="184"/>
      <c r="AB19" s="184"/>
      <c r="AC19" s="184"/>
      <c r="AD19" s="184"/>
      <c r="AE19" s="184"/>
      <c r="AF19" s="184"/>
      <c r="AG19" s="184"/>
      <c r="AH19" s="184"/>
      <c r="AI19" s="184"/>
      <c r="AJ19" s="184"/>
      <c r="AK19" s="184"/>
      <c r="AL19" s="184"/>
      <c r="AM19" s="184"/>
      <c r="AN19" s="184"/>
      <c r="AO19" s="184"/>
      <c r="AP19" s="184"/>
      <c r="AQ19" s="184"/>
      <c r="AR19" s="184"/>
      <c r="AS19" s="184"/>
      <c r="AT19" s="184"/>
      <c r="AU19" s="184"/>
      <c r="AV19" s="184"/>
      <c r="AW19" s="184"/>
      <c r="AX19" s="184"/>
      <c r="AY19" s="184"/>
      <c r="AZ19" s="184"/>
      <c r="BA19" s="184"/>
      <c r="BB19" s="184"/>
      <c r="BC19" s="184"/>
      <c r="BD19" s="184"/>
      <c r="BE19" s="184"/>
      <c r="BF19" s="184"/>
      <c r="BG19" s="184">
        <v>2050</v>
      </c>
      <c r="BH19" s="184">
        <v>2050</v>
      </c>
      <c r="BI19" s="184">
        <v>2050</v>
      </c>
      <c r="BJ19" s="184"/>
      <c r="BK19" s="184"/>
      <c r="BL19" s="184"/>
      <c r="BM19" s="184"/>
      <c r="BN19" s="184"/>
      <c r="BO19" s="184"/>
      <c r="BP19" s="184"/>
      <c r="BQ19" s="184"/>
      <c r="BR19" s="184"/>
      <c r="BS19" s="184"/>
      <c r="BT19" s="184"/>
      <c r="BU19" s="146" cm="1">
        <f t="array" ref="BU19">LOOKUP(2,1/(Y19:BT19&lt;&gt;""),Y19:BH19)</f>
        <v>2050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46023</v>
      </c>
      <c r="BW19" s="211" cm="1">
        <f t="array" ref="BW19">(LOOKUP(2,1/(BH19:BT19&lt;&gt;""),BH19:BT19))/(INDEX(BH19:BT19,MATCH(TRUE,INDEX((BH19:BT19&lt;&gt;0),0),0)))-1</f>
        <v>0</v>
      </c>
      <c r="BX19" s="212">
        <f t="shared" si="10"/>
        <v>2.0499999999999998</v>
      </c>
      <c r="BY19" s="212">
        <f t="shared" si="1"/>
        <v>12.094999999999999</v>
      </c>
      <c r="BZ19" s="212">
        <f ca="1">IF(L19="BR",'Impostos e Frete'!$F$6,IF(L19="EU",'Impostos e Frete'!$I$3,IF(L19="CN",'Impostos e Frete'!$I$4,IF(L19="JP",'Impostos e Frete'!$I$5,IF(L19="RU",'Impostos e Frete'!$I$7,"ERRO")))))</f>
        <v>0.14176320000000001</v>
      </c>
      <c r="CA19" s="212">
        <f>VLOOKUP(L19,'Impostos e Frete'!$A$3:$B$7,2,0)*'Preços e Condições'!BY19</f>
        <v>1.5723499999999999</v>
      </c>
      <c r="CB19" s="147">
        <f t="shared" si="11"/>
        <v>0</v>
      </c>
      <c r="CC19" s="147">
        <f>IF(X19="BRL",'Impostos e Frete'!$B$11,'Impostos e Frete'!$B$12)</f>
        <v>9.1999999999999998E-2</v>
      </c>
      <c r="CD19" s="213">
        <f t="shared" ca="1" si="12"/>
        <v>13.901113199999999</v>
      </c>
      <c r="CE19" s="214">
        <f t="shared" ca="1" si="13"/>
        <v>0.97307792399999993</v>
      </c>
      <c r="CF19" s="215">
        <f>VLOOKUP(L19,'Impostos e Frete'!$A$3:$C$7,3,0)</f>
        <v>105</v>
      </c>
      <c r="CG19" s="215">
        <f t="shared" si="14"/>
        <v>90</v>
      </c>
      <c r="CH19" s="215">
        <f t="shared" si="15"/>
        <v>-15</v>
      </c>
      <c r="CI19" s="216">
        <f t="shared" ca="1" si="16"/>
        <v>0.1038702852527571</v>
      </c>
      <c r="CJ19" s="217">
        <f t="shared" ca="1" si="17"/>
        <v>14.004983485252756</v>
      </c>
      <c r="CK19" s="218">
        <f t="shared" ca="1" si="18"/>
        <v>0.98034884396769295</v>
      </c>
    </row>
    <row r="20" spans="1:89">
      <c r="A20" s="176">
        <v>10962</v>
      </c>
      <c r="B20" s="177">
        <v>483</v>
      </c>
      <c r="C20" s="178">
        <v>70</v>
      </c>
      <c r="D20" s="178">
        <v>1870</v>
      </c>
      <c r="E20" s="178" t="s">
        <v>50</v>
      </c>
      <c r="F20" s="179" t="s">
        <v>67</v>
      </c>
      <c r="G20" s="185" t="s">
        <v>376</v>
      </c>
      <c r="H20" s="178" t="s">
        <v>63</v>
      </c>
      <c r="I20" s="178"/>
      <c r="J20" s="178"/>
      <c r="K20" s="178"/>
      <c r="L20" s="178" t="s">
        <v>59</v>
      </c>
      <c r="M20" s="178">
        <v>90</v>
      </c>
      <c r="N20" s="178"/>
      <c r="O20" s="178"/>
      <c r="P20" s="178"/>
      <c r="Q20" s="178"/>
      <c r="R20" s="178" t="s">
        <v>19</v>
      </c>
      <c r="S20" s="181"/>
      <c r="T20" s="181"/>
      <c r="U20" s="182"/>
      <c r="V20" s="182" t="s">
        <v>35</v>
      </c>
      <c r="W20" s="183">
        <v>25</v>
      </c>
      <c r="X20" s="182" t="s">
        <v>51</v>
      </c>
      <c r="Y20" s="184"/>
      <c r="Z20" s="184"/>
      <c r="AA20" s="184"/>
      <c r="AB20" s="184"/>
      <c r="AC20" s="184"/>
      <c r="AD20" s="184"/>
      <c r="AE20" s="184"/>
      <c r="AF20" s="184"/>
      <c r="AG20" s="184"/>
      <c r="AH20" s="184"/>
      <c r="AI20" s="184"/>
      <c r="AJ20" s="184"/>
      <c r="AK20" s="184"/>
      <c r="AL20" s="184"/>
      <c r="AM20" s="184"/>
      <c r="AN20" s="184"/>
      <c r="AO20" s="184"/>
      <c r="AP20" s="184"/>
      <c r="AQ20" s="184"/>
      <c r="AR20" s="184"/>
      <c r="AS20" s="184"/>
      <c r="AT20" s="184"/>
      <c r="AU20" s="184"/>
      <c r="AV20" s="184"/>
      <c r="AW20" s="184"/>
      <c r="AX20" s="184"/>
      <c r="AY20" s="184"/>
      <c r="AZ20" s="184"/>
      <c r="BA20" s="184"/>
      <c r="BB20" s="184"/>
      <c r="BC20" s="184"/>
      <c r="BD20" s="184"/>
      <c r="BE20" s="184"/>
      <c r="BF20" s="184"/>
      <c r="BG20" s="184">
        <v>2350</v>
      </c>
      <c r="BH20" s="184">
        <v>2350</v>
      </c>
      <c r="BI20" s="184">
        <v>2350</v>
      </c>
      <c r="BJ20" s="184"/>
      <c r="BK20" s="184"/>
      <c r="BL20" s="184"/>
      <c r="BM20" s="184"/>
      <c r="BN20" s="184"/>
      <c r="BO20" s="184"/>
      <c r="BP20" s="184"/>
      <c r="BQ20" s="184"/>
      <c r="BR20" s="184"/>
      <c r="BS20" s="184"/>
      <c r="BT20" s="184"/>
      <c r="BU20" s="146" cm="1">
        <f t="array" ref="BU20">LOOKUP(2,1/(Y20:BT20&lt;&gt;""),Y20:BH20)</f>
        <v>2350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46023</v>
      </c>
      <c r="BW20" s="211" cm="1">
        <f t="array" ref="BW20">(LOOKUP(2,1/(BH20:BT20&lt;&gt;""),BH20:BT20))/(INDEX(BH20:BT20,MATCH(TRUE,INDEX((BH20:BT20&lt;&gt;0),0),0)))-1</f>
        <v>0</v>
      </c>
      <c r="BX20" s="212">
        <f t="shared" si="10"/>
        <v>2.35</v>
      </c>
      <c r="BY20" s="212">
        <f t="shared" si="1"/>
        <v>13.865000000000002</v>
      </c>
      <c r="BZ20" s="212">
        <f ca="1">IF(L20="BR",'Impostos e Frete'!$F$6,IF(L20="EU",'Impostos e Frete'!$I$3,IF(L20="CN",'Impostos e Frete'!$I$4,IF(L20="JP",'Impostos e Frete'!$I$5,IF(L20="RU",'Impostos e Frete'!$I$7,"ERRO")))))</f>
        <v>0.14176320000000001</v>
      </c>
      <c r="CA20" s="212">
        <f>VLOOKUP(L20,'Impostos e Frete'!$A$3:$B$7,2,0)*'Preços e Condições'!BY20</f>
        <v>1.8024500000000003</v>
      </c>
      <c r="CB20" s="147">
        <f t="shared" si="11"/>
        <v>0</v>
      </c>
      <c r="CC20" s="147">
        <f>IF(X20="BRL",'Impostos e Frete'!$B$11,'Impostos e Frete'!$B$12)</f>
        <v>9.1999999999999998E-2</v>
      </c>
      <c r="CD20" s="213">
        <f t="shared" ca="1" si="12"/>
        <v>15.901213200000003</v>
      </c>
      <c r="CE20" s="214">
        <f t="shared" ca="1" si="13"/>
        <v>1.1130849240000003</v>
      </c>
      <c r="CF20" s="215">
        <f>VLOOKUP(L20,'Impostos e Frete'!$A$3:$C$7,3,0)</f>
        <v>105</v>
      </c>
      <c r="CG20" s="215">
        <f t="shared" si="14"/>
        <v>90</v>
      </c>
      <c r="CH20" s="215">
        <f t="shared" si="15"/>
        <v>-15</v>
      </c>
      <c r="CI20" s="216">
        <f t="shared" ca="1" si="16"/>
        <v>0.11881520042214255</v>
      </c>
      <c r="CJ20" s="217">
        <f t="shared" ca="1" si="17"/>
        <v>16.020028400422145</v>
      </c>
      <c r="CK20" s="218">
        <f t="shared" ca="1" si="18"/>
        <v>1.1214019880295503</v>
      </c>
    </row>
    <row r="21" spans="1:89">
      <c r="A21" s="176">
        <v>10963</v>
      </c>
      <c r="B21" s="177">
        <v>689</v>
      </c>
      <c r="C21" s="178">
        <v>70</v>
      </c>
      <c r="D21" s="178">
        <v>1870</v>
      </c>
      <c r="E21" s="178" t="s">
        <v>50</v>
      </c>
      <c r="F21" s="179" t="s">
        <v>67</v>
      </c>
      <c r="G21" s="185" t="s">
        <v>377</v>
      </c>
      <c r="H21" s="178" t="s">
        <v>373</v>
      </c>
      <c r="I21" s="178"/>
      <c r="J21" s="178"/>
      <c r="K21" s="178"/>
      <c r="L21" s="178" t="s">
        <v>59</v>
      </c>
      <c r="M21" s="178">
        <v>90</v>
      </c>
      <c r="N21" s="178"/>
      <c r="O21" s="178"/>
      <c r="P21" s="178"/>
      <c r="Q21" s="178"/>
      <c r="R21" s="178" t="s">
        <v>19</v>
      </c>
      <c r="S21" s="181"/>
      <c r="T21" s="181"/>
      <c r="U21" s="182"/>
      <c r="V21" s="182" t="s">
        <v>35</v>
      </c>
      <c r="W21" s="183">
        <v>100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v>1790</v>
      </c>
      <c r="BH21" s="184">
        <v>1790</v>
      </c>
      <c r="BI21" s="184">
        <v>1790</v>
      </c>
      <c r="BJ21" s="184"/>
      <c r="BK21" s="184"/>
      <c r="BL21" s="184"/>
      <c r="BM21" s="184"/>
      <c r="BN21" s="184"/>
      <c r="BO21" s="184"/>
      <c r="BP21" s="184"/>
      <c r="BQ21" s="184"/>
      <c r="BR21" s="184"/>
      <c r="BS21" s="184"/>
      <c r="BT21" s="184"/>
      <c r="BU21" s="146" cm="1">
        <f t="array" ref="BU21">LOOKUP(2,1/(Y21:BT21&lt;&gt;""),Y21:BH21)</f>
        <v>1790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46023</v>
      </c>
      <c r="BW21" s="211" cm="1">
        <f t="array" ref="BW21">(LOOKUP(2,1/(BH21:BT21&lt;&gt;""),BH21:BT21))/(INDEX(BH21:BT21,MATCH(TRUE,INDEX((BH21:BT21&lt;&gt;0),0),0)))-1</f>
        <v>0</v>
      </c>
      <c r="BX21" s="212">
        <f t="shared" si="10"/>
        <v>1.79</v>
      </c>
      <c r="BY21" s="212">
        <f t="shared" si="1"/>
        <v>10.561000000000002</v>
      </c>
      <c r="BZ21" s="212">
        <f ca="1">IF(L21="BR",'Impostos e Frete'!$F$6,IF(L21="EU",'Impostos e Frete'!$I$3,IF(L21="CN",'Impostos e Frete'!$I$4,IF(L21="JP",'Impostos e Frete'!$I$5,IF(L21="RU",'Impostos e Frete'!$I$7,"ERRO")))))</f>
        <v>0.14176320000000001</v>
      </c>
      <c r="CA21" s="212">
        <f>VLOOKUP(L21,'Impostos e Frete'!$A$3:$B$7,2,0)*'Preços e Condições'!BY21</f>
        <v>1.3729300000000002</v>
      </c>
      <c r="CB21" s="147">
        <f t="shared" si="11"/>
        <v>0</v>
      </c>
      <c r="CC21" s="147">
        <f>IF(X21="BRL",'Impostos e Frete'!$B$11,'Impostos e Frete'!$B$12)</f>
        <v>9.1999999999999998E-2</v>
      </c>
      <c r="CD21" s="213">
        <f t="shared" ca="1" si="12"/>
        <v>12.167693200000002</v>
      </c>
      <c r="CE21" s="214">
        <f t="shared" ca="1" si="13"/>
        <v>0.85173852400000016</v>
      </c>
      <c r="CF21" s="215">
        <f>VLOOKUP(L21,'Impostos e Frete'!$A$3:$C$7,3,0)</f>
        <v>105</v>
      </c>
      <c r="CG21" s="215">
        <f t="shared" si="14"/>
        <v>90</v>
      </c>
      <c r="CH21" s="215">
        <f t="shared" si="15"/>
        <v>-15</v>
      </c>
      <c r="CI21" s="216">
        <f t="shared" ca="1" si="16"/>
        <v>9.0918025439288286E-2</v>
      </c>
      <c r="CJ21" s="217">
        <f t="shared" ca="1" si="17"/>
        <v>12.25861122543929</v>
      </c>
      <c r="CK21" s="218">
        <f t="shared" ca="1" si="18"/>
        <v>0.85810278578075039</v>
      </c>
    </row>
    <row r="22" spans="1:89">
      <c r="A22" s="176">
        <v>10963</v>
      </c>
      <c r="B22" s="177">
        <v>689</v>
      </c>
      <c r="C22" s="178">
        <v>70</v>
      </c>
      <c r="D22" s="178">
        <v>1870</v>
      </c>
      <c r="E22" s="178" t="s">
        <v>50</v>
      </c>
      <c r="F22" s="179" t="s">
        <v>67</v>
      </c>
      <c r="G22" s="185" t="s">
        <v>377</v>
      </c>
      <c r="H22" s="178" t="s">
        <v>373</v>
      </c>
      <c r="I22" s="178"/>
      <c r="J22" s="178"/>
      <c r="K22" s="178"/>
      <c r="L22" s="178" t="s">
        <v>59</v>
      </c>
      <c r="M22" s="178">
        <v>90</v>
      </c>
      <c r="N22" s="178"/>
      <c r="O22" s="178"/>
      <c r="P22" s="178"/>
      <c r="Q22" s="178"/>
      <c r="R22" s="178" t="s">
        <v>19</v>
      </c>
      <c r="S22" s="181"/>
      <c r="T22" s="181"/>
      <c r="U22" s="182"/>
      <c r="V22" s="182" t="s">
        <v>35</v>
      </c>
      <c r="W22" s="183">
        <v>50</v>
      </c>
      <c r="X22" s="182" t="s">
        <v>51</v>
      </c>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v>1890</v>
      </c>
      <c r="BH22" s="184">
        <v>1890</v>
      </c>
      <c r="BI22" s="184">
        <v>1890</v>
      </c>
      <c r="BJ22" s="184"/>
      <c r="BK22" s="184"/>
      <c r="BL22" s="184"/>
      <c r="BM22" s="184"/>
      <c r="BN22" s="184"/>
      <c r="BO22" s="184"/>
      <c r="BP22" s="184"/>
      <c r="BQ22" s="184"/>
      <c r="BR22" s="184"/>
      <c r="BS22" s="184"/>
      <c r="BT22" s="184"/>
      <c r="BU22" s="146" cm="1">
        <f t="array" ref="BU22">LOOKUP(2,1/(Y22:BT22&lt;&gt;""),Y22:BH22)</f>
        <v>1890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46023</v>
      </c>
      <c r="BW22" s="211" cm="1">
        <f t="array" ref="BW22">(LOOKUP(2,1/(BH22:BT22&lt;&gt;""),BH22:BT22))/(INDEX(BH22:BT22,MATCH(TRUE,INDEX((BH22:BT22&lt;&gt;0),0),0)))-1</f>
        <v>0</v>
      </c>
      <c r="BX22" s="212">
        <f t="shared" si="10"/>
        <v>1.89</v>
      </c>
      <c r="BY22" s="212">
        <f t="shared" si="1"/>
        <v>11.151</v>
      </c>
      <c r="BZ22" s="212">
        <f ca="1">IF(L22="BR",'Impostos e Frete'!$F$6,IF(L22="EU",'Impostos e Frete'!$I$3,IF(L22="CN",'Impostos e Frete'!$I$4,IF(L22="JP",'Impostos e Frete'!$I$5,IF(L22="RU",'Impostos e Frete'!$I$7,"ERRO")))))</f>
        <v>0.14176320000000001</v>
      </c>
      <c r="CA22" s="212">
        <f>VLOOKUP(L22,'Impostos e Frete'!$A$3:$B$7,2,0)*'Preços e Condições'!BY22</f>
        <v>1.44963</v>
      </c>
      <c r="CB22" s="147">
        <f t="shared" si="11"/>
        <v>0</v>
      </c>
      <c r="CC22" s="147">
        <f>IF(X22="BRL",'Impostos e Frete'!$B$11,'Impostos e Frete'!$B$12)</f>
        <v>9.1999999999999998E-2</v>
      </c>
      <c r="CD22" s="213">
        <f t="shared" ca="1" si="12"/>
        <v>12.834393199999999</v>
      </c>
      <c r="CE22" s="214">
        <f t="shared" ca="1" si="13"/>
        <v>0.8984075239999999</v>
      </c>
      <c r="CF22" s="215">
        <f>VLOOKUP(L22,'Impostos e Frete'!$A$3:$C$7,3,0)</f>
        <v>105</v>
      </c>
      <c r="CG22" s="215">
        <f t="shared" si="14"/>
        <v>90</v>
      </c>
      <c r="CH22" s="215">
        <f t="shared" si="15"/>
        <v>-15</v>
      </c>
      <c r="CI22" s="216">
        <f t="shared" ca="1" si="16"/>
        <v>9.5899663829085213E-2</v>
      </c>
      <c r="CJ22" s="217">
        <f t="shared" ca="1" si="17"/>
        <v>12.930292863829084</v>
      </c>
      <c r="CK22" s="218">
        <f t="shared" ca="1" si="18"/>
        <v>0.90512050046803594</v>
      </c>
    </row>
    <row r="23" spans="1:89">
      <c r="A23" s="176">
        <v>10963</v>
      </c>
      <c r="B23" s="177">
        <v>689</v>
      </c>
      <c r="C23" s="178">
        <v>70</v>
      </c>
      <c r="D23" s="178">
        <v>1870</v>
      </c>
      <c r="E23" s="178" t="s">
        <v>50</v>
      </c>
      <c r="F23" s="179" t="s">
        <v>67</v>
      </c>
      <c r="G23" s="185" t="s">
        <v>377</v>
      </c>
      <c r="H23" s="178" t="s">
        <v>373</v>
      </c>
      <c r="I23" s="178"/>
      <c r="J23" s="178"/>
      <c r="K23" s="178"/>
      <c r="L23" s="178" t="s">
        <v>59</v>
      </c>
      <c r="M23" s="178">
        <v>90</v>
      </c>
      <c r="N23" s="178"/>
      <c r="O23" s="178"/>
      <c r="P23" s="178"/>
      <c r="Q23" s="178"/>
      <c r="R23" s="178" t="s">
        <v>19</v>
      </c>
      <c r="S23" s="181"/>
      <c r="T23" s="181"/>
      <c r="U23" s="182"/>
      <c r="V23" s="182" t="s">
        <v>35</v>
      </c>
      <c r="W23" s="183">
        <v>25</v>
      </c>
      <c r="X23" s="182" t="s">
        <v>51</v>
      </c>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v>2350</v>
      </c>
      <c r="BH23" s="184">
        <v>2350</v>
      </c>
      <c r="BI23" s="184">
        <v>2350</v>
      </c>
      <c r="BJ23" s="184"/>
      <c r="BK23" s="184"/>
      <c r="BL23" s="184"/>
      <c r="BM23" s="184"/>
      <c r="BN23" s="184"/>
      <c r="BO23" s="184"/>
      <c r="BP23" s="184"/>
      <c r="BQ23" s="184"/>
      <c r="BR23" s="184"/>
      <c r="BS23" s="184"/>
      <c r="BT23" s="184"/>
      <c r="BU23" s="146" cm="1">
        <f t="array" ref="BU23">LOOKUP(2,1/(Y23:BT23&lt;&gt;""),Y23:BH23)</f>
        <v>2350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46023</v>
      </c>
      <c r="BW23" s="211" cm="1">
        <f t="array" ref="BW23">(LOOKUP(2,1/(BH23:BT23&lt;&gt;""),BH23:BT23))/(INDEX(BH23:BT23,MATCH(TRUE,INDEX((BH23:BT23&lt;&gt;0),0),0)))-1</f>
        <v>0</v>
      </c>
      <c r="BX23" s="212">
        <f t="shared" si="10"/>
        <v>2.35</v>
      </c>
      <c r="BY23" s="212">
        <f t="shared" si="1"/>
        <v>13.865000000000002</v>
      </c>
      <c r="BZ23" s="212">
        <f ca="1">IF(L23="BR",'Impostos e Frete'!$F$6,IF(L23="EU",'Impostos e Frete'!$I$3,IF(L23="CN",'Impostos e Frete'!$I$4,IF(L23="JP",'Impostos e Frete'!$I$5,IF(L23="RU",'Impostos e Frete'!$I$7,"ERRO")))))</f>
        <v>0.14176320000000001</v>
      </c>
      <c r="CA23" s="212">
        <f>VLOOKUP(L23,'Impostos e Frete'!$A$3:$B$7,2,0)*'Preços e Condições'!BY23</f>
        <v>1.8024500000000003</v>
      </c>
      <c r="CB23" s="147">
        <f t="shared" si="11"/>
        <v>0</v>
      </c>
      <c r="CC23" s="147">
        <f>IF(X23="BRL",'Impostos e Frete'!$B$11,'Impostos e Frete'!$B$12)</f>
        <v>9.1999999999999998E-2</v>
      </c>
      <c r="CD23" s="213">
        <f t="shared" ca="1" si="12"/>
        <v>15.901213200000003</v>
      </c>
      <c r="CE23" s="214">
        <f t="shared" ca="1" si="13"/>
        <v>1.1130849240000003</v>
      </c>
      <c r="CF23" s="215">
        <f>VLOOKUP(L23,'Impostos e Frete'!$A$3:$C$7,3,0)</f>
        <v>105</v>
      </c>
      <c r="CG23" s="215">
        <f t="shared" si="14"/>
        <v>90</v>
      </c>
      <c r="CH23" s="215">
        <f t="shared" si="15"/>
        <v>-15</v>
      </c>
      <c r="CI23" s="216">
        <f t="shared" ca="1" si="16"/>
        <v>0.11881520042214255</v>
      </c>
      <c r="CJ23" s="217">
        <f t="shared" ca="1" si="17"/>
        <v>16.020028400422145</v>
      </c>
      <c r="CK23" s="218">
        <f t="shared" ca="1" si="18"/>
        <v>1.1214019880295503</v>
      </c>
    </row>
    <row r="24" spans="1:89">
      <c r="A24" s="176">
        <v>18854</v>
      </c>
      <c r="B24" s="177">
        <v>244</v>
      </c>
      <c r="C24" s="178">
        <v>65</v>
      </c>
      <c r="D24" s="178">
        <v>1870</v>
      </c>
      <c r="E24" s="178" t="s">
        <v>50</v>
      </c>
      <c r="F24" s="179" t="s">
        <v>3</v>
      </c>
      <c r="G24" s="180" t="s">
        <v>299</v>
      </c>
      <c r="H24" s="178" t="s">
        <v>42</v>
      </c>
      <c r="I24" s="178" t="s">
        <v>105</v>
      </c>
      <c r="J24" s="178"/>
      <c r="K24" s="178"/>
      <c r="L24" s="178" t="s">
        <v>60</v>
      </c>
      <c r="M24" s="178">
        <v>90</v>
      </c>
      <c r="N24" s="178">
        <v>3300</v>
      </c>
      <c r="O24" s="178"/>
      <c r="P24" s="178">
        <v>90</v>
      </c>
      <c r="Q24" s="178"/>
      <c r="R24" s="178" t="s">
        <v>19</v>
      </c>
      <c r="S24" s="181"/>
      <c r="T24" s="181"/>
      <c r="U24" s="182"/>
      <c r="V24" s="182" t="s">
        <v>35</v>
      </c>
      <c r="W24" s="183">
        <v>100</v>
      </c>
      <c r="X24" s="182" t="s">
        <v>267</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v>13500</v>
      </c>
      <c r="BA24" s="184">
        <v>13500</v>
      </c>
      <c r="BB24" s="184">
        <v>13500</v>
      </c>
      <c r="BC24" s="184"/>
      <c r="BD24" s="184"/>
      <c r="BE24" s="184"/>
      <c r="BF24" s="184"/>
      <c r="BG24" s="184"/>
      <c r="BH24" s="184"/>
      <c r="BI24" s="184"/>
      <c r="BJ24" s="184"/>
      <c r="BK24" s="184"/>
      <c r="BL24" s="184"/>
      <c r="BM24" s="184"/>
      <c r="BN24" s="184"/>
      <c r="BO24" s="184"/>
      <c r="BP24" s="184"/>
      <c r="BQ24" s="184"/>
      <c r="BR24" s="184"/>
      <c r="BS24" s="184"/>
      <c r="BT24" s="184"/>
      <c r="BU24" s="146" cm="1">
        <f t="array" ref="BU24">LOOKUP(2,1/(Y24:BT24&lt;&gt;""),Y24:BH24)</f>
        <v>13500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45809</v>
      </c>
      <c r="BW24" s="211" t="e" cm="1">
        <f t="array" ref="BW24">(LOOKUP(2,1/(BH24:BT24&lt;&gt;""),BH24:BT24))/(INDEX(BH24:BT24,MATCH(TRUE,INDEX((BH24:BT24&lt;&gt;0),0),0)))-1</f>
        <v>#N/A</v>
      </c>
      <c r="BX24" s="212">
        <f t="shared" si="10"/>
        <v>13.5</v>
      </c>
      <c r="BY24" s="212">
        <f t="shared" si="1"/>
        <v>10.125</v>
      </c>
      <c r="BZ24" s="212">
        <f ca="1">IF(L24="BR",'Impostos e Frete'!$F$6,IF(L24="EU",'Impostos e Frete'!$I$3,IF(L24="CN",'Impostos e Frete'!$I$4,IF(L24="JP",'Impostos e Frete'!$I$5,IF(L24="RU",'Impostos e Frete'!$I$7,"ERRO")))))</f>
        <v>1.11958</v>
      </c>
      <c r="CA24" s="212">
        <f>VLOOKUP(L24,'Impostos e Frete'!$A$3:$B$7,2,0)*'Preços e Condições'!BY24</f>
        <v>1.4175000000000002</v>
      </c>
      <c r="CB24" s="147">
        <f t="shared" si="11"/>
        <v>0</v>
      </c>
      <c r="CC24" s="147">
        <f>IF(X24="BRL",'Impostos e Frete'!$B$11,'Impostos e Frete'!$B$12)</f>
        <v>9.1999999999999998E-2</v>
      </c>
      <c r="CD24" s="213">
        <f t="shared" ca="1" si="12"/>
        <v>12.75408</v>
      </c>
      <c r="CE24" s="214">
        <f t="shared" ca="1" si="13"/>
        <v>0.82901519999999995</v>
      </c>
      <c r="CF24" s="215">
        <f>VLOOKUP(L24,'Impostos e Frete'!$A$3:$C$7,3,0)</f>
        <v>120</v>
      </c>
      <c r="CG24" s="215">
        <f t="shared" si="14"/>
        <v>90</v>
      </c>
      <c r="CH24" s="215">
        <f t="shared" si="15"/>
        <v>-30</v>
      </c>
      <c r="CI24" s="216">
        <f t="shared" ca="1" si="16"/>
        <v>0.19131119999999946</v>
      </c>
      <c r="CJ24" s="217">
        <f t="shared" ca="1" si="17"/>
        <v>12.9453912</v>
      </c>
      <c r="CK24" s="218">
        <f t="shared" ca="1" si="18"/>
        <v>0.84145042800000003</v>
      </c>
    </row>
    <row r="25" spans="1:89">
      <c r="A25" s="176">
        <v>18854</v>
      </c>
      <c r="B25" s="177">
        <v>244</v>
      </c>
      <c r="C25" s="178">
        <v>65</v>
      </c>
      <c r="D25" s="178">
        <v>1870</v>
      </c>
      <c r="E25" s="178" t="s">
        <v>50</v>
      </c>
      <c r="F25" s="179" t="s">
        <v>3</v>
      </c>
      <c r="G25" s="180" t="s">
        <v>299</v>
      </c>
      <c r="H25" s="178" t="s">
        <v>42</v>
      </c>
      <c r="I25" s="178" t="s">
        <v>105</v>
      </c>
      <c r="J25" s="178"/>
      <c r="K25" s="178"/>
      <c r="L25" s="178" t="s">
        <v>60</v>
      </c>
      <c r="M25" s="178">
        <v>90</v>
      </c>
      <c r="N25" s="178">
        <v>400</v>
      </c>
      <c r="O25" s="178"/>
      <c r="P25" s="178">
        <v>90</v>
      </c>
      <c r="Q25" s="178"/>
      <c r="R25" s="178" t="s">
        <v>19</v>
      </c>
      <c r="S25" s="181"/>
      <c r="T25" s="181"/>
      <c r="U25" s="182"/>
      <c r="V25" s="182" t="s">
        <v>35</v>
      </c>
      <c r="W25" s="183">
        <v>100</v>
      </c>
      <c r="X25" s="182" t="s">
        <v>51</v>
      </c>
      <c r="Y25" s="184"/>
      <c r="Z25" s="184"/>
      <c r="AA25" s="184"/>
      <c r="AB25" s="184">
        <v>1800</v>
      </c>
      <c r="AC25" s="184">
        <v>1800</v>
      </c>
      <c r="AD25" s="184">
        <v>1800</v>
      </c>
      <c r="AE25" s="184">
        <v>1800</v>
      </c>
      <c r="AF25" s="184">
        <v>1800</v>
      </c>
      <c r="AG25" s="184">
        <v>1800</v>
      </c>
      <c r="AH25" s="184">
        <v>1800</v>
      </c>
      <c r="AI25" s="184">
        <v>1800</v>
      </c>
      <c r="AJ25" s="184">
        <v>1800</v>
      </c>
      <c r="AK25" s="184">
        <v>1800</v>
      </c>
      <c r="AL25" s="184">
        <v>1800</v>
      </c>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46" cm="1">
        <f t="array" ref="BU25">LOOKUP(2,1/(Y25:BT25&lt;&gt;""),Y25:BH25)</f>
        <v>1800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45323</v>
      </c>
      <c r="BW25" s="211" t="e" cm="1">
        <f t="array" ref="BW25">(LOOKUP(2,1/(BH25:BT25&lt;&gt;""),BH25:BT25))/(INDEX(BH25:BT25,MATCH(TRUE,INDEX((BH25:BT25&lt;&gt;0),0),0)))-1</f>
        <v>#N/A</v>
      </c>
      <c r="BX25" s="212">
        <f t="shared" si="10"/>
        <v>1.8</v>
      </c>
      <c r="BY25" s="212">
        <f t="shared" si="1"/>
        <v>10.620000000000001</v>
      </c>
      <c r="BZ25" s="212">
        <f ca="1">IF(L25="BR",'Impostos e Frete'!$F$6,IF(L25="EU",'Impostos e Frete'!$I$3,IF(L25="CN",'Impostos e Frete'!$I$4,IF(L25="JP",'Impostos e Frete'!$I$5,IF(L25="RU",'Impostos e Frete'!$I$7,"ERRO")))))</f>
        <v>1.11958</v>
      </c>
      <c r="CA25" s="212">
        <f>VLOOKUP(L25,'Impostos e Frete'!$A$3:$B$7,2,0)*'Preços e Condições'!BY25</f>
        <v>1.4868000000000003</v>
      </c>
      <c r="CB25" s="147">
        <f t="shared" si="11"/>
        <v>0</v>
      </c>
      <c r="CC25" s="147">
        <f>IF(X25="BRL",'Impostos e Frete'!$B$11,'Impostos e Frete'!$B$12)</f>
        <v>9.1999999999999998E-2</v>
      </c>
      <c r="CD25" s="213">
        <f t="shared" ca="1" si="12"/>
        <v>13.318380000000001</v>
      </c>
      <c r="CE25" s="214">
        <f t="shared" ca="1" si="13"/>
        <v>0.86569470000000004</v>
      </c>
      <c r="CF25" s="215">
        <f>VLOOKUP(L25,'Impostos e Frete'!$A$3:$C$7,3,0)</f>
        <v>120</v>
      </c>
      <c r="CG25" s="215">
        <f t="shared" si="14"/>
        <v>90</v>
      </c>
      <c r="CH25" s="215">
        <f t="shared" si="15"/>
        <v>-30</v>
      </c>
      <c r="CI25" s="216">
        <f t="shared" ca="1" si="16"/>
        <v>0.19977569999999822</v>
      </c>
      <c r="CJ25" s="217">
        <f t="shared" ca="1" si="17"/>
        <v>13.518155699999999</v>
      </c>
      <c r="CK25" s="218">
        <f t="shared" ca="1" si="18"/>
        <v>0.87868012049999999</v>
      </c>
    </row>
    <row r="26" spans="1:89">
      <c r="A26" s="176">
        <v>18855</v>
      </c>
      <c r="B26" s="177">
        <v>483</v>
      </c>
      <c r="C26" s="178">
        <v>68</v>
      </c>
      <c r="D26" s="178">
        <v>1870</v>
      </c>
      <c r="E26" s="178" t="s">
        <v>50</v>
      </c>
      <c r="F26" s="179" t="s">
        <v>3</v>
      </c>
      <c r="G26" s="180" t="s">
        <v>97</v>
      </c>
      <c r="H26" s="178" t="s">
        <v>63</v>
      </c>
      <c r="I26" s="178" t="s">
        <v>98</v>
      </c>
      <c r="J26" s="178"/>
      <c r="K26" s="178"/>
      <c r="L26" s="178" t="s">
        <v>60</v>
      </c>
      <c r="M26" s="178">
        <v>90</v>
      </c>
      <c r="N26" s="178">
        <v>3300</v>
      </c>
      <c r="O26" s="178"/>
      <c r="P26" s="178">
        <v>90</v>
      </c>
      <c r="Q26" s="178"/>
      <c r="R26" s="178" t="s">
        <v>19</v>
      </c>
      <c r="S26" s="181"/>
      <c r="T26" s="181"/>
      <c r="U26" s="182"/>
      <c r="V26" s="182" t="s">
        <v>35</v>
      </c>
      <c r="W26" s="183">
        <v>100</v>
      </c>
      <c r="X26" s="182" t="s">
        <v>267</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v>12600</v>
      </c>
      <c r="BA26" s="184">
        <v>12600</v>
      </c>
      <c r="BB26" s="184">
        <v>12600</v>
      </c>
      <c r="BC26" s="184">
        <v>12600</v>
      </c>
      <c r="BD26" s="184">
        <v>12600</v>
      </c>
      <c r="BE26" s="184">
        <v>12600</v>
      </c>
      <c r="BF26" s="184">
        <v>12600</v>
      </c>
      <c r="BG26" s="184">
        <v>12000</v>
      </c>
      <c r="BH26" s="184">
        <v>12000</v>
      </c>
      <c r="BI26" s="184">
        <v>12000</v>
      </c>
      <c r="BJ26" s="184"/>
      <c r="BK26" s="184"/>
      <c r="BL26" s="184"/>
      <c r="BM26" s="184"/>
      <c r="BN26" s="184"/>
      <c r="BO26" s="184"/>
      <c r="BP26" s="184"/>
      <c r="BQ26" s="184"/>
      <c r="BR26" s="184"/>
      <c r="BS26" s="184"/>
      <c r="BT26" s="184"/>
      <c r="BU26" s="146" cm="1">
        <f t="array" ref="BU26">LOOKUP(2,1/(Y26:BT26&lt;&gt;""),Y26:BH26)</f>
        <v>12000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46023</v>
      </c>
      <c r="BW26" s="211" cm="1">
        <f t="array" ref="BW26">(LOOKUP(2,1/(BH26:BT26&lt;&gt;""),BH26:BT26))/(INDEX(BH26:BT26,MATCH(TRUE,INDEX((BH26:BT26&lt;&gt;0),0),0)))-1</f>
        <v>0</v>
      </c>
      <c r="BX26" s="212">
        <f t="shared" si="10"/>
        <v>12</v>
      </c>
      <c r="BY26" s="212">
        <f t="shared" si="1"/>
        <v>9</v>
      </c>
      <c r="BZ26" s="212">
        <f ca="1">IF(L26="BR",'Impostos e Frete'!$F$6,IF(L26="EU",'Impostos e Frete'!$I$3,IF(L26="CN",'Impostos e Frete'!$I$4,IF(L26="JP",'Impostos e Frete'!$I$5,IF(L26="RU",'Impostos e Frete'!$I$7,"ERRO")))))</f>
        <v>1.11958</v>
      </c>
      <c r="CA26" s="212">
        <f>VLOOKUP(L26,'Impostos e Frete'!$A$3:$B$7,2,0)*'Preços e Condições'!BY26</f>
        <v>1.2600000000000002</v>
      </c>
      <c r="CB26" s="147">
        <f t="shared" si="11"/>
        <v>0</v>
      </c>
      <c r="CC26" s="147">
        <f>IF(X26="BRL",'Impostos e Frete'!$B$11,'Impostos e Frete'!$B$12)</f>
        <v>9.1999999999999998E-2</v>
      </c>
      <c r="CD26" s="213">
        <f t="shared" ca="1" si="12"/>
        <v>11.471579999999999</v>
      </c>
      <c r="CE26" s="214">
        <f t="shared" ca="1" si="13"/>
        <v>0.78006743999999995</v>
      </c>
      <c r="CF26" s="215">
        <f>VLOOKUP(L26,'Impostos e Frete'!$A$3:$C$7,3,0)</f>
        <v>120</v>
      </c>
      <c r="CG26" s="215">
        <f t="shared" si="14"/>
        <v>90</v>
      </c>
      <c r="CH26" s="215">
        <f t="shared" si="15"/>
        <v>-30</v>
      </c>
      <c r="CI26" s="216">
        <f t="shared" ca="1" si="16"/>
        <v>0.17207369999999855</v>
      </c>
      <c r="CJ26" s="217">
        <f t="shared" ca="1" si="17"/>
        <v>11.643653699999998</v>
      </c>
      <c r="CK26" s="218">
        <f t="shared" ca="1" si="18"/>
        <v>0.79176845159999987</v>
      </c>
    </row>
    <row r="27" spans="1:89">
      <c r="A27" s="176">
        <v>18855</v>
      </c>
      <c r="B27" s="177">
        <v>483</v>
      </c>
      <c r="C27" s="178">
        <v>68</v>
      </c>
      <c r="D27" s="178">
        <v>1870</v>
      </c>
      <c r="E27" s="178" t="s">
        <v>50</v>
      </c>
      <c r="F27" s="179" t="s">
        <v>3</v>
      </c>
      <c r="G27" s="180" t="s">
        <v>97</v>
      </c>
      <c r="H27" s="178" t="s">
        <v>63</v>
      </c>
      <c r="I27" s="178" t="s">
        <v>98</v>
      </c>
      <c r="J27" s="178"/>
      <c r="K27" s="178"/>
      <c r="L27" s="178" t="s">
        <v>60</v>
      </c>
      <c r="M27" s="178">
        <v>90</v>
      </c>
      <c r="N27" s="178">
        <v>400</v>
      </c>
      <c r="O27" s="178"/>
      <c r="P27" s="178">
        <v>90</v>
      </c>
      <c r="Q27" s="178"/>
      <c r="R27" s="178" t="s">
        <v>19</v>
      </c>
      <c r="S27" s="181"/>
      <c r="T27" s="181"/>
      <c r="U27" s="182"/>
      <c r="V27" s="182" t="s">
        <v>35</v>
      </c>
      <c r="W27" s="183">
        <v>150</v>
      </c>
      <c r="X27" s="182" t="s">
        <v>51</v>
      </c>
      <c r="Y27" s="184"/>
      <c r="Z27" s="184"/>
      <c r="AA27" s="184"/>
      <c r="AB27" s="184">
        <v>1800</v>
      </c>
      <c r="AC27" s="184">
        <v>1800</v>
      </c>
      <c r="AD27" s="184">
        <v>1800</v>
      </c>
      <c r="AE27" s="184">
        <v>1800</v>
      </c>
      <c r="AF27" s="184">
        <v>1800</v>
      </c>
      <c r="AG27" s="184">
        <v>1800</v>
      </c>
      <c r="AH27" s="184">
        <v>1800</v>
      </c>
      <c r="AI27" s="184">
        <v>1800</v>
      </c>
      <c r="AJ27" s="184">
        <v>1800</v>
      </c>
      <c r="AK27" s="184">
        <v>1800</v>
      </c>
      <c r="AL27" s="184">
        <v>1800</v>
      </c>
      <c r="AM27" s="184">
        <v>1650</v>
      </c>
      <c r="AN27" s="184">
        <v>1650</v>
      </c>
      <c r="AO27" s="184">
        <v>1650</v>
      </c>
      <c r="AP27" s="184">
        <v>1650</v>
      </c>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46" cm="1">
        <f t="array" ref="BU27">LOOKUP(2,1/(Y27:BT27&lt;&gt;""),Y27:BH27)</f>
        <v>1650</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45444</v>
      </c>
      <c r="BW27" s="211" t="e" cm="1">
        <f t="array" ref="BW27">(LOOKUP(2,1/(BH27:BT27&lt;&gt;""),BH27:BT27))/(INDEX(BH27:BT27,MATCH(TRUE,INDEX((BH27:BT27&lt;&gt;0),0),0)))-1</f>
        <v>#N/A</v>
      </c>
      <c r="BX27" s="212">
        <f t="shared" si="10"/>
        <v>1.65</v>
      </c>
      <c r="BY27" s="212">
        <f t="shared" si="1"/>
        <v>9.7349999999999994</v>
      </c>
      <c r="BZ27" s="212">
        <f ca="1">IF(L27="BR",'Impostos e Frete'!$F$6,IF(L27="EU",'Impostos e Frete'!$I$3,IF(L27="CN",'Impostos e Frete'!$I$4,IF(L27="JP",'Impostos e Frete'!$I$5,IF(L27="RU",'Impostos e Frete'!$I$7,"ERRO")))))</f>
        <v>1.11958</v>
      </c>
      <c r="CA27" s="212">
        <f>VLOOKUP(L27,'Impostos e Frete'!$A$3:$B$7,2,0)*'Preços e Condições'!BY27</f>
        <v>1.3629</v>
      </c>
      <c r="CB27" s="147">
        <f t="shared" si="11"/>
        <v>0</v>
      </c>
      <c r="CC27" s="147">
        <f>IF(X27="BRL",'Impostos e Frete'!$B$11,'Impostos e Frete'!$B$12)</f>
        <v>9.1999999999999998E-2</v>
      </c>
      <c r="CD27" s="213">
        <f t="shared" ca="1" si="12"/>
        <v>12.309479999999999</v>
      </c>
      <c r="CE27" s="214">
        <f t="shared" ca="1" si="13"/>
        <v>0.83704464000000001</v>
      </c>
      <c r="CF27" s="215">
        <f>VLOOKUP(L27,'Impostos e Frete'!$A$3:$C$7,3,0)</f>
        <v>120</v>
      </c>
      <c r="CG27" s="215">
        <f t="shared" si="14"/>
        <v>90</v>
      </c>
      <c r="CH27" s="215">
        <f t="shared" si="15"/>
        <v>-30</v>
      </c>
      <c r="CI27" s="216">
        <f t="shared" ca="1" si="16"/>
        <v>0.18464219999999898</v>
      </c>
      <c r="CJ27" s="217">
        <f t="shared" ca="1" si="17"/>
        <v>12.494122199999998</v>
      </c>
      <c r="CK27" s="218">
        <f t="shared" ca="1" si="18"/>
        <v>0.84960030959999977</v>
      </c>
    </row>
    <row r="28" spans="1:89">
      <c r="A28" s="176">
        <v>18855</v>
      </c>
      <c r="B28" s="177">
        <v>483</v>
      </c>
      <c r="C28" s="178">
        <v>68</v>
      </c>
      <c r="D28" s="178">
        <v>1870</v>
      </c>
      <c r="E28" s="178" t="s">
        <v>50</v>
      </c>
      <c r="F28" s="179" t="s">
        <v>3</v>
      </c>
      <c r="G28" s="180" t="s">
        <v>97</v>
      </c>
      <c r="H28" s="178" t="s">
        <v>63</v>
      </c>
      <c r="I28" s="178" t="s">
        <v>98</v>
      </c>
      <c r="J28" s="178"/>
      <c r="K28" s="178"/>
      <c r="L28" s="178" t="s">
        <v>60</v>
      </c>
      <c r="M28" s="178">
        <v>90</v>
      </c>
      <c r="N28" s="178">
        <v>400</v>
      </c>
      <c r="O28" s="178"/>
      <c r="P28" s="178">
        <v>90</v>
      </c>
      <c r="Q28" s="178"/>
      <c r="R28" s="178" t="s">
        <v>19</v>
      </c>
      <c r="S28" s="181"/>
      <c r="T28" s="181"/>
      <c r="U28" s="182"/>
      <c r="V28" s="182" t="s">
        <v>35</v>
      </c>
      <c r="W28" s="183">
        <v>100</v>
      </c>
      <c r="X28" s="182" t="s">
        <v>51</v>
      </c>
      <c r="Y28" s="184"/>
      <c r="Z28" s="184"/>
      <c r="AA28" s="184"/>
      <c r="AB28" s="184">
        <v>1800</v>
      </c>
      <c r="AC28" s="184">
        <v>1800</v>
      </c>
      <c r="AD28" s="184">
        <v>1800</v>
      </c>
      <c r="AE28" s="184">
        <v>1800</v>
      </c>
      <c r="AF28" s="184">
        <v>1800</v>
      </c>
      <c r="AG28" s="184">
        <v>1800</v>
      </c>
      <c r="AH28" s="184">
        <v>1800</v>
      </c>
      <c r="AI28" s="184">
        <v>1800</v>
      </c>
      <c r="AJ28" s="184">
        <v>1800</v>
      </c>
      <c r="AK28" s="184">
        <v>1800</v>
      </c>
      <c r="AL28" s="184">
        <v>1800</v>
      </c>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46" cm="1">
        <f t="array" ref="BU28">LOOKUP(2,1/(Y28:BT28&lt;&gt;""),Y28:BH28)</f>
        <v>1800</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45323</v>
      </c>
      <c r="BW28" s="211" t="e" cm="1">
        <f t="array" ref="BW28">(LOOKUP(2,1/(BH28:BT28&lt;&gt;""),BH28:BT28))/(INDEX(BH28:BT28,MATCH(TRUE,INDEX((BH28:BT28&lt;&gt;0),0),0)))-1</f>
        <v>#N/A</v>
      </c>
      <c r="BX28" s="212">
        <f t="shared" si="10"/>
        <v>1.8</v>
      </c>
      <c r="BY28" s="212">
        <f t="shared" si="1"/>
        <v>10.620000000000001</v>
      </c>
      <c r="BZ28" s="212">
        <f ca="1">IF(L28="BR",'Impostos e Frete'!$F$6,IF(L28="EU",'Impostos e Frete'!$I$3,IF(L28="CN",'Impostos e Frete'!$I$4,IF(L28="JP",'Impostos e Frete'!$I$5,IF(L28="RU",'Impostos e Frete'!$I$7,"ERRO")))))</f>
        <v>1.11958</v>
      </c>
      <c r="CA28" s="212">
        <f>VLOOKUP(L28,'Impostos e Frete'!$A$3:$B$7,2,0)*'Preços e Condições'!BY28</f>
        <v>1.4868000000000003</v>
      </c>
      <c r="CB28" s="147">
        <f t="shared" si="11"/>
        <v>0</v>
      </c>
      <c r="CC28" s="147">
        <f>IF(X28="BRL",'Impostos e Frete'!$B$11,'Impostos e Frete'!$B$12)</f>
        <v>9.1999999999999998E-2</v>
      </c>
      <c r="CD28" s="213">
        <f t="shared" ca="1" si="12"/>
        <v>13.318380000000001</v>
      </c>
      <c r="CE28" s="214">
        <f t="shared" ca="1" si="13"/>
        <v>0.90564984000000004</v>
      </c>
      <c r="CF28" s="215">
        <f>VLOOKUP(L28,'Impostos e Frete'!$A$3:$C$7,3,0)</f>
        <v>120</v>
      </c>
      <c r="CG28" s="215">
        <f t="shared" si="14"/>
        <v>90</v>
      </c>
      <c r="CH28" s="215">
        <f t="shared" si="15"/>
        <v>-30</v>
      </c>
      <c r="CI28" s="216">
        <f t="shared" ca="1" si="16"/>
        <v>0.19977569999999822</v>
      </c>
      <c r="CJ28" s="217">
        <f t="shared" ca="1" si="17"/>
        <v>13.518155699999999</v>
      </c>
      <c r="CK28" s="218">
        <f t="shared" ca="1" si="18"/>
        <v>0.91923458759999999</v>
      </c>
    </row>
    <row r="29" spans="1:89">
      <c r="A29" s="176">
        <v>18856</v>
      </c>
      <c r="B29" s="177">
        <v>689</v>
      </c>
      <c r="C29" s="178">
        <v>68</v>
      </c>
      <c r="D29" s="178">
        <v>1870</v>
      </c>
      <c r="E29" s="178" t="s">
        <v>50</v>
      </c>
      <c r="F29" s="179" t="s">
        <v>3</v>
      </c>
      <c r="G29" s="180" t="s">
        <v>101</v>
      </c>
      <c r="H29" s="178" t="s">
        <v>63</v>
      </c>
      <c r="I29" s="178" t="s">
        <v>102</v>
      </c>
      <c r="J29" s="178"/>
      <c r="K29" s="178"/>
      <c r="L29" s="178" t="s">
        <v>60</v>
      </c>
      <c r="M29" s="178">
        <v>90</v>
      </c>
      <c r="N29" s="178">
        <v>3300</v>
      </c>
      <c r="O29" s="178"/>
      <c r="P29" s="178">
        <v>90</v>
      </c>
      <c r="Q29" s="178"/>
      <c r="R29" s="178" t="s">
        <v>19</v>
      </c>
      <c r="S29" s="181"/>
      <c r="T29" s="181"/>
      <c r="U29" s="182"/>
      <c r="V29" s="182" t="s">
        <v>35</v>
      </c>
      <c r="W29" s="183">
        <v>100</v>
      </c>
      <c r="X29" s="182" t="s">
        <v>267</v>
      </c>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v>12600</v>
      </c>
      <c r="BA29" s="184">
        <v>12600</v>
      </c>
      <c r="BB29" s="184">
        <v>12600</v>
      </c>
      <c r="BC29" s="184">
        <v>12600</v>
      </c>
      <c r="BD29" s="184">
        <v>12600</v>
      </c>
      <c r="BE29" s="184">
        <v>12600</v>
      </c>
      <c r="BF29" s="184">
        <v>12600</v>
      </c>
      <c r="BG29" s="184">
        <v>12000</v>
      </c>
      <c r="BH29" s="184">
        <v>12000</v>
      </c>
      <c r="BI29" s="184">
        <v>12000</v>
      </c>
      <c r="BJ29" s="184"/>
      <c r="BK29" s="184"/>
      <c r="BL29" s="184"/>
      <c r="BM29" s="184"/>
      <c r="BN29" s="184"/>
      <c r="BO29" s="184"/>
      <c r="BP29" s="184"/>
      <c r="BQ29" s="184"/>
      <c r="BR29" s="184"/>
      <c r="BS29" s="184"/>
      <c r="BT29" s="184"/>
      <c r="BU29" s="146" cm="1">
        <f t="array" ref="BU29">LOOKUP(2,1/(Y29:BT29&lt;&gt;""),Y29:BH29)</f>
        <v>12000</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46023</v>
      </c>
      <c r="BW29" s="211" cm="1">
        <f t="array" ref="BW29">(LOOKUP(2,1/(BH29:BT29&lt;&gt;""),BH29:BT29))/(INDEX(BH29:BT29,MATCH(TRUE,INDEX((BH29:BT29&lt;&gt;0),0),0)))-1</f>
        <v>0</v>
      </c>
      <c r="BX29" s="212">
        <f t="shared" si="10"/>
        <v>12</v>
      </c>
      <c r="BY29" s="212">
        <f t="shared" si="1"/>
        <v>9</v>
      </c>
      <c r="BZ29" s="212">
        <f ca="1">IF(L29="BR",'Impostos e Frete'!$F$6,IF(L29="EU",'Impostos e Frete'!$I$3,IF(L29="CN",'Impostos e Frete'!$I$4,IF(L29="JP",'Impostos e Frete'!$I$5,IF(L29="RU",'Impostos e Frete'!$I$7,"ERRO")))))</f>
        <v>1.11958</v>
      </c>
      <c r="CA29" s="212">
        <f>VLOOKUP(L29,'Impostos e Frete'!$A$3:$B$7,2,0)*'Preços e Condições'!BY29</f>
        <v>1.2600000000000002</v>
      </c>
      <c r="CB29" s="147">
        <f t="shared" si="11"/>
        <v>0</v>
      </c>
      <c r="CC29" s="147">
        <f>IF(X29="BRL",'Impostos e Frete'!$B$11,'Impostos e Frete'!$B$12)</f>
        <v>9.1999999999999998E-2</v>
      </c>
      <c r="CD29" s="213">
        <f t="shared" ca="1" si="12"/>
        <v>11.471579999999999</v>
      </c>
      <c r="CE29" s="214">
        <f t="shared" ca="1" si="13"/>
        <v>0.78006743999999995</v>
      </c>
      <c r="CF29" s="215">
        <f>VLOOKUP(L29,'Impostos e Frete'!$A$3:$C$7,3,0)</f>
        <v>120</v>
      </c>
      <c r="CG29" s="215">
        <f t="shared" si="14"/>
        <v>90</v>
      </c>
      <c r="CH29" s="215">
        <f t="shared" si="15"/>
        <v>-30</v>
      </c>
      <c r="CI29" s="216">
        <f t="shared" ca="1" si="16"/>
        <v>0.17207369999999855</v>
      </c>
      <c r="CJ29" s="217">
        <f t="shared" ca="1" si="17"/>
        <v>11.643653699999998</v>
      </c>
      <c r="CK29" s="218">
        <f t="shared" ca="1" si="18"/>
        <v>0.79176845159999987</v>
      </c>
    </row>
    <row r="30" spans="1:89">
      <c r="A30" s="176">
        <v>18856</v>
      </c>
      <c r="B30" s="177">
        <v>689</v>
      </c>
      <c r="C30" s="178">
        <v>68</v>
      </c>
      <c r="D30" s="178">
        <v>1870</v>
      </c>
      <c r="E30" s="178" t="s">
        <v>50</v>
      </c>
      <c r="F30" s="179" t="s">
        <v>3</v>
      </c>
      <c r="G30" s="180" t="s">
        <v>101</v>
      </c>
      <c r="H30" s="178" t="s">
        <v>63</v>
      </c>
      <c r="I30" s="178" t="s">
        <v>102</v>
      </c>
      <c r="J30" s="178"/>
      <c r="K30" s="178"/>
      <c r="L30" s="178" t="s">
        <v>60</v>
      </c>
      <c r="M30" s="178">
        <v>90</v>
      </c>
      <c r="N30" s="178">
        <v>400</v>
      </c>
      <c r="O30" s="178"/>
      <c r="P30" s="178">
        <v>90</v>
      </c>
      <c r="Q30" s="178"/>
      <c r="R30" s="178" t="s">
        <v>19</v>
      </c>
      <c r="S30" s="181"/>
      <c r="T30" s="181"/>
      <c r="U30" s="182"/>
      <c r="V30" s="182" t="s">
        <v>35</v>
      </c>
      <c r="W30" s="183">
        <v>150</v>
      </c>
      <c r="X30" s="182" t="s">
        <v>51</v>
      </c>
      <c r="Y30" s="184"/>
      <c r="Z30" s="184"/>
      <c r="AA30" s="184"/>
      <c r="AB30" s="184">
        <v>1800</v>
      </c>
      <c r="AC30" s="184">
        <v>1800</v>
      </c>
      <c r="AD30" s="184">
        <v>1800</v>
      </c>
      <c r="AE30" s="184">
        <v>1800</v>
      </c>
      <c r="AF30" s="184">
        <v>1800</v>
      </c>
      <c r="AG30" s="184">
        <v>1800</v>
      </c>
      <c r="AH30" s="184">
        <v>1800</v>
      </c>
      <c r="AI30" s="184">
        <v>1800</v>
      </c>
      <c r="AJ30" s="184">
        <v>1800</v>
      </c>
      <c r="AK30" s="184">
        <v>1800</v>
      </c>
      <c r="AL30" s="184">
        <v>1800</v>
      </c>
      <c r="AM30" s="184">
        <v>1650</v>
      </c>
      <c r="AN30" s="184">
        <v>1650</v>
      </c>
      <c r="AO30" s="184">
        <v>1650</v>
      </c>
      <c r="AP30" s="184">
        <v>1650</v>
      </c>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46" cm="1">
        <f t="array" ref="BU30">LOOKUP(2,1/(Y30:BT30&lt;&gt;""),Y30:BH30)</f>
        <v>1650</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45444</v>
      </c>
      <c r="BW30" s="211" t="e" cm="1">
        <f t="array" ref="BW30">(LOOKUP(2,1/(BH30:BT30&lt;&gt;""),BH30:BT30))/(INDEX(BH30:BT30,MATCH(TRUE,INDEX((BH30:BT30&lt;&gt;0),0),0)))-1</f>
        <v>#N/A</v>
      </c>
      <c r="BX30" s="212">
        <f t="shared" si="10"/>
        <v>1.65</v>
      </c>
      <c r="BY30" s="212">
        <f t="shared" si="1"/>
        <v>9.7349999999999994</v>
      </c>
      <c r="BZ30" s="212">
        <f ca="1">IF(L30="BR",'Impostos e Frete'!$F$6,IF(L30="EU",'Impostos e Frete'!$I$3,IF(L30="CN",'Impostos e Frete'!$I$4,IF(L30="JP",'Impostos e Frete'!$I$5,IF(L30="RU",'Impostos e Frete'!$I$7,"ERRO")))))</f>
        <v>1.11958</v>
      </c>
      <c r="CA30" s="212">
        <f>VLOOKUP(L30,'Impostos e Frete'!$A$3:$B$7,2,0)*'Preços e Condições'!BY30</f>
        <v>1.3629</v>
      </c>
      <c r="CB30" s="147">
        <f t="shared" si="11"/>
        <v>0</v>
      </c>
      <c r="CC30" s="147">
        <f>IF(X30="BRL",'Impostos e Frete'!$B$11,'Impostos e Frete'!$B$12)</f>
        <v>9.1999999999999998E-2</v>
      </c>
      <c r="CD30" s="213">
        <f t="shared" ca="1" si="12"/>
        <v>12.309479999999999</v>
      </c>
      <c r="CE30" s="214">
        <f t="shared" ca="1" si="13"/>
        <v>0.83704464000000001</v>
      </c>
      <c r="CF30" s="215">
        <f>VLOOKUP(L30,'Impostos e Frete'!$A$3:$C$7,3,0)</f>
        <v>120</v>
      </c>
      <c r="CG30" s="215">
        <f t="shared" si="14"/>
        <v>90</v>
      </c>
      <c r="CH30" s="215">
        <f t="shared" si="15"/>
        <v>-30</v>
      </c>
      <c r="CI30" s="216">
        <f t="shared" ca="1" si="16"/>
        <v>0.18464219999999898</v>
      </c>
      <c r="CJ30" s="217">
        <f t="shared" ca="1" si="17"/>
        <v>12.494122199999998</v>
      </c>
      <c r="CK30" s="218">
        <f t="shared" ca="1" si="18"/>
        <v>0.84960030959999977</v>
      </c>
    </row>
    <row r="31" spans="1:89">
      <c r="A31" s="176">
        <v>18856</v>
      </c>
      <c r="B31" s="177">
        <v>689</v>
      </c>
      <c r="C31" s="178">
        <v>68</v>
      </c>
      <c r="D31" s="178">
        <v>1870</v>
      </c>
      <c r="E31" s="178" t="s">
        <v>50</v>
      </c>
      <c r="F31" s="179" t="s">
        <v>3</v>
      </c>
      <c r="G31" s="180" t="s">
        <v>101</v>
      </c>
      <c r="H31" s="178" t="s">
        <v>63</v>
      </c>
      <c r="I31" s="178" t="s">
        <v>102</v>
      </c>
      <c r="J31" s="178"/>
      <c r="K31" s="178"/>
      <c r="L31" s="178" t="s">
        <v>60</v>
      </c>
      <c r="M31" s="178">
        <v>90</v>
      </c>
      <c r="N31" s="178">
        <v>400</v>
      </c>
      <c r="O31" s="178"/>
      <c r="P31" s="178">
        <v>90</v>
      </c>
      <c r="Q31" s="178"/>
      <c r="R31" s="178" t="s">
        <v>19</v>
      </c>
      <c r="S31" s="181"/>
      <c r="T31" s="181"/>
      <c r="U31" s="182"/>
      <c r="V31" s="182" t="s">
        <v>35</v>
      </c>
      <c r="W31" s="183">
        <v>100</v>
      </c>
      <c r="X31" s="182" t="s">
        <v>51</v>
      </c>
      <c r="Y31" s="184"/>
      <c r="Z31" s="184"/>
      <c r="AA31" s="184"/>
      <c r="AB31" s="184">
        <v>1800</v>
      </c>
      <c r="AC31" s="184">
        <v>1800</v>
      </c>
      <c r="AD31" s="184">
        <v>1800</v>
      </c>
      <c r="AE31" s="184">
        <v>1800</v>
      </c>
      <c r="AF31" s="184">
        <v>1800</v>
      </c>
      <c r="AG31" s="184">
        <v>1800</v>
      </c>
      <c r="AH31" s="184">
        <v>1800</v>
      </c>
      <c r="AI31" s="184">
        <v>1800</v>
      </c>
      <c r="AJ31" s="184">
        <v>1800</v>
      </c>
      <c r="AK31" s="184">
        <v>1800</v>
      </c>
      <c r="AL31" s="184">
        <v>1800</v>
      </c>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46" cm="1">
        <f t="array" ref="BU31">LOOKUP(2,1/(Y31:BT31&lt;&gt;""),Y31:BH31)</f>
        <v>1800</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45323</v>
      </c>
      <c r="BW31" s="211" t="e" cm="1">
        <f t="array" ref="BW31">(LOOKUP(2,1/(BH31:BT31&lt;&gt;""),BH31:BT31))/(INDEX(BH31:BT31,MATCH(TRUE,INDEX((BH31:BT31&lt;&gt;0),0),0)))-1</f>
        <v>#N/A</v>
      </c>
      <c r="BX31" s="212">
        <f t="shared" si="10"/>
        <v>1.8</v>
      </c>
      <c r="BY31" s="212">
        <f t="shared" si="1"/>
        <v>10.620000000000001</v>
      </c>
      <c r="BZ31" s="212">
        <f ca="1">IF(L31="BR",'Impostos e Frete'!$F$6,IF(L31="EU",'Impostos e Frete'!$I$3,IF(L31="CN",'Impostos e Frete'!$I$4,IF(L31="JP",'Impostos e Frete'!$I$5,IF(L31="RU",'Impostos e Frete'!$I$7,"ERRO")))))</f>
        <v>1.11958</v>
      </c>
      <c r="CA31" s="212">
        <f>VLOOKUP(L31,'Impostos e Frete'!$A$3:$B$7,2,0)*'Preços e Condições'!BY31</f>
        <v>1.4868000000000003</v>
      </c>
      <c r="CB31" s="147">
        <f t="shared" si="11"/>
        <v>0</v>
      </c>
      <c r="CC31" s="147">
        <f>IF(X31="BRL",'Impostos e Frete'!$B$11,'Impostos e Frete'!$B$12)</f>
        <v>9.1999999999999998E-2</v>
      </c>
      <c r="CD31" s="213">
        <f t="shared" ca="1" si="12"/>
        <v>13.318380000000001</v>
      </c>
      <c r="CE31" s="214">
        <f t="shared" ca="1" si="13"/>
        <v>0.90564984000000004</v>
      </c>
      <c r="CF31" s="215">
        <f>VLOOKUP(L31,'Impostos e Frete'!$A$3:$C$7,3,0)</f>
        <v>120</v>
      </c>
      <c r="CG31" s="215">
        <f t="shared" si="14"/>
        <v>90</v>
      </c>
      <c r="CH31" s="215">
        <f t="shared" si="15"/>
        <v>-30</v>
      </c>
      <c r="CI31" s="216">
        <f t="shared" ca="1" si="16"/>
        <v>0.19977569999999822</v>
      </c>
      <c r="CJ31" s="217">
        <f t="shared" ca="1" si="17"/>
        <v>13.518155699999999</v>
      </c>
      <c r="CK31" s="218">
        <f t="shared" ca="1" si="18"/>
        <v>0.91923458759999999</v>
      </c>
    </row>
    <row r="32" spans="1:89">
      <c r="A32" s="176">
        <v>18857</v>
      </c>
      <c r="B32" s="177">
        <v>128</v>
      </c>
      <c r="C32" s="178">
        <v>65</v>
      </c>
      <c r="D32" s="178">
        <v>1870</v>
      </c>
      <c r="E32" s="178" t="s">
        <v>50</v>
      </c>
      <c r="F32" s="179" t="s">
        <v>3</v>
      </c>
      <c r="G32" s="180" t="s">
        <v>298</v>
      </c>
      <c r="H32" s="178" t="s">
        <v>43</v>
      </c>
      <c r="I32" s="178" t="s">
        <v>337</v>
      </c>
      <c r="J32" s="178"/>
      <c r="K32" s="178"/>
      <c r="L32" s="178" t="s">
        <v>60</v>
      </c>
      <c r="M32" s="178">
        <v>90</v>
      </c>
      <c r="N32" s="178">
        <v>3300</v>
      </c>
      <c r="O32" s="178"/>
      <c r="P32" s="178">
        <v>90</v>
      </c>
      <c r="Q32" s="178"/>
      <c r="R32" s="178" t="s">
        <v>19</v>
      </c>
      <c r="S32" s="181"/>
      <c r="T32" s="181"/>
      <c r="U32" s="182"/>
      <c r="V32" s="182" t="s">
        <v>35</v>
      </c>
      <c r="W32" s="183">
        <v>100</v>
      </c>
      <c r="X32" s="182" t="s">
        <v>267</v>
      </c>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v>12100</v>
      </c>
      <c r="BA32" s="184">
        <v>12100</v>
      </c>
      <c r="BB32" s="184">
        <v>12100</v>
      </c>
      <c r="BC32" s="184"/>
      <c r="BD32" s="184"/>
      <c r="BE32" s="184"/>
      <c r="BF32" s="184"/>
      <c r="BG32" s="184"/>
      <c r="BH32" s="184"/>
      <c r="BI32" s="184"/>
      <c r="BJ32" s="184"/>
      <c r="BK32" s="184"/>
      <c r="BL32" s="184"/>
      <c r="BM32" s="184"/>
      <c r="BN32" s="184"/>
      <c r="BO32" s="184"/>
      <c r="BP32" s="184"/>
      <c r="BQ32" s="184"/>
      <c r="BR32" s="184"/>
      <c r="BS32" s="184"/>
      <c r="BT32" s="184"/>
      <c r="BU32" s="146" cm="1">
        <f t="array" ref="BU32">LOOKUP(2,1/(Y32:BT32&lt;&gt;""),Y32:BH32)</f>
        <v>12100</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45809</v>
      </c>
      <c r="BW32" s="211" t="e" cm="1">
        <f t="array" ref="BW32">(LOOKUP(2,1/(BH32:BT32&lt;&gt;""),BH32:BT32))/(INDEX(BH32:BT32,MATCH(TRUE,INDEX((BH32:BT32&lt;&gt;0),0),0)))-1</f>
        <v>#N/A</v>
      </c>
      <c r="BX32" s="212">
        <f t="shared" si="10"/>
        <v>12.1</v>
      </c>
      <c r="BY32" s="212">
        <f t="shared" si="1"/>
        <v>9.0749999999999993</v>
      </c>
      <c r="BZ32" s="212">
        <f ca="1">IF(L32="BR",'Impostos e Frete'!$F$6,IF(L32="EU",'Impostos e Frete'!$I$3,IF(L32="CN",'Impostos e Frete'!$I$4,IF(L32="JP",'Impostos e Frete'!$I$5,IF(L32="RU",'Impostos e Frete'!$I$7,"ERRO")))))</f>
        <v>1.11958</v>
      </c>
      <c r="CA32" s="212">
        <f>VLOOKUP(L32,'Impostos e Frete'!$A$3:$B$7,2,0)*'Preços e Condições'!BY32</f>
        <v>1.2705</v>
      </c>
      <c r="CB32" s="147">
        <f t="shared" si="11"/>
        <v>0</v>
      </c>
      <c r="CC32" s="147">
        <f>IF(X32="BRL",'Impostos e Frete'!$B$11,'Impostos e Frete'!$B$12)</f>
        <v>9.1999999999999998E-2</v>
      </c>
      <c r="CD32" s="213">
        <f t="shared" ca="1" si="12"/>
        <v>11.557079999999999</v>
      </c>
      <c r="CE32" s="214">
        <f t="shared" ca="1" si="13"/>
        <v>0.75121019999999994</v>
      </c>
      <c r="CF32" s="215">
        <f>VLOOKUP(L32,'Impostos e Frete'!$A$3:$C$7,3,0)</f>
        <v>120</v>
      </c>
      <c r="CG32" s="215">
        <f t="shared" si="14"/>
        <v>90</v>
      </c>
      <c r="CH32" s="215">
        <f t="shared" si="15"/>
        <v>-30</v>
      </c>
      <c r="CI32" s="216">
        <f t="shared" ca="1" si="16"/>
        <v>0.17335619999999885</v>
      </c>
      <c r="CJ32" s="217">
        <f t="shared" ca="1" si="17"/>
        <v>11.730436199999998</v>
      </c>
      <c r="CK32" s="218">
        <f t="shared" ca="1" si="18"/>
        <v>0.76247835299999989</v>
      </c>
    </row>
    <row r="33" spans="1:92">
      <c r="A33" s="176">
        <v>18857</v>
      </c>
      <c r="B33" s="177">
        <v>128</v>
      </c>
      <c r="C33" s="178">
        <v>65</v>
      </c>
      <c r="D33" s="178">
        <v>1870</v>
      </c>
      <c r="E33" s="178" t="s">
        <v>50</v>
      </c>
      <c r="F33" s="179" t="s">
        <v>3</v>
      </c>
      <c r="G33" s="180" t="s">
        <v>298</v>
      </c>
      <c r="H33" s="178" t="s">
        <v>43</v>
      </c>
      <c r="I33" s="178" t="s">
        <v>337</v>
      </c>
      <c r="J33" s="178"/>
      <c r="K33" s="178"/>
      <c r="L33" s="178" t="s">
        <v>60</v>
      </c>
      <c r="M33" s="178">
        <v>90</v>
      </c>
      <c r="N33" s="178">
        <v>400</v>
      </c>
      <c r="O33" s="178"/>
      <c r="P33" s="178">
        <v>90</v>
      </c>
      <c r="Q33" s="178"/>
      <c r="R33" s="178" t="s">
        <v>19</v>
      </c>
      <c r="S33" s="181"/>
      <c r="T33" s="181"/>
      <c r="U33" s="182"/>
      <c r="V33" s="182" t="s">
        <v>35</v>
      </c>
      <c r="W33" s="183">
        <v>100</v>
      </c>
      <c r="X33" s="182" t="s">
        <v>51</v>
      </c>
      <c r="Y33" s="184"/>
      <c r="Z33" s="184"/>
      <c r="AA33" s="184"/>
      <c r="AB33" s="184">
        <v>1750</v>
      </c>
      <c r="AC33" s="184">
        <v>1750</v>
      </c>
      <c r="AD33" s="184">
        <v>1750</v>
      </c>
      <c r="AE33" s="184">
        <v>1750</v>
      </c>
      <c r="AF33" s="184">
        <v>1750</v>
      </c>
      <c r="AG33" s="184">
        <v>1750</v>
      </c>
      <c r="AH33" s="184">
        <v>1750</v>
      </c>
      <c r="AI33" s="184">
        <v>1750</v>
      </c>
      <c r="AJ33" s="184">
        <v>1750</v>
      </c>
      <c r="AK33" s="184">
        <v>1750</v>
      </c>
      <c r="AL33" s="184">
        <v>1750</v>
      </c>
      <c r="AM33" s="184">
        <v>1600</v>
      </c>
      <c r="AN33" s="184">
        <v>1600</v>
      </c>
      <c r="AO33" s="184">
        <v>1600</v>
      </c>
      <c r="AP33" s="184">
        <v>1600</v>
      </c>
      <c r="AQ33" s="184"/>
      <c r="AR33" s="184"/>
      <c r="AS33" s="184"/>
      <c r="AT33" s="184"/>
      <c r="AU33" s="184"/>
      <c r="AV33" s="184"/>
      <c r="AW33" s="184"/>
      <c r="AX33" s="184"/>
      <c r="AY33" s="184"/>
      <c r="AZ33" s="184"/>
      <c r="BA33" s="184"/>
      <c r="BB33" s="184"/>
      <c r="BC33" s="184"/>
      <c r="BD33" s="184"/>
      <c r="BE33" s="184"/>
      <c r="BF33" s="184"/>
      <c r="BG33" s="184"/>
      <c r="BH33" s="184"/>
      <c r="BI33" s="184"/>
      <c r="BJ33" s="184"/>
      <c r="BK33" s="184"/>
      <c r="BL33" s="184"/>
      <c r="BM33" s="184"/>
      <c r="BN33" s="184"/>
      <c r="BO33" s="184"/>
      <c r="BP33" s="184"/>
      <c r="BQ33" s="184"/>
      <c r="BR33" s="184"/>
      <c r="BS33" s="184"/>
      <c r="BT33" s="184"/>
      <c r="BU33" s="146" cm="1">
        <f t="array" ref="BU33">LOOKUP(2,1/(Y33:BT33&lt;&gt;""),Y33:BH33)</f>
        <v>1600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45444</v>
      </c>
      <c r="BW33" s="211" t="e" cm="1">
        <f t="array" ref="BW33">(LOOKUP(2,1/(BH33:BT33&lt;&gt;""),BH33:BT33))/(INDEX(BH33:BT33,MATCH(TRUE,INDEX((BH33:BT33&lt;&gt;0),0),0)))-1</f>
        <v>#N/A</v>
      </c>
      <c r="BX33" s="212">
        <f t="shared" si="10"/>
        <v>1.6</v>
      </c>
      <c r="BY33" s="212">
        <f t="shared" si="1"/>
        <v>9.4400000000000013</v>
      </c>
      <c r="BZ33" s="212">
        <f ca="1">IF(L33="BR",'Impostos e Frete'!$F$6,IF(L33="EU",'Impostos e Frete'!$I$3,IF(L33="CN",'Impostos e Frete'!$I$4,IF(L33="JP",'Impostos e Frete'!$I$5,IF(L33="RU",'Impostos e Frete'!$I$7,"ERRO")))))</f>
        <v>1.11958</v>
      </c>
      <c r="CA33" s="212">
        <f>VLOOKUP(L33,'Impostos e Frete'!$A$3:$B$7,2,0)*'Preços e Condições'!BY33</f>
        <v>1.3216000000000003</v>
      </c>
      <c r="CB33" s="147">
        <f t="shared" si="11"/>
        <v>0</v>
      </c>
      <c r="CC33" s="147">
        <f>IF(X33="BRL",'Impostos e Frete'!$B$11,'Impostos e Frete'!$B$12)</f>
        <v>9.1999999999999998E-2</v>
      </c>
      <c r="CD33" s="213">
        <f t="shared" ca="1" si="12"/>
        <v>11.973180000000001</v>
      </c>
      <c r="CE33" s="214">
        <f t="shared" ca="1" si="13"/>
        <v>0.77825670000000013</v>
      </c>
      <c r="CF33" s="215">
        <f>VLOOKUP(L33,'Impostos e Frete'!$A$3:$C$7,3,0)</f>
        <v>120</v>
      </c>
      <c r="CG33" s="215">
        <f t="shared" si="14"/>
        <v>90</v>
      </c>
      <c r="CH33" s="215">
        <f t="shared" si="15"/>
        <v>-30</v>
      </c>
      <c r="CI33" s="216">
        <f t="shared" ca="1" si="16"/>
        <v>0.17959769999999864</v>
      </c>
      <c r="CJ33" s="217">
        <f t="shared" ca="1" si="17"/>
        <v>12.1527777</v>
      </c>
      <c r="CK33" s="218">
        <f t="shared" ca="1" si="18"/>
        <v>0.78993055049999994</v>
      </c>
    </row>
    <row r="34" spans="1:92">
      <c r="A34" s="176">
        <v>18858</v>
      </c>
      <c r="B34" s="177">
        <v>301</v>
      </c>
      <c r="C34" s="178">
        <v>65</v>
      </c>
      <c r="D34" s="178">
        <v>1870</v>
      </c>
      <c r="E34" s="178" t="s">
        <v>50</v>
      </c>
      <c r="F34" s="179" t="s">
        <v>3</v>
      </c>
      <c r="G34" s="180" t="s">
        <v>104</v>
      </c>
      <c r="H34" s="178" t="s">
        <v>347</v>
      </c>
      <c r="I34" s="178" t="s">
        <v>103</v>
      </c>
      <c r="J34" s="178"/>
      <c r="K34" s="178"/>
      <c r="L34" s="178" t="s">
        <v>60</v>
      </c>
      <c r="M34" s="178">
        <v>90</v>
      </c>
      <c r="N34" s="178">
        <v>3300</v>
      </c>
      <c r="O34" s="178"/>
      <c r="P34" s="178">
        <v>90</v>
      </c>
      <c r="Q34" s="178"/>
      <c r="R34" s="178" t="s">
        <v>19</v>
      </c>
      <c r="S34" s="181"/>
      <c r="T34" s="181"/>
      <c r="U34" s="182"/>
      <c r="V34" s="182" t="s">
        <v>35</v>
      </c>
      <c r="W34" s="183">
        <v>100</v>
      </c>
      <c r="X34" s="182" t="s">
        <v>267</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v>13650</v>
      </c>
      <c r="BA34" s="184">
        <v>13650</v>
      </c>
      <c r="BB34" s="184">
        <v>13650</v>
      </c>
      <c r="BC34" s="184"/>
      <c r="BD34" s="184"/>
      <c r="BE34" s="184"/>
      <c r="BF34" s="184"/>
      <c r="BG34" s="184"/>
      <c r="BH34" s="184"/>
      <c r="BI34" s="184"/>
      <c r="BJ34" s="184"/>
      <c r="BK34" s="184"/>
      <c r="BL34" s="184"/>
      <c r="BM34" s="184"/>
      <c r="BN34" s="184"/>
      <c r="BO34" s="184"/>
      <c r="BP34" s="184"/>
      <c r="BQ34" s="184"/>
      <c r="BR34" s="184"/>
      <c r="BS34" s="184"/>
      <c r="BT34" s="184"/>
      <c r="BU34" s="146" cm="1">
        <f t="array" ref="BU34">LOOKUP(2,1/(Y34:BT34&lt;&gt;""),Y34:BH34)</f>
        <v>13650</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45809</v>
      </c>
      <c r="BW34" s="211" t="e" cm="1">
        <f t="array" ref="BW34">(LOOKUP(2,1/(BH34:BT34&lt;&gt;""),BH34:BT34))/(INDEX(BH34:BT34,MATCH(TRUE,INDEX((BH34:BT34&lt;&gt;0),0),0)))-1</f>
        <v>#N/A</v>
      </c>
      <c r="BX34" s="212">
        <f t="shared" si="10"/>
        <v>13.65</v>
      </c>
      <c r="BY34" s="212">
        <f t="shared" si="1"/>
        <v>10.237500000000001</v>
      </c>
      <c r="BZ34" s="212">
        <f ca="1">IF(L34="BR",'Impostos e Frete'!$F$6,IF(L34="EU",'Impostos e Frete'!$I$3,IF(L34="CN",'Impostos e Frete'!$I$4,IF(L34="JP",'Impostos e Frete'!$I$5,IF(L34="RU",'Impostos e Frete'!$I$7,"ERRO")))))</f>
        <v>1.11958</v>
      </c>
      <c r="CA34" s="212">
        <f>VLOOKUP(L34,'Impostos e Frete'!$A$3:$B$7,2,0)*'Preços e Condições'!BY34</f>
        <v>1.4332500000000001</v>
      </c>
      <c r="CB34" s="147">
        <f t="shared" si="11"/>
        <v>0</v>
      </c>
      <c r="CC34" s="147">
        <f>IF(X34="BRL",'Impostos e Frete'!$B$11,'Impostos e Frete'!$B$12)</f>
        <v>9.1999999999999998E-2</v>
      </c>
      <c r="CD34" s="213">
        <f t="shared" ca="1" si="12"/>
        <v>12.882330000000001</v>
      </c>
      <c r="CE34" s="214">
        <f t="shared" ca="1" si="13"/>
        <v>0.83735145000000011</v>
      </c>
      <c r="CF34" s="215">
        <f>VLOOKUP(L34,'Impostos e Frete'!$A$3:$C$7,3,0)</f>
        <v>120</v>
      </c>
      <c r="CG34" s="215">
        <f t="shared" si="14"/>
        <v>90</v>
      </c>
      <c r="CH34" s="215">
        <f t="shared" si="15"/>
        <v>-30</v>
      </c>
      <c r="CI34" s="216">
        <f t="shared" ca="1" si="16"/>
        <v>0.19323494999999902</v>
      </c>
      <c r="CJ34" s="217">
        <f t="shared" ca="1" si="17"/>
        <v>13.07556495</v>
      </c>
      <c r="CK34" s="218">
        <f t="shared" ca="1" si="18"/>
        <v>0.84991172174999996</v>
      </c>
    </row>
    <row r="35" spans="1:92">
      <c r="A35" s="176">
        <v>18858</v>
      </c>
      <c r="B35" s="177">
        <v>301</v>
      </c>
      <c r="C35" s="178">
        <v>65</v>
      </c>
      <c r="D35" s="178">
        <v>1870</v>
      </c>
      <c r="E35" s="178" t="s">
        <v>50</v>
      </c>
      <c r="F35" s="179" t="s">
        <v>3</v>
      </c>
      <c r="G35" s="180" t="s">
        <v>104</v>
      </c>
      <c r="H35" s="178" t="s">
        <v>347</v>
      </c>
      <c r="I35" s="178" t="s">
        <v>103</v>
      </c>
      <c r="J35" s="178"/>
      <c r="K35" s="178"/>
      <c r="L35" s="178" t="s">
        <v>60</v>
      </c>
      <c r="M35" s="178">
        <v>90</v>
      </c>
      <c r="N35" s="178">
        <v>400</v>
      </c>
      <c r="O35" s="178"/>
      <c r="P35" s="178">
        <v>90</v>
      </c>
      <c r="Q35" s="178"/>
      <c r="R35" s="178" t="s">
        <v>19</v>
      </c>
      <c r="S35" s="181"/>
      <c r="T35" s="181"/>
      <c r="U35" s="182"/>
      <c r="V35" s="182" t="s">
        <v>35</v>
      </c>
      <c r="W35" s="183">
        <v>100</v>
      </c>
      <c r="X35" s="182" t="s">
        <v>51</v>
      </c>
      <c r="Y35" s="184"/>
      <c r="Z35" s="184"/>
      <c r="AA35" s="184"/>
      <c r="AB35" s="184">
        <v>1800</v>
      </c>
      <c r="AC35" s="184">
        <v>1800</v>
      </c>
      <c r="AD35" s="184">
        <v>1800</v>
      </c>
      <c r="AE35" s="184">
        <v>1800</v>
      </c>
      <c r="AF35" s="184">
        <v>1800</v>
      </c>
      <c r="AG35" s="184">
        <v>1800</v>
      </c>
      <c r="AH35" s="184">
        <v>1800</v>
      </c>
      <c r="AI35" s="184">
        <v>1800</v>
      </c>
      <c r="AJ35" s="184">
        <v>1800</v>
      </c>
      <c r="AK35" s="184">
        <v>1800</v>
      </c>
      <c r="AL35" s="184">
        <v>1800</v>
      </c>
      <c r="AM35" s="184"/>
      <c r="AN35" s="184"/>
      <c r="AO35" s="184"/>
      <c r="AP35" s="184"/>
      <c r="AQ35" s="184"/>
      <c r="AR35" s="184"/>
      <c r="AS35" s="184"/>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1800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45323</v>
      </c>
      <c r="BW35" s="211" t="e" cm="1">
        <f t="array" ref="BW35">(LOOKUP(2,1/(BH35:BT35&lt;&gt;""),BH35:BT35))/(INDEX(BH35:BT35,MATCH(TRUE,INDEX((BH35:BT35&lt;&gt;0),0),0)))-1</f>
        <v>#N/A</v>
      </c>
      <c r="BX35" s="212">
        <f t="shared" si="10"/>
        <v>1.8</v>
      </c>
      <c r="BY35" s="212">
        <f t="shared" si="1"/>
        <v>10.620000000000001</v>
      </c>
      <c r="BZ35" s="212">
        <f ca="1">IF(L35="BR",'Impostos e Frete'!$F$6,IF(L35="EU",'Impostos e Frete'!$I$3,IF(L35="CN",'Impostos e Frete'!$I$4,IF(L35="JP",'Impostos e Frete'!$I$5,IF(L35="RU",'Impostos e Frete'!$I$7,"ERRO")))))</f>
        <v>1.11958</v>
      </c>
      <c r="CA35" s="212">
        <f>VLOOKUP(L35,'Impostos e Frete'!$A$3:$B$7,2,0)*'Preços e Condições'!BY35</f>
        <v>1.4868000000000003</v>
      </c>
      <c r="CB35" s="147">
        <f t="shared" si="11"/>
        <v>0</v>
      </c>
      <c r="CC35" s="147">
        <f>IF(X35="BRL",'Impostos e Frete'!$B$11,'Impostos e Frete'!$B$12)</f>
        <v>9.1999999999999998E-2</v>
      </c>
      <c r="CD35" s="213">
        <f t="shared" ca="1" si="12"/>
        <v>13.318380000000001</v>
      </c>
      <c r="CE35" s="214">
        <f t="shared" ca="1" si="13"/>
        <v>0.86569470000000004</v>
      </c>
      <c r="CF35" s="215">
        <f>VLOOKUP(L35,'Impostos e Frete'!$A$3:$C$7,3,0)</f>
        <v>120</v>
      </c>
      <c r="CG35" s="215">
        <f t="shared" si="14"/>
        <v>90</v>
      </c>
      <c r="CH35" s="215">
        <f t="shared" si="15"/>
        <v>-30</v>
      </c>
      <c r="CI35" s="216">
        <f t="shared" ca="1" si="16"/>
        <v>0.19977569999999822</v>
      </c>
      <c r="CJ35" s="217">
        <f t="shared" ca="1" si="17"/>
        <v>13.518155699999999</v>
      </c>
      <c r="CK35" s="218">
        <f t="shared" ca="1" si="18"/>
        <v>0.87868012049999999</v>
      </c>
      <c r="CL35" s="187"/>
      <c r="CM35" s="187"/>
      <c r="CN35" s="187"/>
    </row>
    <row r="36" spans="1:92">
      <c r="A36" s="176">
        <v>18860</v>
      </c>
      <c r="B36" s="177">
        <v>689</v>
      </c>
      <c r="C36" s="178">
        <v>68</v>
      </c>
      <c r="D36" s="178">
        <v>1270</v>
      </c>
      <c r="E36" s="178" t="s">
        <v>50</v>
      </c>
      <c r="F36" s="179" t="s">
        <v>3</v>
      </c>
      <c r="G36" s="180" t="s">
        <v>101</v>
      </c>
      <c r="H36" s="178" t="s">
        <v>63</v>
      </c>
      <c r="I36" s="178" t="s">
        <v>102</v>
      </c>
      <c r="J36" s="178"/>
      <c r="K36" s="178"/>
      <c r="L36" s="178" t="s">
        <v>60</v>
      </c>
      <c r="M36" s="178">
        <v>90</v>
      </c>
      <c r="N36" s="178">
        <v>3300</v>
      </c>
      <c r="O36" s="178"/>
      <c r="P36" s="178">
        <v>90</v>
      </c>
      <c r="Q36" s="178"/>
      <c r="R36" s="178" t="s">
        <v>19</v>
      </c>
      <c r="S36" s="181"/>
      <c r="T36" s="181"/>
      <c r="U36" s="182"/>
      <c r="V36" s="182" t="s">
        <v>35</v>
      </c>
      <c r="W36" s="183">
        <v>100</v>
      </c>
      <c r="X36" s="182" t="s">
        <v>267</v>
      </c>
      <c r="Y36" s="184"/>
      <c r="Z36" s="184"/>
      <c r="AA36" s="184"/>
      <c r="AB36" s="184"/>
      <c r="AC36" s="184"/>
      <c r="AD36" s="184"/>
      <c r="AE36" s="184"/>
      <c r="AF36" s="184"/>
      <c r="AG36" s="184"/>
      <c r="AH36" s="184"/>
      <c r="AI36" s="184"/>
      <c r="AJ36" s="184"/>
      <c r="AK36" s="184"/>
      <c r="AL36" s="184"/>
      <c r="AM36" s="184"/>
      <c r="AN36" s="184"/>
      <c r="AO36" s="184"/>
      <c r="AP36" s="184"/>
      <c r="AQ36" s="184"/>
      <c r="AR36" s="184"/>
      <c r="AS36" s="184"/>
      <c r="AT36" s="184"/>
      <c r="AU36" s="184"/>
      <c r="AV36" s="184"/>
      <c r="AW36" s="184"/>
      <c r="AX36" s="184"/>
      <c r="AY36" s="184"/>
      <c r="AZ36" s="184">
        <v>12600</v>
      </c>
      <c r="BA36" s="184">
        <v>12600</v>
      </c>
      <c r="BB36" s="184">
        <v>12600</v>
      </c>
      <c r="BC36" s="184">
        <v>12600</v>
      </c>
      <c r="BD36" s="184">
        <v>12600</v>
      </c>
      <c r="BE36" s="184">
        <v>12600</v>
      </c>
      <c r="BF36" s="184">
        <v>12600</v>
      </c>
      <c r="BG36" s="184">
        <v>12000</v>
      </c>
      <c r="BH36" s="184">
        <v>12000</v>
      </c>
      <c r="BI36" s="184">
        <v>12000</v>
      </c>
      <c r="BJ36" s="184"/>
      <c r="BK36" s="184"/>
      <c r="BL36" s="184"/>
      <c r="BM36" s="184"/>
      <c r="BN36" s="184"/>
      <c r="BO36" s="184"/>
      <c r="BP36" s="184"/>
      <c r="BQ36" s="184"/>
      <c r="BR36" s="184"/>
      <c r="BS36" s="184"/>
      <c r="BT36" s="184"/>
      <c r="BU36" s="146" cm="1">
        <f t="array" ref="BU36">LOOKUP(2,1/(Y36:BT36&lt;&gt;""),Y36:BH36)</f>
        <v>12000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46023</v>
      </c>
      <c r="BW36" s="211" cm="1">
        <f t="array" ref="BW36">(LOOKUP(2,1/(BH36:BT36&lt;&gt;""),BH36:BT36))/(INDEX(BH36:BT36,MATCH(TRUE,INDEX((BH36:BT36&lt;&gt;0),0),0)))-1</f>
        <v>0</v>
      </c>
      <c r="BX36" s="212">
        <f t="shared" si="10"/>
        <v>12</v>
      </c>
      <c r="BY36" s="212">
        <f t="shared" si="1"/>
        <v>9</v>
      </c>
      <c r="BZ36" s="212">
        <f ca="1">IF(L36="BR",'Impostos e Frete'!$F$6,IF(L36="EU",'Impostos e Frete'!$I$3,IF(L36="CN",'Impostos e Frete'!$I$4,IF(L36="JP",'Impostos e Frete'!$I$5,IF(L36="RU",'Impostos e Frete'!$I$7,"ERRO")))))</f>
        <v>1.11958</v>
      </c>
      <c r="CA36" s="212">
        <f>VLOOKUP(L36,'Impostos e Frete'!$A$3:$B$7,2,0)*'Preços e Condições'!BY36</f>
        <v>1.2600000000000002</v>
      </c>
      <c r="CB36" s="147">
        <f t="shared" si="11"/>
        <v>0</v>
      </c>
      <c r="CC36" s="147">
        <f>IF(X36="BRL",'Impostos e Frete'!$B$11,'Impostos e Frete'!$B$12)</f>
        <v>9.1999999999999998E-2</v>
      </c>
      <c r="CD36" s="213">
        <f t="shared" ca="1" si="12"/>
        <v>11.471579999999999</v>
      </c>
      <c r="CE36" s="214">
        <f t="shared" ca="1" si="13"/>
        <v>0.78006743999999995</v>
      </c>
      <c r="CF36" s="215">
        <f>VLOOKUP(L36,'Impostos e Frete'!$A$3:$C$7,3,0)</f>
        <v>120</v>
      </c>
      <c r="CG36" s="215">
        <f t="shared" si="14"/>
        <v>90</v>
      </c>
      <c r="CH36" s="215">
        <f t="shared" si="15"/>
        <v>-30</v>
      </c>
      <c r="CI36" s="216">
        <f t="shared" ca="1" si="16"/>
        <v>0.17207369999999855</v>
      </c>
      <c r="CJ36" s="217">
        <f t="shared" ca="1" si="17"/>
        <v>11.643653699999998</v>
      </c>
      <c r="CK36" s="218">
        <f t="shared" ca="1" si="18"/>
        <v>0.79176845159999987</v>
      </c>
      <c r="CL36" s="187"/>
      <c r="CM36" s="187"/>
      <c r="CN36" s="187"/>
    </row>
    <row r="37" spans="1:92">
      <c r="A37" s="176">
        <v>18860</v>
      </c>
      <c r="B37" s="177">
        <v>689</v>
      </c>
      <c r="C37" s="178">
        <v>68</v>
      </c>
      <c r="D37" s="178">
        <v>1270</v>
      </c>
      <c r="E37" s="178" t="s">
        <v>50</v>
      </c>
      <c r="F37" s="179" t="s">
        <v>3</v>
      </c>
      <c r="G37" s="180" t="s">
        <v>101</v>
      </c>
      <c r="H37" s="178" t="s">
        <v>63</v>
      </c>
      <c r="I37" s="178" t="s">
        <v>102</v>
      </c>
      <c r="J37" s="178"/>
      <c r="K37" s="178"/>
      <c r="L37" s="178" t="s">
        <v>60</v>
      </c>
      <c r="M37" s="178">
        <v>90</v>
      </c>
      <c r="N37" s="178">
        <v>400</v>
      </c>
      <c r="O37" s="178"/>
      <c r="P37" s="178">
        <v>90</v>
      </c>
      <c r="Q37" s="178"/>
      <c r="R37" s="178" t="s">
        <v>19</v>
      </c>
      <c r="S37" s="181"/>
      <c r="T37" s="181"/>
      <c r="U37" s="182"/>
      <c r="V37" s="182" t="s">
        <v>35</v>
      </c>
      <c r="W37" s="183">
        <v>100</v>
      </c>
      <c r="X37" s="182" t="s">
        <v>51</v>
      </c>
      <c r="Y37" s="184"/>
      <c r="Z37" s="184"/>
      <c r="AA37" s="184"/>
      <c r="AB37" s="184"/>
      <c r="AC37" s="184"/>
      <c r="AD37" s="184"/>
      <c r="AE37" s="184"/>
      <c r="AF37" s="184"/>
      <c r="AG37" s="184"/>
      <c r="AH37" s="184"/>
      <c r="AI37" s="184"/>
      <c r="AJ37" s="184"/>
      <c r="AK37" s="184">
        <v>1800</v>
      </c>
      <c r="AL37" s="184">
        <v>1800</v>
      </c>
      <c r="AM37" s="184">
        <v>1650</v>
      </c>
      <c r="AN37" s="184">
        <v>1650</v>
      </c>
      <c r="AO37" s="184">
        <v>1650</v>
      </c>
      <c r="AP37" s="184">
        <v>1650</v>
      </c>
      <c r="AQ37" s="184"/>
      <c r="AR37" s="184"/>
      <c r="AS37" s="184"/>
      <c r="AT37" s="184"/>
      <c r="AU37" s="184"/>
      <c r="AV37" s="184"/>
      <c r="AW37" s="184"/>
      <c r="AX37" s="184"/>
      <c r="AY37" s="184"/>
      <c r="AZ37" s="184"/>
      <c r="BA37" s="184"/>
      <c r="BB37" s="184"/>
      <c r="BC37" s="184"/>
      <c r="BD37" s="184"/>
      <c r="BE37" s="184"/>
      <c r="BF37" s="184"/>
      <c r="BG37" s="184"/>
      <c r="BH37" s="184"/>
      <c r="BI37" s="184"/>
      <c r="BJ37" s="184"/>
      <c r="BK37" s="184"/>
      <c r="BL37" s="184"/>
      <c r="BM37" s="184"/>
      <c r="BN37" s="184"/>
      <c r="BO37" s="184"/>
      <c r="BP37" s="184"/>
      <c r="BQ37" s="184"/>
      <c r="BR37" s="184"/>
      <c r="BS37" s="184"/>
      <c r="BT37" s="184"/>
      <c r="BU37" s="146" cm="1">
        <f t="array" ref="BU37">LOOKUP(2,1/(Y37:BT37&lt;&gt;""),Y37:BH37)</f>
        <v>1650</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45444</v>
      </c>
      <c r="BW37" s="211" t="e" cm="1">
        <f t="array" ref="BW37">(LOOKUP(2,1/(BH37:BT37&lt;&gt;""),BH37:BT37))/(INDEX(BH37:BT37,MATCH(TRUE,INDEX((BH37:BT37&lt;&gt;0),0),0)))-1</f>
        <v>#N/A</v>
      </c>
      <c r="BX37" s="212">
        <f t="shared" si="10"/>
        <v>1.65</v>
      </c>
      <c r="BY37" s="212">
        <f t="shared" si="1"/>
        <v>9.7349999999999994</v>
      </c>
      <c r="BZ37" s="212">
        <f ca="1">IF(L37="BR",'Impostos e Frete'!$F$6,IF(L37="EU",'Impostos e Frete'!$I$3,IF(L37="CN",'Impostos e Frete'!$I$4,IF(L37="JP",'Impostos e Frete'!$I$5,IF(L37="RU",'Impostos e Frete'!$I$7,"ERRO")))))</f>
        <v>1.11958</v>
      </c>
      <c r="CA37" s="212">
        <f>VLOOKUP(L37,'Impostos e Frete'!$A$3:$B$7,2,0)*'Preços e Condições'!BY37</f>
        <v>1.3629</v>
      </c>
      <c r="CB37" s="147">
        <f t="shared" si="11"/>
        <v>0</v>
      </c>
      <c r="CC37" s="147">
        <f>IF(X37="BRL",'Impostos e Frete'!$B$11,'Impostos e Frete'!$B$12)</f>
        <v>9.1999999999999998E-2</v>
      </c>
      <c r="CD37" s="213">
        <f t="shared" ca="1" si="12"/>
        <v>12.309479999999999</v>
      </c>
      <c r="CE37" s="214">
        <f t="shared" ca="1" si="13"/>
        <v>0.83704464000000001</v>
      </c>
      <c r="CF37" s="215">
        <f>VLOOKUP(L37,'Impostos e Frete'!$A$3:$C$7,3,0)</f>
        <v>120</v>
      </c>
      <c r="CG37" s="215">
        <f t="shared" si="14"/>
        <v>90</v>
      </c>
      <c r="CH37" s="215">
        <f t="shared" si="15"/>
        <v>-30</v>
      </c>
      <c r="CI37" s="216">
        <f t="shared" ca="1" si="16"/>
        <v>0.18464219999999898</v>
      </c>
      <c r="CJ37" s="217">
        <f t="shared" ca="1" si="17"/>
        <v>12.494122199999998</v>
      </c>
      <c r="CK37" s="218">
        <f t="shared" ca="1" si="18"/>
        <v>0.84960030959999977</v>
      </c>
    </row>
    <row r="38" spans="1:92">
      <c r="A38" s="176">
        <v>18861</v>
      </c>
      <c r="B38" s="177">
        <v>689</v>
      </c>
      <c r="C38" s="178">
        <v>68</v>
      </c>
      <c r="D38" s="178">
        <v>2175</v>
      </c>
      <c r="E38" s="178" t="s">
        <v>50</v>
      </c>
      <c r="F38" s="179" t="s">
        <v>3</v>
      </c>
      <c r="G38" s="180" t="s">
        <v>101</v>
      </c>
      <c r="H38" s="178" t="s">
        <v>63</v>
      </c>
      <c r="I38" s="178" t="s">
        <v>102</v>
      </c>
      <c r="J38" s="178"/>
      <c r="K38" s="178"/>
      <c r="L38" s="178" t="s">
        <v>60</v>
      </c>
      <c r="M38" s="178">
        <v>90</v>
      </c>
      <c r="N38" s="178">
        <v>3300</v>
      </c>
      <c r="O38" s="178"/>
      <c r="P38" s="178">
        <v>90</v>
      </c>
      <c r="Q38" s="178"/>
      <c r="R38" s="178" t="s">
        <v>19</v>
      </c>
      <c r="S38" s="181"/>
      <c r="T38" s="181"/>
      <c r="U38" s="182"/>
      <c r="V38" s="182" t="s">
        <v>35</v>
      </c>
      <c r="W38" s="183">
        <v>100</v>
      </c>
      <c r="X38" s="182" t="s">
        <v>267</v>
      </c>
      <c r="Y38" s="184"/>
      <c r="Z38" s="184"/>
      <c r="AA38" s="184"/>
      <c r="AB38" s="184"/>
      <c r="AC38" s="184"/>
      <c r="AD38" s="184"/>
      <c r="AE38" s="184"/>
      <c r="AF38" s="184"/>
      <c r="AG38" s="184"/>
      <c r="AH38" s="184"/>
      <c r="AI38" s="184"/>
      <c r="AJ38" s="184"/>
      <c r="AK38" s="184"/>
      <c r="AL38" s="184"/>
      <c r="AM38" s="184"/>
      <c r="AN38" s="184"/>
      <c r="AO38" s="184"/>
      <c r="AP38" s="184"/>
      <c r="AQ38" s="184"/>
      <c r="AR38" s="184"/>
      <c r="AS38" s="184"/>
      <c r="AT38" s="184"/>
      <c r="AU38" s="184"/>
      <c r="AV38" s="184"/>
      <c r="AW38" s="184"/>
      <c r="AX38" s="184"/>
      <c r="AY38" s="184"/>
      <c r="AZ38" s="184">
        <v>12600</v>
      </c>
      <c r="BA38" s="184">
        <v>12600</v>
      </c>
      <c r="BB38" s="184">
        <v>12600</v>
      </c>
      <c r="BC38" s="184">
        <v>12600</v>
      </c>
      <c r="BD38" s="184">
        <v>12600</v>
      </c>
      <c r="BE38" s="184">
        <v>12600</v>
      </c>
      <c r="BF38" s="184">
        <v>12600</v>
      </c>
      <c r="BG38" s="184">
        <v>12000</v>
      </c>
      <c r="BH38" s="184">
        <v>12000</v>
      </c>
      <c r="BI38" s="184">
        <v>12000</v>
      </c>
      <c r="BJ38" s="184"/>
      <c r="BK38" s="184"/>
      <c r="BL38" s="184"/>
      <c r="BM38" s="184"/>
      <c r="BN38" s="184"/>
      <c r="BO38" s="184"/>
      <c r="BP38" s="184"/>
      <c r="BQ38" s="184"/>
      <c r="BR38" s="184"/>
      <c r="BS38" s="184"/>
      <c r="BT38" s="184"/>
      <c r="BU38" s="146" cm="1">
        <f t="array" ref="BU38">LOOKUP(2,1/(Y38:BT38&lt;&gt;""),Y38:BH38)</f>
        <v>12000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46023</v>
      </c>
      <c r="BW38" s="211" cm="1">
        <f t="array" ref="BW38">(LOOKUP(2,1/(BH38:BT38&lt;&gt;""),BH38:BT38))/(INDEX(BH38:BT38,MATCH(TRUE,INDEX((BH38:BT38&lt;&gt;0),0),0)))-1</f>
        <v>0</v>
      </c>
      <c r="BX38" s="212">
        <f t="shared" si="10"/>
        <v>12</v>
      </c>
      <c r="BY38" s="212">
        <f t="shared" si="1"/>
        <v>9</v>
      </c>
      <c r="BZ38" s="212">
        <f ca="1">IF(L38="BR",'Impostos e Frete'!$F$6,IF(L38="EU",'Impostos e Frete'!$I$3,IF(L38="CN",'Impostos e Frete'!$I$4,IF(L38="JP",'Impostos e Frete'!$I$5,IF(L38="RU",'Impostos e Frete'!$I$7,"ERRO")))))</f>
        <v>1.11958</v>
      </c>
      <c r="CA38" s="212">
        <f>VLOOKUP(L38,'Impostos e Frete'!$A$3:$B$7,2,0)*'Preços e Condições'!BY38</f>
        <v>1.2600000000000002</v>
      </c>
      <c r="CB38" s="147">
        <f t="shared" si="11"/>
        <v>0</v>
      </c>
      <c r="CC38" s="147">
        <f>IF(X38="BRL",'Impostos e Frete'!$B$11,'Impostos e Frete'!$B$12)</f>
        <v>9.1999999999999998E-2</v>
      </c>
      <c r="CD38" s="213">
        <f t="shared" ca="1" si="12"/>
        <v>11.471579999999999</v>
      </c>
      <c r="CE38" s="214">
        <f t="shared" ca="1" si="13"/>
        <v>0.78006743999999995</v>
      </c>
      <c r="CF38" s="215">
        <f>VLOOKUP(L38,'Impostos e Frete'!$A$3:$C$7,3,0)</f>
        <v>120</v>
      </c>
      <c r="CG38" s="215">
        <f t="shared" si="14"/>
        <v>90</v>
      </c>
      <c r="CH38" s="215">
        <f t="shared" si="15"/>
        <v>-30</v>
      </c>
      <c r="CI38" s="216">
        <f t="shared" ca="1" si="16"/>
        <v>0.17207369999999855</v>
      </c>
      <c r="CJ38" s="217">
        <f t="shared" ca="1" si="17"/>
        <v>11.643653699999998</v>
      </c>
      <c r="CK38" s="218">
        <f t="shared" ca="1" si="18"/>
        <v>0.79176845159999987</v>
      </c>
    </row>
    <row r="39" spans="1:92">
      <c r="A39" s="176">
        <v>18861</v>
      </c>
      <c r="B39" s="177">
        <v>689</v>
      </c>
      <c r="C39" s="178">
        <v>68</v>
      </c>
      <c r="D39" s="178">
        <v>2175</v>
      </c>
      <c r="E39" s="178" t="s">
        <v>50</v>
      </c>
      <c r="F39" s="179" t="s">
        <v>3</v>
      </c>
      <c r="G39" s="180" t="s">
        <v>101</v>
      </c>
      <c r="H39" s="178" t="s">
        <v>63</v>
      </c>
      <c r="I39" s="178" t="s">
        <v>102</v>
      </c>
      <c r="J39" s="178"/>
      <c r="K39" s="178"/>
      <c r="L39" s="178" t="s">
        <v>60</v>
      </c>
      <c r="M39" s="178">
        <v>90</v>
      </c>
      <c r="N39" s="178">
        <v>400</v>
      </c>
      <c r="O39" s="178"/>
      <c r="P39" s="178">
        <v>90</v>
      </c>
      <c r="Q39" s="178"/>
      <c r="R39" s="178" t="s">
        <v>19</v>
      </c>
      <c r="S39" s="181"/>
      <c r="T39" s="181"/>
      <c r="U39" s="182"/>
      <c r="V39" s="182" t="s">
        <v>35</v>
      </c>
      <c r="W39" s="183">
        <v>100</v>
      </c>
      <c r="X39" s="182" t="s">
        <v>51</v>
      </c>
      <c r="Y39" s="184"/>
      <c r="Z39" s="184"/>
      <c r="AA39" s="184"/>
      <c r="AB39" s="184"/>
      <c r="AC39" s="184"/>
      <c r="AD39" s="184"/>
      <c r="AE39" s="184"/>
      <c r="AF39" s="184"/>
      <c r="AG39" s="184"/>
      <c r="AH39" s="184"/>
      <c r="AI39" s="184"/>
      <c r="AJ39" s="184"/>
      <c r="AK39" s="184">
        <v>1800</v>
      </c>
      <c r="AL39" s="184">
        <v>1800</v>
      </c>
      <c r="AM39" s="184">
        <v>1650</v>
      </c>
      <c r="AN39" s="184">
        <v>1650</v>
      </c>
      <c r="AO39" s="184">
        <v>1650</v>
      </c>
      <c r="AP39" s="184">
        <v>1650</v>
      </c>
      <c r="AQ39" s="184"/>
      <c r="AR39" s="184"/>
      <c r="AS39" s="184"/>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1650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45444</v>
      </c>
      <c r="BW39" s="211" t="e" cm="1">
        <f t="array" ref="BW39">(LOOKUP(2,1/(BH39:BT39&lt;&gt;""),BH39:BT39))/(INDEX(BH39:BT39,MATCH(TRUE,INDEX((BH39:BT39&lt;&gt;0),0),0)))-1</f>
        <v>#N/A</v>
      </c>
      <c r="BX39" s="212">
        <f t="shared" si="10"/>
        <v>1.65</v>
      </c>
      <c r="BY39" s="212">
        <f t="shared" si="1"/>
        <v>9.7349999999999994</v>
      </c>
      <c r="BZ39" s="212">
        <f ca="1">IF(L39="BR",'Impostos e Frete'!$F$6,IF(L39="EU",'Impostos e Frete'!$I$3,IF(L39="CN",'Impostos e Frete'!$I$4,IF(L39="JP",'Impostos e Frete'!$I$5,IF(L39="RU",'Impostos e Frete'!$I$7,"ERRO")))))</f>
        <v>1.11958</v>
      </c>
      <c r="CA39" s="212">
        <f>VLOOKUP(L39,'Impostos e Frete'!$A$3:$B$7,2,0)*'Preços e Condições'!BY39</f>
        <v>1.3629</v>
      </c>
      <c r="CB39" s="147">
        <f t="shared" si="11"/>
        <v>0</v>
      </c>
      <c r="CC39" s="147">
        <f>IF(X39="BRL",'Impostos e Frete'!$B$11,'Impostos e Frete'!$B$12)</f>
        <v>9.1999999999999998E-2</v>
      </c>
      <c r="CD39" s="213">
        <f t="shared" ca="1" si="12"/>
        <v>12.309479999999999</v>
      </c>
      <c r="CE39" s="214">
        <f t="shared" ca="1" si="13"/>
        <v>0.83704464000000001</v>
      </c>
      <c r="CF39" s="215">
        <f>VLOOKUP(L39,'Impostos e Frete'!$A$3:$C$7,3,0)</f>
        <v>120</v>
      </c>
      <c r="CG39" s="215">
        <f t="shared" si="14"/>
        <v>90</v>
      </c>
      <c r="CH39" s="215">
        <f t="shared" si="15"/>
        <v>-30</v>
      </c>
      <c r="CI39" s="216">
        <f t="shared" ca="1" si="16"/>
        <v>0.18464219999999898</v>
      </c>
      <c r="CJ39" s="217">
        <f t="shared" ca="1" si="17"/>
        <v>12.494122199999998</v>
      </c>
      <c r="CK39" s="218">
        <f t="shared" ca="1" si="18"/>
        <v>0.84960030959999977</v>
      </c>
    </row>
    <row r="40" spans="1:92">
      <c r="A40" s="176">
        <v>18864</v>
      </c>
      <c r="B40" s="177">
        <v>248</v>
      </c>
      <c r="C40" s="178">
        <v>65</v>
      </c>
      <c r="D40" s="178">
        <v>1870</v>
      </c>
      <c r="E40" s="178" t="s">
        <v>50</v>
      </c>
      <c r="F40" s="179" t="s">
        <v>3</v>
      </c>
      <c r="G40" s="180" t="s">
        <v>107</v>
      </c>
      <c r="H40" s="178" t="s">
        <v>63</v>
      </c>
      <c r="I40" s="178" t="s">
        <v>106</v>
      </c>
      <c r="J40" s="178"/>
      <c r="K40" s="178"/>
      <c r="L40" s="178" t="s">
        <v>60</v>
      </c>
      <c r="M40" s="178">
        <v>90</v>
      </c>
      <c r="N40" s="178">
        <v>400</v>
      </c>
      <c r="O40" s="178"/>
      <c r="P40" s="178">
        <v>90</v>
      </c>
      <c r="Q40" s="178"/>
      <c r="R40" s="178" t="s">
        <v>19</v>
      </c>
      <c r="S40" s="181"/>
      <c r="T40" s="181"/>
      <c r="U40" s="182"/>
      <c r="V40" s="182" t="s">
        <v>35</v>
      </c>
      <c r="W40" s="183">
        <v>100</v>
      </c>
      <c r="X40" s="182" t="s">
        <v>51</v>
      </c>
      <c r="Y40" s="184"/>
      <c r="Z40" s="184"/>
      <c r="AA40" s="184"/>
      <c r="AB40" s="184">
        <v>1800</v>
      </c>
      <c r="AC40" s="184">
        <v>1800</v>
      </c>
      <c r="AD40" s="184">
        <v>1800</v>
      </c>
      <c r="AE40" s="184">
        <v>1800</v>
      </c>
      <c r="AF40" s="184">
        <v>1800</v>
      </c>
      <c r="AG40" s="184">
        <v>1800</v>
      </c>
      <c r="AH40" s="184">
        <v>1800</v>
      </c>
      <c r="AI40" s="184">
        <v>1800</v>
      </c>
      <c r="AJ40" s="184">
        <v>1800</v>
      </c>
      <c r="AK40" s="184">
        <v>1800</v>
      </c>
      <c r="AL40" s="184">
        <v>1800</v>
      </c>
      <c r="AM40" s="184"/>
      <c r="AN40" s="184"/>
      <c r="AO40" s="184"/>
      <c r="AP40" s="184"/>
      <c r="AQ40" s="184"/>
      <c r="AR40" s="184"/>
      <c r="AS40" s="184"/>
      <c r="AT40" s="184"/>
      <c r="AU40" s="184"/>
      <c r="AV40" s="184"/>
      <c r="AW40" s="184"/>
      <c r="AX40" s="184"/>
      <c r="AY40" s="184"/>
      <c r="AZ40" s="184">
        <v>1530</v>
      </c>
      <c r="BA40" s="184">
        <v>1530</v>
      </c>
      <c r="BB40" s="184">
        <v>1530</v>
      </c>
      <c r="BC40" s="184"/>
      <c r="BD40" s="184"/>
      <c r="BE40" s="184"/>
      <c r="BF40" s="184"/>
      <c r="BG40" s="184"/>
      <c r="BH40" s="184"/>
      <c r="BI40" s="184"/>
      <c r="BJ40" s="184"/>
      <c r="BK40" s="184"/>
      <c r="BL40" s="184"/>
      <c r="BM40" s="184"/>
      <c r="BN40" s="184"/>
      <c r="BO40" s="184"/>
      <c r="BP40" s="184"/>
      <c r="BQ40" s="184"/>
      <c r="BR40" s="184"/>
      <c r="BS40" s="184"/>
      <c r="BT40" s="184"/>
      <c r="BU40" s="146" cm="1">
        <f t="array" ref="BU40">LOOKUP(2,1/(Y40:BT40&lt;&gt;""),Y40:BH40)</f>
        <v>1530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45809</v>
      </c>
      <c r="BW40" s="211" t="e" cm="1">
        <f t="array" ref="BW40">(LOOKUP(2,1/(BH40:BT40&lt;&gt;""),BH40:BT40))/(INDEX(BH40:BT40,MATCH(TRUE,INDEX((BH40:BT40&lt;&gt;0),0),0)))-1</f>
        <v>#N/A</v>
      </c>
      <c r="BX40" s="212">
        <f t="shared" si="10"/>
        <v>1.53</v>
      </c>
      <c r="BY40" s="212">
        <f t="shared" si="1"/>
        <v>9.027000000000001</v>
      </c>
      <c r="BZ40" s="212">
        <f ca="1">IF(L40="BR",'Impostos e Frete'!$F$6,IF(L40="EU",'Impostos e Frete'!$I$3,IF(L40="CN",'Impostos e Frete'!$I$4,IF(L40="JP",'Impostos e Frete'!$I$5,IF(L40="RU",'Impostos e Frete'!$I$7,"ERRO")))))</f>
        <v>1.11958</v>
      </c>
      <c r="CA40" s="212">
        <f>VLOOKUP(L40,'Impostos e Frete'!$A$3:$B$7,2,0)*'Preços e Condições'!BY40</f>
        <v>1.2637800000000003</v>
      </c>
      <c r="CB40" s="147">
        <f t="shared" si="11"/>
        <v>0</v>
      </c>
      <c r="CC40" s="147">
        <f>IF(X40="BRL",'Impostos e Frete'!$B$11,'Impostos e Frete'!$B$12)</f>
        <v>9.1999999999999998E-2</v>
      </c>
      <c r="CD40" s="213">
        <f t="shared" ca="1" si="12"/>
        <v>11.502360000000001</v>
      </c>
      <c r="CE40" s="214">
        <f t="shared" ca="1" si="13"/>
        <v>0.74765340000000013</v>
      </c>
      <c r="CF40" s="215">
        <f>VLOOKUP(L40,'Impostos e Frete'!$A$3:$C$7,3,0)</f>
        <v>120</v>
      </c>
      <c r="CG40" s="215">
        <f t="shared" si="14"/>
        <v>90</v>
      </c>
      <c r="CH40" s="215">
        <f t="shared" si="15"/>
        <v>-30</v>
      </c>
      <c r="CI40" s="216">
        <f t="shared" ca="1" si="16"/>
        <v>0.17253539999999923</v>
      </c>
      <c r="CJ40" s="217">
        <f t="shared" ca="1" si="17"/>
        <v>11.6748954</v>
      </c>
      <c r="CK40" s="218">
        <f t="shared" ca="1" si="18"/>
        <v>0.75886820100000008</v>
      </c>
      <c r="CL40" s="187"/>
      <c r="CM40" s="187"/>
      <c r="CN40" s="187"/>
    </row>
    <row r="41" spans="1:92">
      <c r="A41" s="176">
        <v>18865</v>
      </c>
      <c r="B41" s="177">
        <v>248</v>
      </c>
      <c r="C41" s="178">
        <v>65</v>
      </c>
      <c r="D41" s="178">
        <v>1270</v>
      </c>
      <c r="E41" s="178" t="s">
        <v>50</v>
      </c>
      <c r="F41" s="179" t="s">
        <v>3</v>
      </c>
      <c r="G41" s="180" t="s">
        <v>107</v>
      </c>
      <c r="H41" s="178" t="s">
        <v>63</v>
      </c>
      <c r="I41" s="178" t="s">
        <v>106</v>
      </c>
      <c r="J41" s="178"/>
      <c r="K41" s="178"/>
      <c r="L41" s="178" t="s">
        <v>60</v>
      </c>
      <c r="M41" s="178">
        <v>90</v>
      </c>
      <c r="N41" s="178">
        <v>400</v>
      </c>
      <c r="O41" s="178"/>
      <c r="P41" s="178">
        <v>90</v>
      </c>
      <c r="Q41" s="178"/>
      <c r="R41" s="178" t="s">
        <v>19</v>
      </c>
      <c r="S41" s="181"/>
      <c r="T41" s="181"/>
      <c r="U41" s="182"/>
      <c r="V41" s="182" t="s">
        <v>35</v>
      </c>
      <c r="W41" s="183">
        <v>100</v>
      </c>
      <c r="X41" s="182" t="s">
        <v>51</v>
      </c>
      <c r="Y41" s="184"/>
      <c r="Z41" s="184"/>
      <c r="AA41" s="184"/>
      <c r="AB41" s="184">
        <v>1800</v>
      </c>
      <c r="AC41" s="184">
        <v>1800</v>
      </c>
      <c r="AD41" s="184">
        <v>1800</v>
      </c>
      <c r="AE41" s="184">
        <v>1800</v>
      </c>
      <c r="AF41" s="184">
        <v>1800</v>
      </c>
      <c r="AG41" s="184">
        <v>1800</v>
      </c>
      <c r="AH41" s="184">
        <v>1800</v>
      </c>
      <c r="AI41" s="184">
        <v>1800</v>
      </c>
      <c r="AJ41" s="184">
        <v>1800</v>
      </c>
      <c r="AK41" s="184">
        <v>1800</v>
      </c>
      <c r="AL41" s="184">
        <v>1800</v>
      </c>
      <c r="AM41" s="184"/>
      <c r="AN41" s="184"/>
      <c r="AO41" s="184"/>
      <c r="AP41" s="184"/>
      <c r="AQ41" s="184"/>
      <c r="AR41" s="184"/>
      <c r="AS41" s="184"/>
      <c r="AT41" s="184"/>
      <c r="AU41" s="184"/>
      <c r="AV41" s="184"/>
      <c r="AW41" s="184"/>
      <c r="AX41" s="184"/>
      <c r="AY41" s="184"/>
      <c r="AZ41" s="184">
        <v>1530</v>
      </c>
      <c r="BA41" s="184">
        <v>1530</v>
      </c>
      <c r="BB41" s="184">
        <v>1530</v>
      </c>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1530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45809</v>
      </c>
      <c r="BW41" s="211" t="e" cm="1">
        <f t="array" ref="BW41">(LOOKUP(2,1/(BH41:BT41&lt;&gt;""),BH41:BT41))/(INDEX(BH41:BT41,MATCH(TRUE,INDEX((BH41:BT41&lt;&gt;0),0),0)))-1</f>
        <v>#N/A</v>
      </c>
      <c r="BX41" s="212">
        <f t="shared" si="10"/>
        <v>1.53</v>
      </c>
      <c r="BY41" s="212">
        <f t="shared" si="1"/>
        <v>9.027000000000001</v>
      </c>
      <c r="BZ41" s="212">
        <f ca="1">IF(L41="BR",'Impostos e Frete'!$F$6,IF(L41="EU",'Impostos e Frete'!$I$3,IF(L41="CN",'Impostos e Frete'!$I$4,IF(L41="JP",'Impostos e Frete'!$I$5,IF(L41="RU",'Impostos e Frete'!$I$7,"ERRO")))))</f>
        <v>1.11958</v>
      </c>
      <c r="CA41" s="212">
        <f>VLOOKUP(L41,'Impostos e Frete'!$A$3:$B$7,2,0)*'Preços e Condições'!BY41</f>
        <v>1.2637800000000003</v>
      </c>
      <c r="CB41" s="147">
        <f t="shared" si="11"/>
        <v>0</v>
      </c>
      <c r="CC41" s="147">
        <f>IF(X41="BRL",'Impostos e Frete'!$B$11,'Impostos e Frete'!$B$12)</f>
        <v>9.1999999999999998E-2</v>
      </c>
      <c r="CD41" s="213">
        <f t="shared" ca="1" si="12"/>
        <v>11.502360000000001</v>
      </c>
      <c r="CE41" s="214">
        <f t="shared" ca="1" si="13"/>
        <v>0.74765340000000013</v>
      </c>
      <c r="CF41" s="215">
        <f>VLOOKUP(L41,'Impostos e Frete'!$A$3:$C$7,3,0)</f>
        <v>120</v>
      </c>
      <c r="CG41" s="215">
        <f t="shared" si="14"/>
        <v>90</v>
      </c>
      <c r="CH41" s="215">
        <f t="shared" si="15"/>
        <v>-30</v>
      </c>
      <c r="CI41" s="216">
        <f t="shared" ca="1" si="16"/>
        <v>0.17253539999999923</v>
      </c>
      <c r="CJ41" s="217">
        <f t="shared" ca="1" si="17"/>
        <v>11.6748954</v>
      </c>
      <c r="CK41" s="218">
        <f t="shared" ca="1" si="18"/>
        <v>0.75886820100000008</v>
      </c>
    </row>
    <row r="42" spans="1:92">
      <c r="A42" s="176"/>
      <c r="B42" s="177">
        <v>104</v>
      </c>
      <c r="C42" s="178">
        <v>70</v>
      </c>
      <c r="D42" s="178">
        <v>1870</v>
      </c>
      <c r="E42" s="178" t="s">
        <v>50</v>
      </c>
      <c r="F42" s="179" t="s">
        <v>3</v>
      </c>
      <c r="G42" s="180" t="s">
        <v>297</v>
      </c>
      <c r="H42" s="178" t="s">
        <v>43</v>
      </c>
      <c r="I42" s="178" t="s">
        <v>157</v>
      </c>
      <c r="J42" s="178"/>
      <c r="K42" s="178"/>
      <c r="L42" s="178" t="s">
        <v>60</v>
      </c>
      <c r="M42" s="178">
        <v>90</v>
      </c>
      <c r="N42" s="178">
        <v>3300</v>
      </c>
      <c r="O42" s="178"/>
      <c r="P42" s="178">
        <v>90</v>
      </c>
      <c r="Q42" s="178"/>
      <c r="R42" s="178" t="s">
        <v>19</v>
      </c>
      <c r="S42" s="181"/>
      <c r="T42" s="181"/>
      <c r="U42" s="182"/>
      <c r="V42" s="182" t="s">
        <v>35</v>
      </c>
      <c r="W42" s="183">
        <v>100</v>
      </c>
      <c r="X42" s="182" t="s">
        <v>267</v>
      </c>
      <c r="Y42" s="184"/>
      <c r="Z42" s="184"/>
      <c r="AA42" s="184"/>
      <c r="AB42" s="184"/>
      <c r="AC42" s="184"/>
      <c r="AD42" s="184"/>
      <c r="AE42" s="184"/>
      <c r="AF42" s="184"/>
      <c r="AG42" s="184"/>
      <c r="AH42" s="184"/>
      <c r="AI42" s="184"/>
      <c r="AJ42" s="184"/>
      <c r="AK42" s="184"/>
      <c r="AL42" s="184"/>
      <c r="AM42" s="184">
        <v>1800</v>
      </c>
      <c r="AN42" s="184">
        <v>1800</v>
      </c>
      <c r="AO42" s="184">
        <v>1800</v>
      </c>
      <c r="AP42" s="184">
        <v>1800</v>
      </c>
      <c r="AQ42" s="184"/>
      <c r="AR42" s="184"/>
      <c r="AS42" s="184"/>
      <c r="AT42" s="184"/>
      <c r="AU42" s="184"/>
      <c r="AV42" s="184"/>
      <c r="AW42" s="184"/>
      <c r="AX42" s="184"/>
      <c r="AY42" s="184"/>
      <c r="AZ42" s="184">
        <v>13700</v>
      </c>
      <c r="BA42" s="184">
        <v>13700</v>
      </c>
      <c r="BB42" s="184">
        <v>13700</v>
      </c>
      <c r="BC42" s="184"/>
      <c r="BD42" s="184"/>
      <c r="BE42" s="184"/>
      <c r="BF42" s="184"/>
      <c r="BG42" s="184">
        <v>11700</v>
      </c>
      <c r="BH42" s="184"/>
      <c r="BI42" s="184"/>
      <c r="BJ42" s="184"/>
      <c r="BK42" s="184"/>
      <c r="BL42" s="184"/>
      <c r="BM42" s="184"/>
      <c r="BN42" s="184"/>
      <c r="BO42" s="184"/>
      <c r="BP42" s="184"/>
      <c r="BQ42" s="184"/>
      <c r="BR42" s="184"/>
      <c r="BS42" s="184"/>
      <c r="BT42" s="184"/>
      <c r="BU42" s="146" cm="1">
        <f t="array" ref="BU42">LOOKUP(2,1/(Y42:BT42&lt;&gt;""),Y42:BH42)</f>
        <v>11700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45962</v>
      </c>
      <c r="BW42" s="211" t="e" cm="1">
        <f t="array" ref="BW42">(LOOKUP(2,1/(BH42:BT42&lt;&gt;""),BH42:BT42))/(INDEX(BH42:BT42,MATCH(TRUE,INDEX((BH42:BT42&lt;&gt;0),0),0)))-1</f>
        <v>#N/A</v>
      </c>
      <c r="BX42" s="212">
        <f t="shared" si="10"/>
        <v>11.7</v>
      </c>
      <c r="BY42" s="212">
        <f t="shared" si="1"/>
        <v>8.7749999999999986</v>
      </c>
      <c r="BZ42" s="212">
        <f ca="1">IF(L42="BR",'Impostos e Frete'!$F$6,IF(L42="EU",'Impostos e Frete'!$I$3,IF(L42="CN",'Impostos e Frete'!$I$4,IF(L42="JP",'Impostos e Frete'!$I$5,IF(L42="RU",'Impostos e Frete'!$I$7,"ERRO")))))</f>
        <v>1.11958</v>
      </c>
      <c r="CA42" s="212">
        <f>VLOOKUP(L42,'Impostos e Frete'!$A$3:$B$7,2,0)*'Preços e Condições'!BY42</f>
        <v>1.2284999999999999</v>
      </c>
      <c r="CB42" s="147">
        <f t="shared" si="11"/>
        <v>0</v>
      </c>
      <c r="CC42" s="147">
        <f>IF(X42="BRL",'Impostos e Frete'!$B$11,'Impostos e Frete'!$B$12)</f>
        <v>9.1999999999999998E-2</v>
      </c>
      <c r="CD42" s="213">
        <f t="shared" ca="1" si="12"/>
        <v>11.215079999999999</v>
      </c>
      <c r="CE42" s="214">
        <f t="shared" ca="1" si="13"/>
        <v>0.78505559999999996</v>
      </c>
      <c r="CF42" s="215">
        <f>VLOOKUP(L42,'Impostos e Frete'!$A$3:$C$7,3,0)</f>
        <v>120</v>
      </c>
      <c r="CG42" s="215">
        <f t="shared" si="14"/>
        <v>90</v>
      </c>
      <c r="CH42" s="215">
        <f t="shared" si="15"/>
        <v>-30</v>
      </c>
      <c r="CI42" s="216">
        <f t="shared" ca="1" si="16"/>
        <v>0.16822619999999944</v>
      </c>
      <c r="CJ42" s="217">
        <f t="shared" ca="1" si="17"/>
        <v>11.383306199999998</v>
      </c>
      <c r="CK42" s="218">
        <f t="shared" ca="1" si="18"/>
        <v>0.79683143399999989</v>
      </c>
    </row>
    <row r="43" spans="1:92">
      <c r="A43" s="176"/>
      <c r="B43" s="177">
        <v>104</v>
      </c>
      <c r="C43" s="178">
        <v>80</v>
      </c>
      <c r="D43" s="178">
        <v>1870</v>
      </c>
      <c r="E43" s="178" t="s">
        <v>50</v>
      </c>
      <c r="F43" s="179" t="s">
        <v>3</v>
      </c>
      <c r="G43" s="180" t="s">
        <v>297</v>
      </c>
      <c r="H43" s="178" t="s">
        <v>43</v>
      </c>
      <c r="I43" s="178" t="s">
        <v>157</v>
      </c>
      <c r="J43" s="178"/>
      <c r="K43" s="178"/>
      <c r="L43" s="178" t="s">
        <v>60</v>
      </c>
      <c r="M43" s="178">
        <v>90</v>
      </c>
      <c r="N43" s="178">
        <v>3300</v>
      </c>
      <c r="O43" s="178"/>
      <c r="P43" s="178">
        <v>90</v>
      </c>
      <c r="Q43" s="178"/>
      <c r="R43" s="178" t="s">
        <v>19</v>
      </c>
      <c r="S43" s="181"/>
      <c r="T43" s="181"/>
      <c r="U43" s="182"/>
      <c r="V43" s="182" t="s">
        <v>35</v>
      </c>
      <c r="W43" s="183">
        <v>100</v>
      </c>
      <c r="X43" s="182" t="s">
        <v>267</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v>11700</v>
      </c>
      <c r="BH43" s="184"/>
      <c r="BI43" s="184"/>
      <c r="BJ43" s="184"/>
      <c r="BK43" s="184"/>
      <c r="BL43" s="184"/>
      <c r="BM43" s="184"/>
      <c r="BN43" s="184"/>
      <c r="BO43" s="184"/>
      <c r="BP43" s="184"/>
      <c r="BQ43" s="184"/>
      <c r="BR43" s="184"/>
      <c r="BS43" s="184"/>
      <c r="BT43" s="184"/>
      <c r="BU43" s="146" cm="1">
        <f t="array" ref="BU43">LOOKUP(2,1/(Y43:BT43&lt;&gt;""),Y43:BH43)</f>
        <v>11700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45962</v>
      </c>
      <c r="BW43" s="211" t="e" cm="1">
        <f t="array" ref="BW43">(LOOKUP(2,1/(BH43:BT43&lt;&gt;""),BH43:BT43))/(INDEX(BH43:BT43,MATCH(TRUE,INDEX((BH43:BT43&lt;&gt;0),0),0)))-1</f>
        <v>#N/A</v>
      </c>
      <c r="BX43" s="212">
        <f t="shared" si="10"/>
        <v>11.7</v>
      </c>
      <c r="BY43" s="212">
        <f t="shared" si="1"/>
        <v>8.7749999999999986</v>
      </c>
      <c r="BZ43" s="212">
        <f ca="1">IF(L43="BR",'Impostos e Frete'!$F$6,IF(L43="EU",'Impostos e Frete'!$I$3,IF(L43="CN",'Impostos e Frete'!$I$4,IF(L43="JP",'Impostos e Frete'!$I$5,IF(L43="RU",'Impostos e Frete'!$I$7,"ERRO")))))</f>
        <v>1.11958</v>
      </c>
      <c r="CA43" s="212">
        <f>VLOOKUP(L43,'Impostos e Frete'!$A$3:$B$7,2,0)*'Preços e Condições'!BY43</f>
        <v>1.2284999999999999</v>
      </c>
      <c r="CB43" s="147">
        <f t="shared" si="11"/>
        <v>0</v>
      </c>
      <c r="CC43" s="147">
        <f>IF(X43="BRL",'Impostos e Frete'!$B$11,'Impostos e Frete'!$B$12)</f>
        <v>9.1999999999999998E-2</v>
      </c>
      <c r="CD43" s="213">
        <f t="shared" ca="1" si="12"/>
        <v>11.215079999999999</v>
      </c>
      <c r="CE43" s="214">
        <f t="shared" ca="1" si="13"/>
        <v>0.89720639999999996</v>
      </c>
      <c r="CF43" s="215">
        <f>VLOOKUP(L43,'Impostos e Frete'!$A$3:$C$7,3,0)</f>
        <v>120</v>
      </c>
      <c r="CG43" s="215">
        <f t="shared" si="14"/>
        <v>90</v>
      </c>
      <c r="CH43" s="215">
        <f t="shared" si="15"/>
        <v>-30</v>
      </c>
      <c r="CI43" s="216">
        <f t="shared" ca="1" si="16"/>
        <v>0.16822619999999944</v>
      </c>
      <c r="CJ43" s="217">
        <f t="shared" ca="1" si="17"/>
        <v>11.383306199999998</v>
      </c>
      <c r="CK43" s="218">
        <f t="shared" ca="1" si="18"/>
        <v>0.91066449599999988</v>
      </c>
    </row>
    <row r="44" spans="1:92">
      <c r="A44" s="176"/>
      <c r="B44" s="177">
        <v>104</v>
      </c>
      <c r="C44" s="178">
        <v>70</v>
      </c>
      <c r="D44" s="178">
        <v>1870</v>
      </c>
      <c r="E44" s="178" t="s">
        <v>50</v>
      </c>
      <c r="F44" s="179" t="s">
        <v>3</v>
      </c>
      <c r="G44" s="180" t="s">
        <v>156</v>
      </c>
      <c r="H44" s="178" t="s">
        <v>43</v>
      </c>
      <c r="I44" s="178" t="s">
        <v>157</v>
      </c>
      <c r="J44" s="178"/>
      <c r="K44" s="178"/>
      <c r="L44" s="178" t="s">
        <v>60</v>
      </c>
      <c r="M44" s="178">
        <v>90</v>
      </c>
      <c r="N44" s="178">
        <v>400</v>
      </c>
      <c r="O44" s="178"/>
      <c r="P44" s="178">
        <v>90</v>
      </c>
      <c r="Q44" s="178"/>
      <c r="R44" s="178" t="s">
        <v>19</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v>1800</v>
      </c>
      <c r="AN44" s="184">
        <v>1800</v>
      </c>
      <c r="AO44" s="184">
        <v>1800</v>
      </c>
      <c r="AP44" s="184">
        <v>1800</v>
      </c>
      <c r="AQ44" s="184"/>
      <c r="AR44" s="184"/>
      <c r="AS44" s="184"/>
      <c r="AT44" s="184"/>
      <c r="AU44" s="184"/>
      <c r="AV44" s="184"/>
      <c r="AW44" s="184"/>
      <c r="AX44" s="184"/>
      <c r="AY44" s="184"/>
      <c r="AZ44" s="184"/>
      <c r="BA44" s="184"/>
      <c r="BB44" s="184"/>
      <c r="BC44" s="184"/>
      <c r="BD44" s="184"/>
      <c r="BE44" s="184"/>
      <c r="BF44" s="184"/>
      <c r="BG44" s="184"/>
      <c r="BH44" s="184"/>
      <c r="BI44" s="184"/>
      <c r="BJ44" s="184"/>
      <c r="BK44" s="184"/>
      <c r="BL44" s="184"/>
      <c r="BM44" s="184"/>
      <c r="BN44" s="184"/>
      <c r="BO44" s="184"/>
      <c r="BP44" s="184"/>
      <c r="BQ44" s="184"/>
      <c r="BR44" s="184"/>
      <c r="BS44" s="184"/>
      <c r="BT44" s="184"/>
      <c r="BU44" s="146" cm="1">
        <f t="array" ref="BU44">LOOKUP(2,1/(Y44:BT44&lt;&gt;""),Y44:BH44)</f>
        <v>1800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45444</v>
      </c>
      <c r="BW44" s="211" t="e" cm="1">
        <f t="array" ref="BW44">(LOOKUP(2,1/(BH44:BT44&lt;&gt;""),BH44:BT44))/(INDEX(BH44:BT44,MATCH(TRUE,INDEX((BH44:BT44&lt;&gt;0),0),0)))-1</f>
        <v>#N/A</v>
      </c>
      <c r="BX44" s="212">
        <f t="shared" si="10"/>
        <v>1.8</v>
      </c>
      <c r="BY44" s="212">
        <f t="shared" si="1"/>
        <v>10.620000000000001</v>
      </c>
      <c r="BZ44" s="212">
        <f ca="1">IF(L44="BR",'Impostos e Frete'!$F$6,IF(L44="EU",'Impostos e Frete'!$I$3,IF(L44="CN",'Impostos e Frete'!$I$4,IF(L44="JP",'Impostos e Frete'!$I$5,IF(L44="RU",'Impostos e Frete'!$I$7,"ERRO")))))</f>
        <v>1.11958</v>
      </c>
      <c r="CA44" s="212">
        <f>VLOOKUP(L44,'Impostos e Frete'!$A$3:$B$7,2,0)*'Preços e Condições'!BY44</f>
        <v>1.4868000000000003</v>
      </c>
      <c r="CB44" s="147">
        <f t="shared" si="11"/>
        <v>0</v>
      </c>
      <c r="CC44" s="147">
        <f>IF(X44="BRL",'Impostos e Frete'!$B$11,'Impostos e Frete'!$B$12)</f>
        <v>9.1999999999999998E-2</v>
      </c>
      <c r="CD44" s="213">
        <f t="shared" ca="1" si="12"/>
        <v>13.318380000000001</v>
      </c>
      <c r="CE44" s="214">
        <f t="shared" ca="1" si="13"/>
        <v>0.93228660000000008</v>
      </c>
      <c r="CF44" s="215">
        <f>VLOOKUP(L44,'Impostos e Frete'!$A$3:$C$7,3,0)</f>
        <v>120</v>
      </c>
      <c r="CG44" s="215">
        <f t="shared" si="14"/>
        <v>90</v>
      </c>
      <c r="CH44" s="215">
        <f t="shared" si="15"/>
        <v>-30</v>
      </c>
      <c r="CI44" s="216">
        <f t="shared" ca="1" si="16"/>
        <v>0.19977569999999822</v>
      </c>
      <c r="CJ44" s="217">
        <f t="shared" ca="1" si="17"/>
        <v>13.518155699999999</v>
      </c>
      <c r="CK44" s="218">
        <f t="shared" ca="1" si="18"/>
        <v>0.94627089899999994</v>
      </c>
    </row>
    <row r="45" spans="1:92">
      <c r="A45" s="176">
        <v>18872</v>
      </c>
      <c r="B45" s="177">
        <v>3222</v>
      </c>
      <c r="C45" s="178">
        <v>65</v>
      </c>
      <c r="D45" s="178">
        <v>1830</v>
      </c>
      <c r="E45" s="178" t="s">
        <v>49</v>
      </c>
      <c r="F45" s="179" t="s">
        <v>3</v>
      </c>
      <c r="G45" s="180" t="s">
        <v>236</v>
      </c>
      <c r="H45" s="178" t="s">
        <v>66</v>
      </c>
      <c r="I45" s="178" t="s">
        <v>338</v>
      </c>
      <c r="J45" s="178"/>
      <c r="K45" s="178"/>
      <c r="L45" s="178" t="s">
        <v>60</v>
      </c>
      <c r="M45" s="178">
        <v>90</v>
      </c>
      <c r="N45" s="178">
        <v>3300</v>
      </c>
      <c r="O45" s="178"/>
      <c r="P45" s="178">
        <v>90</v>
      </c>
      <c r="Q45" s="178"/>
      <c r="R45" s="178" t="s">
        <v>19</v>
      </c>
      <c r="S45" s="181"/>
      <c r="T45" s="181"/>
      <c r="U45" s="182"/>
      <c r="V45" s="182" t="s">
        <v>35</v>
      </c>
      <c r="W45" s="183">
        <v>100</v>
      </c>
      <c r="X45" s="182" t="s">
        <v>267</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v>12300</v>
      </c>
      <c r="BA45" s="184">
        <v>12300</v>
      </c>
      <c r="BB45" s="184">
        <v>12300</v>
      </c>
      <c r="BC45" s="184"/>
      <c r="BD45" s="184"/>
      <c r="BE45" s="184"/>
      <c r="BF45" s="184"/>
      <c r="BG45" s="184">
        <v>12000</v>
      </c>
      <c r="BH45" s="184">
        <v>12000</v>
      </c>
      <c r="BI45" s="184">
        <v>12000</v>
      </c>
      <c r="BJ45" s="184"/>
      <c r="BK45" s="184"/>
      <c r="BL45" s="184"/>
      <c r="BM45" s="184"/>
      <c r="BN45" s="184"/>
      <c r="BO45" s="184"/>
      <c r="BP45" s="184"/>
      <c r="BQ45" s="184"/>
      <c r="BR45" s="184"/>
      <c r="BS45" s="184"/>
      <c r="BT45" s="184"/>
      <c r="BU45" s="146" cm="1">
        <f t="array" ref="BU45">LOOKUP(2,1/(Y45:BT45&lt;&gt;""),Y45:BH45)</f>
        <v>12000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11" cm="1">
        <f t="array" ref="BW45">(LOOKUP(2,1/(BH45:BT45&lt;&gt;""),BH45:BT45))/(INDEX(BH45:BT45,MATCH(TRUE,INDEX((BH45:BT45&lt;&gt;0),0),0)))-1</f>
        <v>0</v>
      </c>
      <c r="BX45" s="212">
        <f t="shared" si="10"/>
        <v>12</v>
      </c>
      <c r="BY45" s="212">
        <f t="shared" si="1"/>
        <v>9</v>
      </c>
      <c r="BZ45" s="212">
        <f ca="1">IF(L45="BR",'Impostos e Frete'!$F$6,IF(L45="EU",'Impostos e Frete'!$I$3,IF(L45="CN",'Impostos e Frete'!$I$4,IF(L45="JP",'Impostos e Frete'!$I$5,IF(L45="RU",'Impostos e Frete'!$I$7,"ERRO")))))</f>
        <v>1.11958</v>
      </c>
      <c r="CA45" s="212">
        <f>VLOOKUP(L45,'Impostos e Frete'!$A$3:$B$7,2,0)*'Preços e Condições'!BY45</f>
        <v>1.2600000000000002</v>
      </c>
      <c r="CB45" s="147">
        <f t="shared" si="11"/>
        <v>0</v>
      </c>
      <c r="CC45" s="147">
        <f>IF(X45="BRL",'Impostos e Frete'!$B$11,'Impostos e Frete'!$B$12)</f>
        <v>9.1999999999999998E-2</v>
      </c>
      <c r="CD45" s="213">
        <f t="shared" ca="1" si="12"/>
        <v>11.471579999999999</v>
      </c>
      <c r="CE45" s="214">
        <f t="shared" ca="1" si="13"/>
        <v>0.74565269999999995</v>
      </c>
      <c r="CF45" s="215">
        <f>VLOOKUP(L45,'Impostos e Frete'!$A$3:$C$7,3,0)</f>
        <v>120</v>
      </c>
      <c r="CG45" s="215">
        <f t="shared" si="14"/>
        <v>90</v>
      </c>
      <c r="CH45" s="215">
        <f t="shared" si="15"/>
        <v>-30</v>
      </c>
      <c r="CI45" s="216">
        <f t="shared" ca="1" si="16"/>
        <v>0.17207369999999855</v>
      </c>
      <c r="CJ45" s="217">
        <f t="shared" ca="1" si="17"/>
        <v>11.643653699999998</v>
      </c>
      <c r="CK45" s="218">
        <f t="shared" ca="1" si="18"/>
        <v>0.75683749049999982</v>
      </c>
    </row>
    <row r="46" spans="1:92">
      <c r="A46" s="176">
        <v>18872</v>
      </c>
      <c r="B46" s="177">
        <v>3222</v>
      </c>
      <c r="C46" s="178">
        <v>65</v>
      </c>
      <c r="D46" s="178">
        <v>1830</v>
      </c>
      <c r="E46" s="178" t="s">
        <v>49</v>
      </c>
      <c r="F46" s="179" t="s">
        <v>3</v>
      </c>
      <c r="G46" s="180" t="s">
        <v>236</v>
      </c>
      <c r="H46" s="178" t="s">
        <v>66</v>
      </c>
      <c r="I46" s="178" t="s">
        <v>338</v>
      </c>
      <c r="J46" s="178"/>
      <c r="K46" s="178"/>
      <c r="L46" s="178" t="s">
        <v>60</v>
      </c>
      <c r="M46" s="178">
        <v>90</v>
      </c>
      <c r="N46" s="178">
        <v>400</v>
      </c>
      <c r="O46" s="178"/>
      <c r="P46" s="178">
        <v>90</v>
      </c>
      <c r="Q46" s="178"/>
      <c r="R46" s="178" t="s">
        <v>19</v>
      </c>
      <c r="S46" s="181"/>
      <c r="T46" s="181"/>
      <c r="U46" s="182"/>
      <c r="V46" s="182" t="s">
        <v>35</v>
      </c>
      <c r="W46" s="183">
        <v>100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v>1450</v>
      </c>
      <c r="BA46" s="184">
        <v>1450</v>
      </c>
      <c r="BB46" s="184">
        <v>1450</v>
      </c>
      <c r="BC46" s="184"/>
      <c r="BD46" s="184"/>
      <c r="BE46" s="184"/>
      <c r="BF46" s="184"/>
      <c r="BG46" s="184"/>
      <c r="BH46" s="184"/>
      <c r="BI46" s="184"/>
      <c r="BJ46" s="184"/>
      <c r="BK46" s="184"/>
      <c r="BL46" s="184"/>
      <c r="BM46" s="184"/>
      <c r="BN46" s="184"/>
      <c r="BO46" s="184"/>
      <c r="BP46" s="184"/>
      <c r="BQ46" s="184"/>
      <c r="BR46" s="184"/>
      <c r="BS46" s="184"/>
      <c r="BT46" s="184"/>
      <c r="BU46" s="146" cm="1">
        <f t="array" ref="BU46">LOOKUP(2,1/(Y46:BT46&lt;&gt;""),Y46:BH46)</f>
        <v>1450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45809</v>
      </c>
      <c r="BW46" s="211" t="e" cm="1">
        <f t="array" ref="BW46">(LOOKUP(2,1/(BH46:BT46&lt;&gt;""),BH46:BT46))/(INDEX(BH46:BT46,MATCH(TRUE,INDEX((BH46:BT46&lt;&gt;0),0),0)))-1</f>
        <v>#N/A</v>
      </c>
      <c r="BX46" s="212">
        <f t="shared" si="10"/>
        <v>1.45</v>
      </c>
      <c r="BY46" s="212">
        <f t="shared" si="1"/>
        <v>8.5549999999999997</v>
      </c>
      <c r="BZ46" s="212">
        <f ca="1">IF(L46="BR",'Impostos e Frete'!$F$6,IF(L46="EU",'Impostos e Frete'!$I$3,IF(L46="CN",'Impostos e Frete'!$I$4,IF(L46="JP",'Impostos e Frete'!$I$5,IF(L46="RU",'Impostos e Frete'!$I$7,"ERRO")))))</f>
        <v>1.11958</v>
      </c>
      <c r="CA46" s="212">
        <f>VLOOKUP(L46,'Impostos e Frete'!$A$3:$B$7,2,0)*'Preços e Condições'!BY46</f>
        <v>1.1977</v>
      </c>
      <c r="CB46" s="147">
        <f t="shared" si="11"/>
        <v>0</v>
      </c>
      <c r="CC46" s="147">
        <f>IF(X46="BRL",'Impostos e Frete'!$B$11,'Impostos e Frete'!$B$12)</f>
        <v>9.1999999999999998E-2</v>
      </c>
      <c r="CD46" s="213">
        <f t="shared" ca="1" si="12"/>
        <v>10.964279999999999</v>
      </c>
      <c r="CE46" s="214">
        <f t="shared" ca="1" si="13"/>
        <v>0.71267819999999993</v>
      </c>
      <c r="CF46" s="215">
        <f>VLOOKUP(L46,'Impostos e Frete'!$A$3:$C$7,3,0)</f>
        <v>120</v>
      </c>
      <c r="CG46" s="215">
        <f t="shared" si="14"/>
        <v>90</v>
      </c>
      <c r="CH46" s="215">
        <f t="shared" si="15"/>
        <v>-30</v>
      </c>
      <c r="CI46" s="216">
        <f t="shared" ca="1" si="16"/>
        <v>0.16446419999999939</v>
      </c>
      <c r="CJ46" s="217">
        <f t="shared" ca="1" si="17"/>
        <v>11.128744199999998</v>
      </c>
      <c r="CK46" s="218">
        <f t="shared" ca="1" si="18"/>
        <v>0.7233683729999999</v>
      </c>
    </row>
    <row r="47" spans="1:92">
      <c r="A47" s="176">
        <v>18871</v>
      </c>
      <c r="B47" s="188">
        <v>1833</v>
      </c>
      <c r="C47" s="178">
        <v>70</v>
      </c>
      <c r="D47" s="178">
        <v>1870</v>
      </c>
      <c r="E47" s="178" t="s">
        <v>50</v>
      </c>
      <c r="F47" s="179" t="s">
        <v>3</v>
      </c>
      <c r="G47" s="180" t="s">
        <v>250</v>
      </c>
      <c r="H47" s="178" t="s">
        <v>43</v>
      </c>
      <c r="I47" s="178" t="s">
        <v>251</v>
      </c>
      <c r="J47" s="178"/>
      <c r="K47" s="178"/>
      <c r="L47" s="178" t="s">
        <v>60</v>
      </c>
      <c r="M47" s="178">
        <v>90</v>
      </c>
      <c r="N47" s="178">
        <v>400</v>
      </c>
      <c r="O47" s="178"/>
      <c r="P47" s="178">
        <v>90</v>
      </c>
      <c r="Q47" s="178"/>
      <c r="R47" s="178" t="s">
        <v>19</v>
      </c>
      <c r="S47" s="181"/>
      <c r="T47" s="181"/>
      <c r="U47" s="182"/>
      <c r="V47" s="182" t="s">
        <v>35</v>
      </c>
      <c r="W47" s="183">
        <v>100</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v>1080</v>
      </c>
      <c r="BA47" s="184">
        <v>1080</v>
      </c>
      <c r="BB47" s="184">
        <v>1080</v>
      </c>
      <c r="BC47" s="184"/>
      <c r="BD47" s="184"/>
      <c r="BE47" s="184"/>
      <c r="BF47" s="184"/>
      <c r="BG47" s="184"/>
      <c r="BH47" s="184"/>
      <c r="BI47" s="184"/>
      <c r="BJ47" s="184"/>
      <c r="BK47" s="184"/>
      <c r="BL47" s="184"/>
      <c r="BM47" s="184"/>
      <c r="BN47" s="184"/>
      <c r="BO47" s="184"/>
      <c r="BP47" s="184"/>
      <c r="BQ47" s="184"/>
      <c r="BR47" s="184"/>
      <c r="BS47" s="184"/>
      <c r="BT47" s="184"/>
      <c r="BU47" s="146" cm="1">
        <f t="array" ref="BU47">LOOKUP(2,1/(Y47:BT47&lt;&gt;""),Y47:BH47)</f>
        <v>1080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45809</v>
      </c>
      <c r="BW47" s="211" t="e" cm="1">
        <f t="array" ref="BW47">(LOOKUP(2,1/(BH47:BT47&lt;&gt;""),BH47:BT47))/(INDEX(BH47:BT47,MATCH(TRUE,INDEX((BH47:BT47&lt;&gt;0),0),0)))-1</f>
        <v>#N/A</v>
      </c>
      <c r="BX47" s="212">
        <f t="shared" si="10"/>
        <v>1.08</v>
      </c>
      <c r="BY47" s="212">
        <f t="shared" si="1"/>
        <v>6.3720000000000008</v>
      </c>
      <c r="BZ47" s="212">
        <f ca="1">IF(L47="BR",'Impostos e Frete'!$F$6,IF(L47="EU",'Impostos e Frete'!$I$3,IF(L47="CN",'Impostos e Frete'!$I$4,IF(L47="JP",'Impostos e Frete'!$I$5,IF(L47="RU",'Impostos e Frete'!$I$7,"ERRO")))))</f>
        <v>1.11958</v>
      </c>
      <c r="CA47" s="212">
        <f>VLOOKUP(L47,'Impostos e Frete'!$A$3:$B$7,2,0)*'Preços e Condições'!BY47</f>
        <v>0.89208000000000021</v>
      </c>
      <c r="CB47" s="147">
        <f t="shared" si="11"/>
        <v>0</v>
      </c>
      <c r="CC47" s="147">
        <f>IF(X47="BRL",'Impostos e Frete'!$B$11,'Impostos e Frete'!$B$12)</f>
        <v>9.1999999999999998E-2</v>
      </c>
      <c r="CD47" s="213">
        <f t="shared" ca="1" si="12"/>
        <v>8.4756600000000013</v>
      </c>
      <c r="CE47" s="214">
        <f t="shared" ca="1" si="13"/>
        <v>0.59329620000000005</v>
      </c>
      <c r="CF47" s="215">
        <f>VLOOKUP(L47,'Impostos e Frete'!$A$3:$C$7,3,0)</f>
        <v>120</v>
      </c>
      <c r="CG47" s="215">
        <f t="shared" si="14"/>
        <v>90</v>
      </c>
      <c r="CH47" s="215">
        <f t="shared" si="15"/>
        <v>-30</v>
      </c>
      <c r="CI47" s="216">
        <f t="shared" ca="1" si="16"/>
        <v>0.12713489999999972</v>
      </c>
      <c r="CJ47" s="217">
        <f t="shared" ca="1" si="17"/>
        <v>8.602794900000001</v>
      </c>
      <c r="CK47" s="218">
        <f t="shared" ca="1" si="18"/>
        <v>0.60219564300000006</v>
      </c>
    </row>
    <row r="48" spans="1:92">
      <c r="A48" s="176"/>
      <c r="B48" s="188">
        <v>86</v>
      </c>
      <c r="C48" s="178">
        <v>70</v>
      </c>
      <c r="D48" s="178">
        <v>1860</v>
      </c>
      <c r="E48" s="178" t="s">
        <v>50</v>
      </c>
      <c r="F48" s="179" t="s">
        <v>3</v>
      </c>
      <c r="G48" s="180" t="s">
        <v>446</v>
      </c>
      <c r="H48" s="178" t="s">
        <v>43</v>
      </c>
      <c r="I48" s="178" t="s">
        <v>447</v>
      </c>
      <c r="J48" s="178"/>
      <c r="K48" s="178"/>
      <c r="L48" s="178" t="s">
        <v>60</v>
      </c>
      <c r="M48" s="178">
        <v>90</v>
      </c>
      <c r="N48" s="178">
        <v>3300</v>
      </c>
      <c r="O48" s="178"/>
      <c r="P48" s="178">
        <v>90</v>
      </c>
      <c r="Q48" s="178"/>
      <c r="R48" s="178" t="s">
        <v>19</v>
      </c>
      <c r="S48" s="181"/>
      <c r="T48" s="181"/>
      <c r="U48" s="182"/>
      <c r="V48" s="182" t="s">
        <v>35</v>
      </c>
      <c r="W48" s="183">
        <v>100</v>
      </c>
      <c r="X48" s="182" t="s">
        <v>267</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c r="BH48" s="184"/>
      <c r="BI48" s="184">
        <v>11600</v>
      </c>
      <c r="BJ48" s="184"/>
      <c r="BK48" s="184"/>
      <c r="BL48" s="184"/>
      <c r="BM48" s="184"/>
      <c r="BN48" s="184"/>
      <c r="BO48" s="184"/>
      <c r="BP48" s="184"/>
      <c r="BQ48" s="184"/>
      <c r="BR48" s="184"/>
      <c r="BS48" s="184"/>
      <c r="BT48" s="184"/>
      <c r="BU48" s="146" cm="1">
        <f t="array" ref="BU48">LOOKUP(2,1/(Y48:BT48&lt;&gt;""),Y48:BH48)</f>
        <v>11600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46023</v>
      </c>
      <c r="BW48" s="211" cm="1">
        <f t="array" ref="BW48">(LOOKUP(2,1/(BH48:BT48&lt;&gt;""),BH48:BT48))/(INDEX(BH48:BT48,MATCH(TRUE,INDEX((BH48:BT48&lt;&gt;0),0),0)))-1</f>
        <v>0</v>
      </c>
      <c r="BX48" s="212">
        <f t="shared" ref="BX48" si="19">BU48/1000</f>
        <v>11.6</v>
      </c>
      <c r="BY48" s="212">
        <f t="shared" si="1"/>
        <v>8.6999999999999993</v>
      </c>
      <c r="BZ48" s="212">
        <f ca="1">IF(L48="BR",'Impostos e Frete'!$F$6,IF(L48="EU",'Impostos e Frete'!$I$3,IF(L48="CN",'Impostos e Frete'!$I$4,IF(L48="JP",'Impostos e Frete'!$I$5,IF(L48="RU",'Impostos e Frete'!$I$7,"ERRO")))))</f>
        <v>1.11958</v>
      </c>
      <c r="CA48" s="212">
        <f>VLOOKUP(L48,'Impostos e Frete'!$A$3:$B$7,2,0)*'Preços e Condições'!BY48</f>
        <v>1.218</v>
      </c>
      <c r="CB48" s="147">
        <f t="shared" ref="CB48" si="20">IF(R48="CFR",$CB$2,IF(R48="FOB",0,IF(R48="EXW",$CB$1,"ERRO")))</f>
        <v>0</v>
      </c>
      <c r="CC48" s="147">
        <f>IF(X48="BRL",'Impostos e Frete'!$B$11,'Impostos e Frete'!$B$12)</f>
        <v>9.1999999999999998E-2</v>
      </c>
      <c r="CD48" s="213">
        <f t="shared" ref="CD48" ca="1" si="21">SUM(BY48:CC48)</f>
        <v>11.129579999999999</v>
      </c>
      <c r="CE48" s="214">
        <f t="shared" ref="CE48" ca="1" si="22">IF(C48="","erro",(CD48/1000)*C48)</f>
        <v>0.77907059999999984</v>
      </c>
      <c r="CF48" s="215">
        <f>VLOOKUP(L48,'Impostos e Frete'!$A$3:$C$7,3,0)</f>
        <v>120</v>
      </c>
      <c r="CG48" s="215">
        <f t="shared" ref="CG48" si="23">M48</f>
        <v>90</v>
      </c>
      <c r="CH48" s="215">
        <f t="shared" ref="CH48" si="24">CG48-CF48</f>
        <v>-30</v>
      </c>
      <c r="CI48" s="216">
        <f t="shared" ref="CI48" ca="1" si="25">CD48*(1+VALUE($CI$2))^((CH48*-1)/30)-CD48</f>
        <v>0.16694369999999914</v>
      </c>
      <c r="CJ48" s="217">
        <f t="shared" ref="CJ48" ca="1" si="26">CD48+CI48</f>
        <v>11.296523699999998</v>
      </c>
      <c r="CK48" s="218">
        <f t="shared" ref="CK48" ca="1" si="27">IF(C48="","erro",(CJ48/1000)*C48)</f>
        <v>0.79075665899999992</v>
      </c>
    </row>
    <row r="49" spans="1:89">
      <c r="A49" s="176">
        <v>18871</v>
      </c>
      <c r="B49" s="188">
        <v>1833</v>
      </c>
      <c r="C49" s="178">
        <v>70</v>
      </c>
      <c r="D49" s="178">
        <v>1870</v>
      </c>
      <c r="E49" s="178" t="s">
        <v>50</v>
      </c>
      <c r="F49" s="179" t="s">
        <v>3</v>
      </c>
      <c r="G49" s="180" t="s">
        <v>250</v>
      </c>
      <c r="H49" s="178" t="s">
        <v>43</v>
      </c>
      <c r="I49" s="178" t="s">
        <v>251</v>
      </c>
      <c r="J49" s="178"/>
      <c r="K49" s="178"/>
      <c r="L49" s="178" t="s">
        <v>60</v>
      </c>
      <c r="M49" s="178">
        <v>90</v>
      </c>
      <c r="N49" s="178">
        <v>3300</v>
      </c>
      <c r="O49" s="178"/>
      <c r="P49" s="178">
        <v>90</v>
      </c>
      <c r="Q49" s="178"/>
      <c r="R49" s="178" t="s">
        <v>19</v>
      </c>
      <c r="S49" s="181"/>
      <c r="T49" s="181"/>
      <c r="U49" s="182"/>
      <c r="V49" s="182" t="s">
        <v>35</v>
      </c>
      <c r="W49" s="183">
        <v>100</v>
      </c>
      <c r="X49" s="182" t="s">
        <v>267</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v>8300</v>
      </c>
      <c r="BA49" s="184">
        <v>8300</v>
      </c>
      <c r="BB49" s="184">
        <v>8300</v>
      </c>
      <c r="BC49" s="184">
        <v>8300</v>
      </c>
      <c r="BD49" s="184">
        <v>8300</v>
      </c>
      <c r="BE49" s="184">
        <v>8300</v>
      </c>
      <c r="BF49" s="184">
        <v>8300</v>
      </c>
      <c r="BG49" s="184">
        <v>8300</v>
      </c>
      <c r="BH49" s="184">
        <v>8300</v>
      </c>
      <c r="BI49" s="184">
        <v>8300</v>
      </c>
      <c r="BJ49" s="184"/>
      <c r="BK49" s="184"/>
      <c r="BL49" s="184"/>
      <c r="BM49" s="184"/>
      <c r="BN49" s="184"/>
      <c r="BO49" s="184"/>
      <c r="BP49" s="184"/>
      <c r="BQ49" s="184"/>
      <c r="BR49" s="184"/>
      <c r="BS49" s="184"/>
      <c r="BT49" s="184"/>
      <c r="BU49" s="146" cm="1">
        <f t="array" ref="BU49">LOOKUP(2,1/(Y49:BT49&lt;&gt;""),Y49:BH49)</f>
        <v>8300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46023</v>
      </c>
      <c r="BW49" s="211" cm="1">
        <f t="array" ref="BW49">(LOOKUP(2,1/(BH49:BT49&lt;&gt;""),BH49:BT49))/(INDEX(BH49:BT49,MATCH(TRUE,INDEX((BH49:BT49&lt;&gt;0),0),0)))-1</f>
        <v>0</v>
      </c>
      <c r="BX49" s="212">
        <f t="shared" si="10"/>
        <v>8.3000000000000007</v>
      </c>
      <c r="BY49" s="212">
        <f t="shared" si="1"/>
        <v>6.2250000000000005</v>
      </c>
      <c r="BZ49" s="212">
        <f ca="1">IF(L49="BR",'Impostos e Frete'!$F$6,IF(L49="EU",'Impostos e Frete'!$I$3,IF(L49="CN",'Impostos e Frete'!$I$4,IF(L49="JP",'Impostos e Frete'!$I$5,IF(L49="RU",'Impostos e Frete'!$I$7,"ERRO")))))</f>
        <v>1.11958</v>
      </c>
      <c r="CA49" s="212">
        <f>VLOOKUP(L49,'Impostos e Frete'!$A$3:$B$7,2,0)*'Preços e Condições'!BY49</f>
        <v>0.87150000000000016</v>
      </c>
      <c r="CB49" s="147">
        <f t="shared" si="11"/>
        <v>0</v>
      </c>
      <c r="CC49" s="147">
        <f>IF(X49="BRL",'Impostos e Frete'!$B$11,'Impostos e Frete'!$B$12)</f>
        <v>9.1999999999999998E-2</v>
      </c>
      <c r="CD49" s="213">
        <f t="shared" ca="1" si="12"/>
        <v>8.3080800000000021</v>
      </c>
      <c r="CE49" s="214">
        <f t="shared" ca="1" si="13"/>
        <v>0.58156560000000013</v>
      </c>
      <c r="CF49" s="215">
        <f>VLOOKUP(L49,'Impostos e Frete'!$A$3:$C$7,3,0)</f>
        <v>120</v>
      </c>
      <c r="CG49" s="215">
        <f t="shared" si="14"/>
        <v>90</v>
      </c>
      <c r="CH49" s="215">
        <f t="shared" si="15"/>
        <v>-30</v>
      </c>
      <c r="CI49" s="216">
        <f t="shared" ca="1" si="16"/>
        <v>0.12462119999999999</v>
      </c>
      <c r="CJ49" s="217">
        <f t="shared" ca="1" si="17"/>
        <v>8.4327012000000021</v>
      </c>
      <c r="CK49" s="218">
        <f t="shared" ca="1" si="18"/>
        <v>0.59028908400000013</v>
      </c>
    </row>
    <row r="50" spans="1:89">
      <c r="A50" s="176">
        <v>18873</v>
      </c>
      <c r="B50" s="177">
        <v>128</v>
      </c>
      <c r="C50" s="178">
        <v>65</v>
      </c>
      <c r="D50" s="178">
        <v>1860</v>
      </c>
      <c r="E50" s="178" t="s">
        <v>50</v>
      </c>
      <c r="F50" s="179" t="s">
        <v>3</v>
      </c>
      <c r="G50" s="180" t="s">
        <v>298</v>
      </c>
      <c r="H50" s="178" t="s">
        <v>43</v>
      </c>
      <c r="I50" s="178" t="s">
        <v>337</v>
      </c>
      <c r="J50" s="178"/>
      <c r="K50" s="178"/>
      <c r="L50" s="178" t="s">
        <v>60</v>
      </c>
      <c r="M50" s="178">
        <v>90</v>
      </c>
      <c r="N50" s="178">
        <v>3300</v>
      </c>
      <c r="O50" s="178"/>
      <c r="P50" s="178">
        <v>90</v>
      </c>
      <c r="Q50" s="178"/>
      <c r="R50" s="178" t="s">
        <v>19</v>
      </c>
      <c r="S50" s="181"/>
      <c r="T50" s="181"/>
      <c r="U50" s="182"/>
      <c r="V50" s="182" t="s">
        <v>35</v>
      </c>
      <c r="W50" s="183">
        <v>100</v>
      </c>
      <c r="X50" s="182" t="s">
        <v>267</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v>12100</v>
      </c>
      <c r="BA50" s="184">
        <v>12100</v>
      </c>
      <c r="BB50" s="184">
        <v>12100</v>
      </c>
      <c r="BC50" s="184"/>
      <c r="BD50" s="184"/>
      <c r="BE50" s="184"/>
      <c r="BF50" s="184"/>
      <c r="BG50" s="184"/>
      <c r="BH50" s="184"/>
      <c r="BI50" s="184"/>
      <c r="BJ50" s="184"/>
      <c r="BK50" s="184"/>
      <c r="BL50" s="184"/>
      <c r="BM50" s="184"/>
      <c r="BN50" s="184"/>
      <c r="BO50" s="184"/>
      <c r="BP50" s="184"/>
      <c r="BQ50" s="184"/>
      <c r="BR50" s="184"/>
      <c r="BS50" s="184"/>
      <c r="BT50" s="184"/>
      <c r="BU50" s="146" cm="1">
        <f t="array" ref="BU50">LOOKUP(2,1/(Y50:BT50&lt;&gt;""),Y50:BH50)</f>
        <v>12100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45809</v>
      </c>
      <c r="BW50" s="211" t="e" cm="1">
        <f t="array" ref="BW50">(LOOKUP(2,1/(BH50:BT50&lt;&gt;""),BH50:BT50))/(INDEX(BH50:BT50,MATCH(TRUE,INDEX((BH50:BT50&lt;&gt;0),0),0)))-1</f>
        <v>#N/A</v>
      </c>
      <c r="BX50" s="212">
        <f t="shared" si="10"/>
        <v>12.1</v>
      </c>
      <c r="BY50" s="212">
        <f t="shared" si="1"/>
        <v>9.0749999999999993</v>
      </c>
      <c r="BZ50" s="212">
        <f ca="1">IF(L50="BR",'Impostos e Frete'!$F$6,IF(L50="EU",'Impostos e Frete'!$I$3,IF(L50="CN",'Impostos e Frete'!$I$4,IF(L50="JP",'Impostos e Frete'!$I$5,IF(L50="RU",'Impostos e Frete'!$I$7,"ERRO")))))</f>
        <v>1.11958</v>
      </c>
      <c r="CA50" s="212">
        <f>VLOOKUP(L50,'Impostos e Frete'!$A$3:$B$7,2,0)*'Preços e Condições'!BY50</f>
        <v>1.2705</v>
      </c>
      <c r="CB50" s="147">
        <f t="shared" si="11"/>
        <v>0</v>
      </c>
      <c r="CC50" s="147">
        <f>IF(X50="BRL",'Impostos e Frete'!$B$11,'Impostos e Frete'!$B$12)</f>
        <v>9.1999999999999998E-2</v>
      </c>
      <c r="CD50" s="213">
        <f t="shared" ca="1" si="12"/>
        <v>11.557079999999999</v>
      </c>
      <c r="CE50" s="214">
        <f t="shared" ca="1" si="13"/>
        <v>0.75121019999999994</v>
      </c>
      <c r="CF50" s="215">
        <f>VLOOKUP(L50,'Impostos e Frete'!$A$3:$C$7,3,0)</f>
        <v>120</v>
      </c>
      <c r="CG50" s="215">
        <f t="shared" si="14"/>
        <v>90</v>
      </c>
      <c r="CH50" s="215">
        <f t="shared" si="15"/>
        <v>-30</v>
      </c>
      <c r="CI50" s="216">
        <f t="shared" ca="1" si="16"/>
        <v>0.17335619999999885</v>
      </c>
      <c r="CJ50" s="217">
        <f t="shared" ca="1" si="17"/>
        <v>11.730436199999998</v>
      </c>
      <c r="CK50" s="218">
        <f t="shared" ca="1" si="18"/>
        <v>0.76247835299999989</v>
      </c>
    </row>
    <row r="51" spans="1:89">
      <c r="A51" s="176">
        <v>18864</v>
      </c>
      <c r="B51" s="177">
        <v>248</v>
      </c>
      <c r="C51" s="178">
        <v>65</v>
      </c>
      <c r="D51" s="178">
        <v>1870</v>
      </c>
      <c r="E51" s="178" t="s">
        <v>50</v>
      </c>
      <c r="F51" s="179" t="s">
        <v>3</v>
      </c>
      <c r="G51" s="180" t="s">
        <v>107</v>
      </c>
      <c r="H51" s="178" t="s">
        <v>63</v>
      </c>
      <c r="I51" s="178" t="s">
        <v>106</v>
      </c>
      <c r="J51" s="178"/>
      <c r="K51" s="178"/>
      <c r="L51" s="178" t="s">
        <v>60</v>
      </c>
      <c r="M51" s="178">
        <v>90</v>
      </c>
      <c r="N51" s="178">
        <v>3300</v>
      </c>
      <c r="O51" s="178"/>
      <c r="P51" s="178">
        <v>90</v>
      </c>
      <c r="Q51" s="178"/>
      <c r="R51" s="178" t="s">
        <v>19</v>
      </c>
      <c r="S51" s="181"/>
      <c r="T51" s="181"/>
      <c r="U51" s="182"/>
      <c r="V51" s="182" t="s">
        <v>35</v>
      </c>
      <c r="W51" s="183">
        <v>100</v>
      </c>
      <c r="X51" s="182" t="s">
        <v>267</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v>12300</v>
      </c>
      <c r="BA51" s="184">
        <v>12300</v>
      </c>
      <c r="BB51" s="184">
        <v>12300</v>
      </c>
      <c r="BC51" s="184">
        <v>12300</v>
      </c>
      <c r="BD51" s="184">
        <v>12300</v>
      </c>
      <c r="BE51" s="184">
        <v>12300</v>
      </c>
      <c r="BF51" s="184">
        <v>12300</v>
      </c>
      <c r="BG51" s="184">
        <v>12300</v>
      </c>
      <c r="BH51" s="184">
        <v>12300</v>
      </c>
      <c r="BI51" s="184">
        <v>12300</v>
      </c>
      <c r="BJ51" s="184"/>
      <c r="BK51" s="184"/>
      <c r="BL51" s="184"/>
      <c r="BM51" s="184"/>
      <c r="BN51" s="184"/>
      <c r="BO51" s="184"/>
      <c r="BP51" s="184"/>
      <c r="BQ51" s="184"/>
      <c r="BR51" s="184"/>
      <c r="BS51" s="184"/>
      <c r="BT51" s="184"/>
      <c r="BU51" s="146" cm="1">
        <f t="array" ref="BU51">LOOKUP(2,1/(Y51:BT51&lt;&gt;""),Y51:BH51)</f>
        <v>12300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46023</v>
      </c>
      <c r="BW51" s="211" cm="1">
        <f t="array" ref="BW51">(LOOKUP(2,1/(BH51:BT51&lt;&gt;""),BH51:BT51))/(INDEX(BH51:BT51,MATCH(TRUE,INDEX((BH51:BT51&lt;&gt;0),0),0)))-1</f>
        <v>0</v>
      </c>
      <c r="BX51" s="212">
        <f t="shared" si="10"/>
        <v>12.3</v>
      </c>
      <c r="BY51" s="212">
        <f t="shared" si="1"/>
        <v>9.2250000000000014</v>
      </c>
      <c r="BZ51" s="212">
        <f ca="1">IF(L51="BR",'Impostos e Frete'!$F$6,IF(L51="EU",'Impostos e Frete'!$I$3,IF(L51="CN",'Impostos e Frete'!$I$4,IF(L51="JP",'Impostos e Frete'!$I$5,IF(L51="RU",'Impostos e Frete'!$I$7,"ERRO")))))</f>
        <v>1.11958</v>
      </c>
      <c r="CA51" s="212">
        <f>VLOOKUP(L51,'Impostos e Frete'!$A$3:$B$7,2,0)*'Preços e Condições'!BY51</f>
        <v>1.2915000000000003</v>
      </c>
      <c r="CB51" s="147">
        <f t="shared" si="11"/>
        <v>0</v>
      </c>
      <c r="CC51" s="147">
        <f>IF(X51="BRL",'Impostos e Frete'!$B$11,'Impostos e Frete'!$B$12)</f>
        <v>9.1999999999999998E-2</v>
      </c>
      <c r="CD51" s="213">
        <f t="shared" ca="1" si="12"/>
        <v>11.728080000000002</v>
      </c>
      <c r="CE51" s="214">
        <f t="shared" ca="1" si="13"/>
        <v>0.76232520000000015</v>
      </c>
      <c r="CF51" s="215">
        <f>VLOOKUP(L51,'Impostos e Frete'!$A$3:$C$7,3,0)</f>
        <v>120</v>
      </c>
      <c r="CG51" s="215">
        <f t="shared" si="14"/>
        <v>90</v>
      </c>
      <c r="CH51" s="215">
        <f t="shared" si="15"/>
        <v>-30</v>
      </c>
      <c r="CI51" s="216">
        <f t="shared" ca="1" si="16"/>
        <v>0.17592119999999944</v>
      </c>
      <c r="CJ51" s="217">
        <f t="shared" ca="1" si="17"/>
        <v>11.904001200000002</v>
      </c>
      <c r="CK51" s="218">
        <f t="shared" ca="1" si="18"/>
        <v>0.77376007800000013</v>
      </c>
    </row>
    <row r="52" spans="1:89">
      <c r="A52" s="176"/>
      <c r="B52" s="177" t="s">
        <v>76</v>
      </c>
      <c r="C52" s="178">
        <v>40</v>
      </c>
      <c r="D52" s="178">
        <v>1900</v>
      </c>
      <c r="E52" s="178" t="s">
        <v>209</v>
      </c>
      <c r="F52" s="179" t="s">
        <v>240</v>
      </c>
      <c r="G52" s="189" t="s">
        <v>246</v>
      </c>
      <c r="H52" s="178" t="s">
        <v>62</v>
      </c>
      <c r="I52" s="178"/>
      <c r="J52" s="178"/>
      <c r="K52" s="178"/>
      <c r="L52" s="178" t="s">
        <v>60</v>
      </c>
      <c r="M52" s="178">
        <v>75</v>
      </c>
      <c r="N52" s="178">
        <v>400</v>
      </c>
      <c r="O52" s="178"/>
      <c r="P52" s="178"/>
      <c r="Q52" s="178"/>
      <c r="R52" s="178" t="s">
        <v>19</v>
      </c>
      <c r="S52" s="181"/>
      <c r="T52" s="181"/>
      <c r="U52" s="182"/>
      <c r="V52" s="182" t="s">
        <v>35</v>
      </c>
      <c r="W52" s="183">
        <v>26</v>
      </c>
      <c r="X52" s="182" t="s">
        <v>51</v>
      </c>
      <c r="Y52" s="185"/>
      <c r="Z52" s="185"/>
      <c r="AA52" s="185"/>
      <c r="AB52" s="185"/>
      <c r="AC52" s="185"/>
      <c r="AD52" s="185"/>
      <c r="AE52" s="185"/>
      <c r="AF52" s="185"/>
      <c r="AG52" s="185"/>
      <c r="AH52" s="185"/>
      <c r="AI52" s="185"/>
      <c r="AJ52" s="185"/>
      <c r="AK52" s="185"/>
      <c r="AL52" s="185"/>
      <c r="AM52" s="185"/>
      <c r="AN52" s="185"/>
      <c r="AO52" s="185"/>
      <c r="AP52" s="185"/>
      <c r="AQ52" s="185"/>
      <c r="AR52" s="185"/>
      <c r="AS52" s="185"/>
      <c r="AT52" s="185"/>
      <c r="AU52" s="185"/>
      <c r="AV52" s="185"/>
      <c r="AW52" s="184"/>
      <c r="AX52" s="184"/>
      <c r="AY52" s="184"/>
      <c r="AZ52" s="184">
        <v>2600</v>
      </c>
      <c r="BA52" s="184">
        <v>2600</v>
      </c>
      <c r="BB52" s="184">
        <v>2600</v>
      </c>
      <c r="BC52" s="184"/>
      <c r="BD52" s="184"/>
      <c r="BE52" s="184"/>
      <c r="BF52" s="184"/>
      <c r="BG52" s="184"/>
      <c r="BH52" s="184"/>
      <c r="BI52" s="184"/>
      <c r="BJ52" s="184"/>
      <c r="BK52" s="184"/>
      <c r="BL52" s="184"/>
      <c r="BM52" s="184"/>
      <c r="BN52" s="184"/>
      <c r="BO52" s="184"/>
      <c r="BP52" s="184"/>
      <c r="BQ52" s="184"/>
      <c r="BR52" s="184"/>
      <c r="BS52" s="184"/>
      <c r="BT52" s="184"/>
      <c r="BU52" s="146" cm="1">
        <f t="array" ref="BU52">LOOKUP(2,1/(Y52:BT52&lt;&gt;""),Y52:BH52)</f>
        <v>2600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45809</v>
      </c>
      <c r="BW52" s="211" t="e" cm="1">
        <f t="array" ref="BW52">(LOOKUP(2,1/(BH52:BT52&lt;&gt;""),BH52:BT52))/(INDEX(BH52:BT52,MATCH(TRUE,INDEX((BH52:BT52&lt;&gt;0),0),0)))-1</f>
        <v>#N/A</v>
      </c>
      <c r="BX52" s="212">
        <f t="shared" si="10"/>
        <v>2.6</v>
      </c>
      <c r="BY52" s="212">
        <f t="shared" si="1"/>
        <v>15.340000000000002</v>
      </c>
      <c r="BZ52" s="212">
        <f ca="1">IF(L52="BR",'Impostos e Frete'!$F$6,IF(L52="EU",'Impostos e Frete'!$I$3,IF(L52="CN",'Impostos e Frete'!$I$4,IF(L52="JP",'Impostos e Frete'!$I$5,IF(L52="RU",'Impostos e Frete'!$I$7,"ERRO")))))</f>
        <v>1.11958</v>
      </c>
      <c r="CA52" s="212">
        <f>VLOOKUP(L52,'Impostos e Frete'!$A$3:$B$7,2,0)*'Preços e Condições'!BY52</f>
        <v>2.1476000000000006</v>
      </c>
      <c r="CB52" s="147">
        <f t="shared" si="11"/>
        <v>0</v>
      </c>
      <c r="CC52" s="147">
        <f>IF(X52="BRL",'Impostos e Frete'!$B$11,'Impostos e Frete'!$B$12)</f>
        <v>9.1999999999999998E-2</v>
      </c>
      <c r="CD52" s="213">
        <f t="shared" ca="1" si="12"/>
        <v>18.699180000000002</v>
      </c>
      <c r="CE52" s="214">
        <f t="shared" ca="1" si="13"/>
        <v>0.74796720000000017</v>
      </c>
      <c r="CF52" s="215">
        <f>VLOOKUP(L52,'Impostos e Frete'!$A$3:$C$7,3,0)</f>
        <v>120</v>
      </c>
      <c r="CG52" s="215">
        <f t="shared" si="14"/>
        <v>75</v>
      </c>
      <c r="CH52" s="215">
        <f t="shared" si="15"/>
        <v>-45</v>
      </c>
      <c r="CI52" s="216">
        <f t="shared" ca="1" si="16"/>
        <v>0.42230537097627163</v>
      </c>
      <c r="CJ52" s="217">
        <f t="shared" ca="1" si="17"/>
        <v>19.121485370976274</v>
      </c>
      <c r="CK52" s="218">
        <f t="shared" ca="1" si="18"/>
        <v>0.76485941483905096</v>
      </c>
    </row>
    <row r="53" spans="1:89">
      <c r="A53" s="176">
        <v>18505</v>
      </c>
      <c r="B53" s="177">
        <v>104</v>
      </c>
      <c r="C53" s="178">
        <v>80</v>
      </c>
      <c r="D53" s="178">
        <v>1870</v>
      </c>
      <c r="E53" s="178" t="s">
        <v>49</v>
      </c>
      <c r="F53" s="179" t="s">
        <v>240</v>
      </c>
      <c r="G53" s="180" t="s">
        <v>372</v>
      </c>
      <c r="H53" s="178" t="s">
        <v>43</v>
      </c>
      <c r="I53" s="178" t="s">
        <v>241</v>
      </c>
      <c r="J53" s="178"/>
      <c r="K53" s="178"/>
      <c r="L53" s="178" t="s">
        <v>60</v>
      </c>
      <c r="M53" s="178">
        <v>90</v>
      </c>
      <c r="N53" s="178">
        <v>3300</v>
      </c>
      <c r="O53" s="178"/>
      <c r="P53" s="178"/>
      <c r="Q53" s="178"/>
      <c r="R53" s="178" t="s">
        <v>19</v>
      </c>
      <c r="S53" s="181"/>
      <c r="T53" s="181"/>
      <c r="U53" s="182"/>
      <c r="V53" s="182" t="s">
        <v>35</v>
      </c>
      <c r="W53" s="183"/>
      <c r="X53" s="182" t="s">
        <v>267</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v>12500</v>
      </c>
      <c r="BC53" s="184">
        <v>12500</v>
      </c>
      <c r="BD53" s="184">
        <v>12500</v>
      </c>
      <c r="BE53" s="184">
        <v>12500</v>
      </c>
      <c r="BF53" s="184">
        <v>12500</v>
      </c>
      <c r="BG53" s="184">
        <v>12000</v>
      </c>
      <c r="BH53" s="184">
        <v>12000</v>
      </c>
      <c r="BI53" s="184">
        <v>12000</v>
      </c>
      <c r="BJ53" s="184"/>
      <c r="BK53" s="184"/>
      <c r="BL53" s="184"/>
      <c r="BM53" s="184"/>
      <c r="BN53" s="184"/>
      <c r="BO53" s="184"/>
      <c r="BP53" s="184"/>
      <c r="BQ53" s="184"/>
      <c r="BR53" s="184"/>
      <c r="BS53" s="184"/>
      <c r="BT53" s="184"/>
      <c r="BU53" s="146" cm="1">
        <f t="array" ref="BU53">LOOKUP(2,1/(Y53:BT53&lt;&gt;""),Y53:BH53)</f>
        <v>12000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46023</v>
      </c>
      <c r="BW53" s="211" cm="1">
        <f t="array" ref="BW53">(LOOKUP(2,1/(BH53:BT53&lt;&gt;""),BH53:BT53))/(INDEX(BH53:BT53,MATCH(TRUE,INDEX((BH53:BT53&lt;&gt;0),0),0)))-1</f>
        <v>0</v>
      </c>
      <c r="BX53" s="212">
        <f t="shared" si="10"/>
        <v>12</v>
      </c>
      <c r="BY53" s="212">
        <f t="shared" si="1"/>
        <v>9</v>
      </c>
      <c r="BZ53" s="212">
        <f ca="1">IF(L53="BR",'Impostos e Frete'!$F$6,IF(L53="EU",'Impostos e Frete'!$I$3,IF(L53="CN",'Impostos e Frete'!$I$4,IF(L53="JP",'Impostos e Frete'!$I$5,IF(L53="RU",'Impostos e Frete'!$I$7,"ERRO")))))</f>
        <v>1.11958</v>
      </c>
      <c r="CA53" s="212">
        <f>VLOOKUP(L53,'Impostos e Frete'!$A$3:$B$7,2,0)*'Preços e Condições'!BY53</f>
        <v>1.2600000000000002</v>
      </c>
      <c r="CB53" s="147">
        <f t="shared" si="11"/>
        <v>0</v>
      </c>
      <c r="CC53" s="147">
        <f>IF(X53="BRL",'Impostos e Frete'!$B$11,'Impostos e Frete'!$B$12)</f>
        <v>9.1999999999999998E-2</v>
      </c>
      <c r="CD53" s="213">
        <f t="shared" ca="1" si="12"/>
        <v>11.471579999999999</v>
      </c>
      <c r="CE53" s="214">
        <f t="shared" ca="1" si="13"/>
        <v>0.91772639999999983</v>
      </c>
      <c r="CF53" s="215">
        <f>VLOOKUP(L53,'Impostos e Frete'!$A$3:$C$7,3,0)</f>
        <v>120</v>
      </c>
      <c r="CG53" s="215">
        <f t="shared" si="14"/>
        <v>90</v>
      </c>
      <c r="CH53" s="215">
        <f t="shared" si="15"/>
        <v>-30</v>
      </c>
      <c r="CI53" s="216">
        <f t="shared" ca="1" si="16"/>
        <v>0.17207369999999855</v>
      </c>
      <c r="CJ53" s="217">
        <f t="shared" ca="1" si="17"/>
        <v>11.643653699999998</v>
      </c>
      <c r="CK53" s="218">
        <f t="shared" ca="1" si="18"/>
        <v>0.93149229599999983</v>
      </c>
    </row>
    <row r="54" spans="1:89">
      <c r="A54" s="176">
        <v>18506</v>
      </c>
      <c r="B54" s="177">
        <v>104</v>
      </c>
      <c r="C54" s="178">
        <v>70</v>
      </c>
      <c r="D54" s="178">
        <v>1870</v>
      </c>
      <c r="E54" s="178" t="s">
        <v>50</v>
      </c>
      <c r="F54" s="179" t="s">
        <v>240</v>
      </c>
      <c r="G54" s="180" t="s">
        <v>372</v>
      </c>
      <c r="H54" s="178" t="s">
        <v>43</v>
      </c>
      <c r="I54" s="178" t="s">
        <v>241</v>
      </c>
      <c r="J54" s="178"/>
      <c r="K54" s="178"/>
      <c r="L54" s="178" t="s">
        <v>60</v>
      </c>
      <c r="M54" s="178">
        <v>90</v>
      </c>
      <c r="N54" s="178">
        <v>3300</v>
      </c>
      <c r="O54" s="178"/>
      <c r="P54" s="178"/>
      <c r="Q54" s="178"/>
      <c r="R54" s="178" t="s">
        <v>19</v>
      </c>
      <c r="S54" s="181"/>
      <c r="T54" s="181"/>
      <c r="U54" s="182"/>
      <c r="V54" s="182" t="s">
        <v>35</v>
      </c>
      <c r="W54" s="183"/>
      <c r="X54" s="182" t="s">
        <v>267</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v>12500</v>
      </c>
      <c r="BC54" s="184">
        <v>12500</v>
      </c>
      <c r="BD54" s="184">
        <v>12500</v>
      </c>
      <c r="BE54" s="184">
        <v>12500</v>
      </c>
      <c r="BF54" s="184">
        <v>12500</v>
      </c>
      <c r="BG54" s="184">
        <v>12000</v>
      </c>
      <c r="BH54" s="184">
        <v>12000</v>
      </c>
      <c r="BI54" s="184">
        <v>12000</v>
      </c>
      <c r="BJ54" s="184"/>
      <c r="BK54" s="184"/>
      <c r="BL54" s="184"/>
      <c r="BM54" s="184"/>
      <c r="BN54" s="184"/>
      <c r="BO54" s="184"/>
      <c r="BP54" s="184"/>
      <c r="BQ54" s="184"/>
      <c r="BR54" s="184"/>
      <c r="BS54" s="184"/>
      <c r="BT54" s="184"/>
      <c r="BU54" s="146" cm="1">
        <f t="array" ref="BU54">LOOKUP(2,1/(Y54:BT54&lt;&gt;""),Y54:BH54)</f>
        <v>12000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46023</v>
      </c>
      <c r="BW54" s="211" cm="1">
        <f t="array" ref="BW54">(LOOKUP(2,1/(BH54:BT54&lt;&gt;""),BH54:BT54))/(INDEX(BH54:BT54,MATCH(TRUE,INDEX((BH54:BT54&lt;&gt;0),0),0)))-1</f>
        <v>0</v>
      </c>
      <c r="BX54" s="212">
        <f t="shared" si="10"/>
        <v>12</v>
      </c>
      <c r="BY54" s="212">
        <f t="shared" si="1"/>
        <v>9</v>
      </c>
      <c r="BZ54" s="212">
        <f ca="1">IF(L54="BR",'Impostos e Frete'!$F$6,IF(L54="EU",'Impostos e Frete'!$I$3,IF(L54="CN",'Impostos e Frete'!$I$4,IF(L54="JP",'Impostos e Frete'!$I$5,IF(L54="RU",'Impostos e Frete'!$I$7,"ERRO")))))</f>
        <v>1.11958</v>
      </c>
      <c r="CA54" s="212">
        <f>VLOOKUP(L54,'Impostos e Frete'!$A$3:$B$7,2,0)*'Preços e Condições'!BY54</f>
        <v>1.2600000000000002</v>
      </c>
      <c r="CB54" s="147">
        <f t="shared" si="11"/>
        <v>0</v>
      </c>
      <c r="CC54" s="147">
        <f>IF(X54="BRL",'Impostos e Frete'!$B$11,'Impostos e Frete'!$B$12)</f>
        <v>9.1999999999999998E-2</v>
      </c>
      <c r="CD54" s="213">
        <f t="shared" ca="1" si="12"/>
        <v>11.471579999999999</v>
      </c>
      <c r="CE54" s="214">
        <f t="shared" ca="1" si="13"/>
        <v>0.80301059999999991</v>
      </c>
      <c r="CF54" s="215">
        <f>VLOOKUP(L54,'Impostos e Frete'!$A$3:$C$7,3,0)</f>
        <v>120</v>
      </c>
      <c r="CG54" s="215">
        <f t="shared" si="14"/>
        <v>90</v>
      </c>
      <c r="CH54" s="215">
        <f t="shared" si="15"/>
        <v>-30</v>
      </c>
      <c r="CI54" s="216">
        <f t="shared" ca="1" si="16"/>
        <v>0.17207369999999855</v>
      </c>
      <c r="CJ54" s="217">
        <f t="shared" ca="1" si="17"/>
        <v>11.643653699999998</v>
      </c>
      <c r="CK54" s="218">
        <f t="shared" ca="1" si="18"/>
        <v>0.81505575899999982</v>
      </c>
    </row>
    <row r="55" spans="1:89">
      <c r="A55" s="176">
        <v>18507</v>
      </c>
      <c r="B55" s="177">
        <v>128</v>
      </c>
      <c r="C55" s="178">
        <v>65</v>
      </c>
      <c r="D55" s="178">
        <v>1870</v>
      </c>
      <c r="E55" s="178" t="s">
        <v>50</v>
      </c>
      <c r="F55" s="179" t="s">
        <v>240</v>
      </c>
      <c r="G55" s="180" t="s">
        <v>304</v>
      </c>
      <c r="H55" s="178" t="s">
        <v>43</v>
      </c>
      <c r="I55" s="178" t="s">
        <v>241</v>
      </c>
      <c r="J55" s="178"/>
      <c r="K55" s="178"/>
      <c r="L55" s="178" t="s">
        <v>60</v>
      </c>
      <c r="M55" s="178">
        <v>90</v>
      </c>
      <c r="N55" s="178">
        <v>3300</v>
      </c>
      <c r="O55" s="178"/>
      <c r="P55" s="178"/>
      <c r="Q55" s="178"/>
      <c r="R55" s="178" t="s">
        <v>19</v>
      </c>
      <c r="S55" s="181"/>
      <c r="T55" s="181"/>
      <c r="U55" s="182"/>
      <c r="V55" s="182" t="s">
        <v>35</v>
      </c>
      <c r="W55" s="183"/>
      <c r="X55" s="182" t="s">
        <v>267</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v>12000</v>
      </c>
      <c r="BC55" s="184">
        <v>12000</v>
      </c>
      <c r="BD55" s="184">
        <v>12000</v>
      </c>
      <c r="BE55" s="184">
        <v>12000</v>
      </c>
      <c r="BF55" s="184">
        <v>12000</v>
      </c>
      <c r="BG55" s="184">
        <v>11500</v>
      </c>
      <c r="BH55" s="184">
        <v>11500</v>
      </c>
      <c r="BI55" s="184">
        <v>11500</v>
      </c>
      <c r="BJ55" s="184"/>
      <c r="BK55" s="184"/>
      <c r="BL55" s="184"/>
      <c r="BM55" s="184"/>
      <c r="BN55" s="184"/>
      <c r="BO55" s="184"/>
      <c r="BP55" s="184"/>
      <c r="BQ55" s="184"/>
      <c r="BR55" s="184"/>
      <c r="BS55" s="184"/>
      <c r="BT55" s="184"/>
      <c r="BU55" s="146" cm="1">
        <f t="array" ref="BU55">LOOKUP(2,1/(Y55:BT55&lt;&gt;""),Y55:BH55)</f>
        <v>11500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46023</v>
      </c>
      <c r="BW55" s="211" cm="1">
        <f t="array" ref="BW55">(LOOKUP(2,1/(BH55:BT55&lt;&gt;""),BH55:BT55))/(INDEX(BH55:BT55,MATCH(TRUE,INDEX((BH55:BT55&lt;&gt;0),0),0)))-1</f>
        <v>0</v>
      </c>
      <c r="BX55" s="212">
        <f t="shared" si="10"/>
        <v>11.5</v>
      </c>
      <c r="BY55" s="212">
        <f t="shared" si="1"/>
        <v>8.625</v>
      </c>
      <c r="BZ55" s="212">
        <f ca="1">IF(L55="BR",'Impostos e Frete'!$F$6,IF(L55="EU",'Impostos e Frete'!$I$3,IF(L55="CN",'Impostos e Frete'!$I$4,IF(L55="JP",'Impostos e Frete'!$I$5,IF(L55="RU",'Impostos e Frete'!$I$7,"ERRO")))))</f>
        <v>1.11958</v>
      </c>
      <c r="CA55" s="212">
        <f>VLOOKUP(L55,'Impostos e Frete'!$A$3:$B$7,2,0)*'Preços e Condições'!BY55</f>
        <v>1.2075</v>
      </c>
      <c r="CB55" s="147">
        <f t="shared" si="11"/>
        <v>0</v>
      </c>
      <c r="CC55" s="147">
        <f>IF(X55="BRL",'Impostos e Frete'!$B$11,'Impostos e Frete'!$B$12)</f>
        <v>9.1999999999999998E-2</v>
      </c>
      <c r="CD55" s="213">
        <f t="shared" ca="1" si="12"/>
        <v>11.044079999999999</v>
      </c>
      <c r="CE55" s="214">
        <f t="shared" ca="1" si="13"/>
        <v>0.71786519999999998</v>
      </c>
      <c r="CF55" s="215">
        <f>VLOOKUP(L55,'Impostos e Frete'!$A$3:$C$7,3,0)</f>
        <v>120</v>
      </c>
      <c r="CG55" s="215">
        <f t="shared" si="14"/>
        <v>90</v>
      </c>
      <c r="CH55" s="215">
        <f t="shared" si="15"/>
        <v>-30</v>
      </c>
      <c r="CI55" s="216">
        <f t="shared" ca="1" si="16"/>
        <v>0.16566119999999884</v>
      </c>
      <c r="CJ55" s="217">
        <f t="shared" ca="1" si="17"/>
        <v>11.209741199999998</v>
      </c>
      <c r="CK55" s="218">
        <f t="shared" ca="1" si="18"/>
        <v>0.72863317799999983</v>
      </c>
    </row>
    <row r="56" spans="1:89">
      <c r="A56" s="176">
        <v>18508</v>
      </c>
      <c r="B56" s="177">
        <v>9370</v>
      </c>
      <c r="C56" s="178">
        <v>65</v>
      </c>
      <c r="D56" s="178">
        <v>1880</v>
      </c>
      <c r="E56" s="178" t="s">
        <v>209</v>
      </c>
      <c r="F56" s="179" t="s">
        <v>240</v>
      </c>
      <c r="G56" s="180" t="s">
        <v>305</v>
      </c>
      <c r="H56" s="178" t="s">
        <v>43</v>
      </c>
      <c r="I56" s="178" t="s">
        <v>241</v>
      </c>
      <c r="J56" s="178"/>
      <c r="K56" s="178"/>
      <c r="L56" s="178" t="s">
        <v>60</v>
      </c>
      <c r="M56" s="178">
        <v>90</v>
      </c>
      <c r="N56" s="178">
        <v>3300</v>
      </c>
      <c r="O56" s="178"/>
      <c r="P56" s="178"/>
      <c r="Q56" s="178"/>
      <c r="R56" s="178" t="s">
        <v>19</v>
      </c>
      <c r="S56" s="181"/>
      <c r="T56" s="181"/>
      <c r="U56" s="182"/>
      <c r="V56" s="182" t="s">
        <v>35</v>
      </c>
      <c r="W56" s="183">
        <v>100</v>
      </c>
      <c r="X56" s="182" t="s">
        <v>267</v>
      </c>
      <c r="Y56" s="184"/>
      <c r="Z56" s="184"/>
      <c r="AA56" s="184"/>
      <c r="AB56" s="184"/>
      <c r="AC56" s="184"/>
      <c r="AD56" s="184"/>
      <c r="AE56" s="184"/>
      <c r="AF56" s="184"/>
      <c r="AG56" s="184"/>
      <c r="AH56" s="184"/>
      <c r="AI56" s="184"/>
      <c r="AJ56" s="184"/>
      <c r="AK56" s="184"/>
      <c r="AL56" s="184"/>
      <c r="AM56" s="184"/>
      <c r="AN56" s="184"/>
      <c r="AO56" s="184"/>
      <c r="AP56" s="184"/>
      <c r="AQ56" s="184"/>
      <c r="AR56" s="184"/>
      <c r="AS56" s="184"/>
      <c r="AT56" s="184"/>
      <c r="AU56" s="184"/>
      <c r="AV56" s="184"/>
      <c r="AW56" s="184"/>
      <c r="AX56" s="184"/>
      <c r="AY56" s="184"/>
      <c r="AZ56" s="184"/>
      <c r="BA56" s="184"/>
      <c r="BB56" s="184">
        <v>19500</v>
      </c>
      <c r="BC56" s="184">
        <v>19500</v>
      </c>
      <c r="BD56" s="184">
        <v>19500</v>
      </c>
      <c r="BE56" s="184">
        <v>19500</v>
      </c>
      <c r="BF56" s="184">
        <v>19500</v>
      </c>
      <c r="BG56" s="184">
        <v>19500</v>
      </c>
      <c r="BH56" s="184">
        <v>19500</v>
      </c>
      <c r="BI56" s="184">
        <v>19500</v>
      </c>
      <c r="BJ56" s="184"/>
      <c r="BK56" s="184"/>
      <c r="BL56" s="184"/>
      <c r="BM56" s="184"/>
      <c r="BN56" s="184"/>
      <c r="BO56" s="184"/>
      <c r="BP56" s="184"/>
      <c r="BQ56" s="184"/>
      <c r="BR56" s="184"/>
      <c r="BS56" s="184"/>
      <c r="BT56" s="184"/>
      <c r="BU56" s="146" cm="1">
        <f t="array" ref="BU56">LOOKUP(2,1/(Y56:BT56&lt;&gt;""),Y56:BH56)</f>
        <v>19500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46023</v>
      </c>
      <c r="BW56" s="211" cm="1">
        <f t="array" ref="BW56">(LOOKUP(2,1/(BH56:BT56&lt;&gt;""),BH56:BT56))/(INDEX(BH56:BT56,MATCH(TRUE,INDEX((BH56:BT56&lt;&gt;0),0),0)))-1</f>
        <v>0</v>
      </c>
      <c r="BX56" s="212">
        <f t="shared" si="10"/>
        <v>19.5</v>
      </c>
      <c r="BY56" s="212">
        <f t="shared" si="1"/>
        <v>14.625</v>
      </c>
      <c r="BZ56" s="212">
        <f ca="1">IF(L56="BR",'Impostos e Frete'!$F$6,IF(L56="EU",'Impostos e Frete'!$I$3,IF(L56="CN",'Impostos e Frete'!$I$4,IF(L56="JP",'Impostos e Frete'!$I$5,IF(L56="RU",'Impostos e Frete'!$I$7,"ERRO")))))</f>
        <v>1.11958</v>
      </c>
      <c r="CA56" s="212">
        <f>VLOOKUP(L56,'Impostos e Frete'!$A$3:$B$7,2,0)*'Preços e Condições'!BY56</f>
        <v>2.0475000000000003</v>
      </c>
      <c r="CB56" s="147">
        <f t="shared" si="11"/>
        <v>0</v>
      </c>
      <c r="CC56" s="147">
        <f>IF(X56="BRL",'Impostos e Frete'!$B$11,'Impostos e Frete'!$B$12)</f>
        <v>9.1999999999999998E-2</v>
      </c>
      <c r="CD56" s="213">
        <f t="shared" ca="1" si="12"/>
        <v>17.884079999999997</v>
      </c>
      <c r="CE56" s="214">
        <f t="shared" ca="1" si="13"/>
        <v>1.1624651999999998</v>
      </c>
      <c r="CF56" s="215">
        <f>VLOOKUP(L56,'Impostos e Frete'!$A$3:$C$7,3,0)</f>
        <v>120</v>
      </c>
      <c r="CG56" s="215">
        <f t="shared" si="14"/>
        <v>90</v>
      </c>
      <c r="CH56" s="215">
        <f t="shared" si="15"/>
        <v>-30</v>
      </c>
      <c r="CI56" s="216">
        <f t="shared" ca="1" si="16"/>
        <v>0.26826119999999776</v>
      </c>
      <c r="CJ56" s="217">
        <f t="shared" ca="1" si="17"/>
        <v>18.152341199999995</v>
      </c>
      <c r="CK56" s="218">
        <f t="shared" ca="1" si="18"/>
        <v>1.1799021779999996</v>
      </c>
    </row>
    <row r="57" spans="1:89">
      <c r="A57" s="176">
        <v>18509</v>
      </c>
      <c r="B57" s="177">
        <v>9370</v>
      </c>
      <c r="C57" s="178">
        <v>70</v>
      </c>
      <c r="D57" s="178">
        <v>1880</v>
      </c>
      <c r="E57" s="178" t="s">
        <v>209</v>
      </c>
      <c r="F57" s="179" t="s">
        <v>240</v>
      </c>
      <c r="G57" s="189" t="s">
        <v>305</v>
      </c>
      <c r="H57" s="178" t="s">
        <v>43</v>
      </c>
      <c r="I57" s="178" t="s">
        <v>241</v>
      </c>
      <c r="J57" s="178"/>
      <c r="K57" s="178"/>
      <c r="L57" s="178" t="s">
        <v>60</v>
      </c>
      <c r="M57" s="178">
        <v>90</v>
      </c>
      <c r="N57" s="178">
        <v>3300</v>
      </c>
      <c r="O57" s="178"/>
      <c r="P57" s="178"/>
      <c r="Q57" s="178"/>
      <c r="R57" s="178" t="s">
        <v>19</v>
      </c>
      <c r="S57" s="181"/>
      <c r="T57" s="181"/>
      <c r="U57" s="182"/>
      <c r="V57" s="182" t="s">
        <v>35</v>
      </c>
      <c r="W57" s="183">
        <v>100</v>
      </c>
      <c r="X57" s="182" t="s">
        <v>267</v>
      </c>
      <c r="Y57" s="184"/>
      <c r="Z57" s="184"/>
      <c r="AA57" s="184"/>
      <c r="AB57" s="184"/>
      <c r="AC57" s="184"/>
      <c r="AD57" s="184"/>
      <c r="AE57" s="184"/>
      <c r="AF57" s="184"/>
      <c r="AG57" s="184"/>
      <c r="AH57" s="184"/>
      <c r="AI57" s="184"/>
      <c r="AJ57" s="184"/>
      <c r="AK57" s="184"/>
      <c r="AL57" s="184"/>
      <c r="AM57" s="184"/>
      <c r="AN57" s="184"/>
      <c r="AO57" s="184"/>
      <c r="AP57" s="184"/>
      <c r="AQ57" s="184"/>
      <c r="AR57" s="184"/>
      <c r="AS57" s="184"/>
      <c r="AT57" s="184"/>
      <c r="AU57" s="184"/>
      <c r="AV57" s="184"/>
      <c r="AW57" s="184"/>
      <c r="AX57" s="184"/>
      <c r="AY57" s="184"/>
      <c r="AZ57" s="184"/>
      <c r="BA57" s="184"/>
      <c r="BB57" s="184">
        <v>19500</v>
      </c>
      <c r="BC57" s="184">
        <v>19500</v>
      </c>
      <c r="BD57" s="184">
        <v>19500</v>
      </c>
      <c r="BE57" s="184">
        <v>19500</v>
      </c>
      <c r="BF57" s="184">
        <v>19500</v>
      </c>
      <c r="BG57" s="184">
        <v>19500</v>
      </c>
      <c r="BH57" s="184">
        <v>19500</v>
      </c>
      <c r="BI57" s="184">
        <v>19500</v>
      </c>
      <c r="BJ57" s="184"/>
      <c r="BK57" s="184"/>
      <c r="BL57" s="184"/>
      <c r="BM57" s="184"/>
      <c r="BN57" s="184"/>
      <c r="BO57" s="184"/>
      <c r="BP57" s="184"/>
      <c r="BQ57" s="184"/>
      <c r="BR57" s="184"/>
      <c r="BS57" s="184"/>
      <c r="BT57" s="184"/>
      <c r="BU57" s="146" cm="1">
        <f t="array" ref="BU57">LOOKUP(2,1/(Y57:BT57&lt;&gt;""),Y57:BH57)</f>
        <v>19500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46023</v>
      </c>
      <c r="BW57" s="211" cm="1">
        <f t="array" ref="BW57">(LOOKUP(2,1/(BH57:BT57&lt;&gt;""),BH57:BT57))/(INDEX(BH57:BT57,MATCH(TRUE,INDEX((BH57:BT57&lt;&gt;0),0),0)))-1</f>
        <v>0</v>
      </c>
      <c r="BX57" s="212">
        <f t="shared" si="10"/>
        <v>19.5</v>
      </c>
      <c r="BY57" s="212">
        <f t="shared" si="1"/>
        <v>14.625</v>
      </c>
      <c r="BZ57" s="212">
        <f ca="1">IF(L57="BR",'Impostos e Frete'!$F$6,IF(L57="EU",'Impostos e Frete'!$I$3,IF(L57="CN",'Impostos e Frete'!$I$4,IF(L57="JP",'Impostos e Frete'!$I$5,IF(L57="RU",'Impostos e Frete'!$I$7,"ERRO")))))</f>
        <v>1.11958</v>
      </c>
      <c r="CA57" s="212">
        <f>VLOOKUP(L57,'Impostos e Frete'!$A$3:$B$7,2,0)*'Preços e Condições'!BY57</f>
        <v>2.0475000000000003</v>
      </c>
      <c r="CB57" s="147">
        <f t="shared" si="11"/>
        <v>0</v>
      </c>
      <c r="CC57" s="147">
        <f>IF(X57="BRL",'Impostos e Frete'!$B$11,'Impostos e Frete'!$B$12)</f>
        <v>9.1999999999999998E-2</v>
      </c>
      <c r="CD57" s="213">
        <f t="shared" ca="1" si="12"/>
        <v>17.884079999999997</v>
      </c>
      <c r="CE57" s="214">
        <f t="shared" ca="1" si="13"/>
        <v>1.2518855999999998</v>
      </c>
      <c r="CF57" s="215">
        <f>VLOOKUP(L57,'Impostos e Frete'!$A$3:$C$7,3,0)</f>
        <v>120</v>
      </c>
      <c r="CG57" s="215">
        <f t="shared" si="14"/>
        <v>90</v>
      </c>
      <c r="CH57" s="215">
        <f t="shared" si="15"/>
        <v>-30</v>
      </c>
      <c r="CI57" s="216">
        <f t="shared" ca="1" si="16"/>
        <v>0.26826119999999776</v>
      </c>
      <c r="CJ57" s="217">
        <f t="shared" ca="1" si="17"/>
        <v>18.152341199999995</v>
      </c>
      <c r="CK57" s="218">
        <f t="shared" ca="1" si="18"/>
        <v>1.2706638839999995</v>
      </c>
    </row>
    <row r="58" spans="1:89">
      <c r="A58" s="176">
        <v>18509</v>
      </c>
      <c r="B58" s="177">
        <v>9370</v>
      </c>
      <c r="C58" s="178">
        <v>70</v>
      </c>
      <c r="D58" s="178">
        <v>1900</v>
      </c>
      <c r="E58" s="178" t="s">
        <v>209</v>
      </c>
      <c r="F58" s="179" t="s">
        <v>240</v>
      </c>
      <c r="G58" s="180" t="s">
        <v>305</v>
      </c>
      <c r="H58" s="178" t="s">
        <v>43</v>
      </c>
      <c r="I58" s="178" t="s">
        <v>241</v>
      </c>
      <c r="J58" s="178"/>
      <c r="K58" s="178"/>
      <c r="L58" s="178" t="s">
        <v>60</v>
      </c>
      <c r="M58" s="178">
        <v>75</v>
      </c>
      <c r="N58" s="178">
        <v>400</v>
      </c>
      <c r="O58" s="178"/>
      <c r="P58" s="178"/>
      <c r="Q58" s="178"/>
      <c r="R58" s="178" t="s">
        <v>19</v>
      </c>
      <c r="S58" s="181"/>
      <c r="T58" s="181"/>
      <c r="U58" s="182"/>
      <c r="V58" s="182" t="s">
        <v>35</v>
      </c>
      <c r="W58" s="183">
        <v>26</v>
      </c>
      <c r="X58" s="182" t="s">
        <v>51</v>
      </c>
      <c r="Y58" s="184"/>
      <c r="Z58" s="184"/>
      <c r="AA58" s="184"/>
      <c r="AB58" s="184"/>
      <c r="AC58" s="184"/>
      <c r="AD58" s="184"/>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v>2500</v>
      </c>
      <c r="BA58" s="184">
        <v>2500</v>
      </c>
      <c r="BB58" s="184">
        <v>2500</v>
      </c>
      <c r="BC58" s="184"/>
      <c r="BD58" s="184"/>
      <c r="BE58" s="184"/>
      <c r="BF58" s="184"/>
      <c r="BG58" s="184">
        <v>19500</v>
      </c>
      <c r="BH58" s="184"/>
      <c r="BI58" s="184"/>
      <c r="BJ58" s="184"/>
      <c r="BK58" s="184"/>
      <c r="BL58" s="184"/>
      <c r="BM58" s="184"/>
      <c r="BN58" s="184"/>
      <c r="BO58" s="184"/>
      <c r="BP58" s="184"/>
      <c r="BQ58" s="184"/>
      <c r="BR58" s="184"/>
      <c r="BS58" s="184"/>
      <c r="BT58" s="184"/>
      <c r="BU58" s="146" cm="1">
        <f t="array" ref="BU58">LOOKUP(2,1/(Y58:BT58&lt;&gt;""),Y58:BH58)</f>
        <v>19500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45962</v>
      </c>
      <c r="BW58" s="211" t="e" cm="1">
        <f t="array" ref="BW58">(LOOKUP(2,1/(BH58:BT58&lt;&gt;""),BH58:BT58))/(INDEX(BH58:BT58,MATCH(TRUE,INDEX((BH58:BT58&lt;&gt;0),0),0)))-1</f>
        <v>#N/A</v>
      </c>
      <c r="BX58" s="212">
        <f t="shared" si="10"/>
        <v>19.5</v>
      </c>
      <c r="BY58" s="212">
        <f t="shared" si="1"/>
        <v>115.05000000000001</v>
      </c>
      <c r="BZ58" s="212">
        <f ca="1">IF(L58="BR",'Impostos e Frete'!$F$6,IF(L58="EU",'Impostos e Frete'!$I$3,IF(L58="CN",'Impostos e Frete'!$I$4,IF(L58="JP",'Impostos e Frete'!$I$5,IF(L58="RU",'Impostos e Frete'!$I$7,"ERRO")))))</f>
        <v>1.11958</v>
      </c>
      <c r="CA58" s="212">
        <f>VLOOKUP(L58,'Impostos e Frete'!$A$3:$B$7,2,0)*'Preços e Condições'!BY58</f>
        <v>16.107000000000003</v>
      </c>
      <c r="CB58" s="147">
        <f t="shared" si="11"/>
        <v>0</v>
      </c>
      <c r="CC58" s="147">
        <f>IF(X58="BRL",'Impostos e Frete'!$B$11,'Impostos e Frete'!$B$12)</f>
        <v>9.1999999999999998E-2</v>
      </c>
      <c r="CD58" s="213">
        <f t="shared" ca="1" si="12"/>
        <v>132.36858000000004</v>
      </c>
      <c r="CE58" s="214">
        <f t="shared" ca="1" si="13"/>
        <v>9.2658006000000022</v>
      </c>
      <c r="CF58" s="215">
        <f>VLOOKUP(L58,'Impostos e Frete'!$A$3:$C$7,3,0)</f>
        <v>120</v>
      </c>
      <c r="CG58" s="215">
        <f t="shared" si="14"/>
        <v>75</v>
      </c>
      <c r="CH58" s="215">
        <f t="shared" si="15"/>
        <v>-45</v>
      </c>
      <c r="CI58" s="216">
        <f t="shared" ca="1" si="16"/>
        <v>2.9894338833308325</v>
      </c>
      <c r="CJ58" s="217">
        <f t="shared" ca="1" si="17"/>
        <v>135.35801388333087</v>
      </c>
      <c r="CK58" s="218">
        <f t="shared" ca="1" si="18"/>
        <v>9.4750609718331624</v>
      </c>
    </row>
    <row r="59" spans="1:89">
      <c r="A59" s="176">
        <v>18510</v>
      </c>
      <c r="B59" s="177" t="s">
        <v>123</v>
      </c>
      <c r="C59" s="178">
        <v>60</v>
      </c>
      <c r="D59" s="178">
        <v>2080</v>
      </c>
      <c r="E59" s="178" t="s">
        <v>49</v>
      </c>
      <c r="F59" s="179" t="s">
        <v>240</v>
      </c>
      <c r="G59" s="185" t="s">
        <v>310</v>
      </c>
      <c r="H59" s="178" t="s">
        <v>61</v>
      </c>
      <c r="I59" s="178" t="s">
        <v>311</v>
      </c>
      <c r="J59" s="178"/>
      <c r="K59" s="178"/>
      <c r="L59" s="178" t="s">
        <v>60</v>
      </c>
      <c r="M59" s="178">
        <v>90</v>
      </c>
      <c r="N59" s="178">
        <v>3300</v>
      </c>
      <c r="O59" s="178"/>
      <c r="P59" s="178"/>
      <c r="Q59" s="178"/>
      <c r="R59" s="178" t="s">
        <v>19</v>
      </c>
      <c r="S59" s="181"/>
      <c r="T59" s="181"/>
      <c r="U59" s="182"/>
      <c r="V59" s="182" t="s">
        <v>35</v>
      </c>
      <c r="W59" s="183"/>
      <c r="X59" s="182" t="s">
        <v>267</v>
      </c>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v>9000</v>
      </c>
      <c r="BC59" s="184">
        <v>9000</v>
      </c>
      <c r="BD59" s="184">
        <v>9000</v>
      </c>
      <c r="BE59" s="184">
        <v>9000</v>
      </c>
      <c r="BF59" s="184">
        <v>9000</v>
      </c>
      <c r="BG59" s="184">
        <v>9000</v>
      </c>
      <c r="BH59" s="184">
        <v>9000</v>
      </c>
      <c r="BI59" s="184">
        <v>9000</v>
      </c>
      <c r="BJ59" s="184"/>
      <c r="BK59" s="184"/>
      <c r="BL59" s="184"/>
      <c r="BM59" s="184"/>
      <c r="BN59" s="184"/>
      <c r="BO59" s="184"/>
      <c r="BP59" s="184"/>
      <c r="BQ59" s="184"/>
      <c r="BR59" s="184"/>
      <c r="BS59" s="184"/>
      <c r="BT59" s="184"/>
      <c r="BU59" s="146" cm="1">
        <f t="array" ref="BU59">LOOKUP(2,1/(Y59:BT59&lt;&gt;""),Y59:BH59)</f>
        <v>9000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46023</v>
      </c>
      <c r="BW59" s="211" cm="1">
        <f t="array" ref="BW59">(LOOKUP(2,1/(BH59:BT59&lt;&gt;""),BH59:BT59))/(INDEX(BH59:BT59,MATCH(TRUE,INDEX((BH59:BT59&lt;&gt;0),0),0)))-1</f>
        <v>0</v>
      </c>
      <c r="BX59" s="212">
        <f t="shared" si="10"/>
        <v>9</v>
      </c>
      <c r="BY59" s="212">
        <f t="shared" si="1"/>
        <v>6.75</v>
      </c>
      <c r="BZ59" s="212">
        <f ca="1">IF(L59="BR",'Impostos e Frete'!$F$6,IF(L59="EU",'Impostos e Frete'!$I$3,IF(L59="CN",'Impostos e Frete'!$I$4,IF(L59="JP",'Impostos e Frete'!$I$5,IF(L59="RU",'Impostos e Frete'!$I$7,"ERRO")))))</f>
        <v>1.11958</v>
      </c>
      <c r="CA59" s="212">
        <f>VLOOKUP(L59,'Impostos e Frete'!$A$3:$B$7,2,0)*'Preços e Condições'!BY59</f>
        <v>0.94500000000000006</v>
      </c>
      <c r="CB59" s="147">
        <f t="shared" si="11"/>
        <v>0</v>
      </c>
      <c r="CC59" s="147">
        <f>IF(X59="BRL",'Impostos e Frete'!$B$11,'Impostos e Frete'!$B$12)</f>
        <v>9.1999999999999998E-2</v>
      </c>
      <c r="CD59" s="213">
        <f t="shared" ca="1" si="12"/>
        <v>8.9065799999999999</v>
      </c>
      <c r="CE59" s="214">
        <f t="shared" ca="1" si="13"/>
        <v>0.53439480000000006</v>
      </c>
      <c r="CF59" s="215">
        <f>VLOOKUP(L59,'Impostos e Frete'!$A$3:$C$7,3,0)</f>
        <v>120</v>
      </c>
      <c r="CG59" s="215">
        <f t="shared" si="14"/>
        <v>90</v>
      </c>
      <c r="CH59" s="215">
        <f t="shared" si="15"/>
        <v>-30</v>
      </c>
      <c r="CI59" s="216">
        <f t="shared" ca="1" si="16"/>
        <v>0.13359869999999852</v>
      </c>
      <c r="CJ59" s="217">
        <f t="shared" ca="1" si="17"/>
        <v>9.0401786999999985</v>
      </c>
      <c r="CK59" s="218">
        <f t="shared" ca="1" si="18"/>
        <v>0.54241072199999985</v>
      </c>
    </row>
    <row r="60" spans="1:89">
      <c r="A60" s="176"/>
      <c r="B60" s="177" t="s">
        <v>448</v>
      </c>
      <c r="C60" s="178">
        <v>50</v>
      </c>
      <c r="D60" s="178">
        <v>1870</v>
      </c>
      <c r="E60" s="178" t="s">
        <v>50</v>
      </c>
      <c r="F60" s="179" t="s">
        <v>240</v>
      </c>
      <c r="G60" s="185" t="s">
        <v>449</v>
      </c>
      <c r="H60" s="178" t="s">
        <v>42</v>
      </c>
      <c r="I60" s="178"/>
      <c r="J60" s="178"/>
      <c r="K60" s="178"/>
      <c r="L60" s="183" t="s">
        <v>60</v>
      </c>
      <c r="M60" s="183">
        <v>90</v>
      </c>
      <c r="N60" s="183">
        <v>3300</v>
      </c>
      <c r="O60" s="178"/>
      <c r="P60" s="178"/>
      <c r="Q60" s="178"/>
      <c r="R60" s="178" t="s">
        <v>19</v>
      </c>
      <c r="S60" s="181"/>
      <c r="T60" s="181"/>
      <c r="U60" s="182"/>
      <c r="V60" s="182" t="s">
        <v>35</v>
      </c>
      <c r="W60" s="183">
        <v>100</v>
      </c>
      <c r="X60" s="182" t="s">
        <v>267</v>
      </c>
      <c r="Y60" s="184"/>
      <c r="Z60" s="184"/>
      <c r="AA60" s="184"/>
      <c r="AB60" s="184"/>
      <c r="AC60" s="184"/>
      <c r="AD60" s="184"/>
      <c r="AE60" s="184"/>
      <c r="AF60" s="184"/>
      <c r="AG60" s="184"/>
      <c r="AH60" s="184"/>
      <c r="AI60" s="184"/>
      <c r="AJ60" s="184"/>
      <c r="AK60" s="184"/>
      <c r="AL60" s="184"/>
      <c r="AM60" s="184"/>
      <c r="AN60" s="184"/>
      <c r="AO60" s="184"/>
      <c r="AP60" s="184"/>
      <c r="AQ60" s="184"/>
      <c r="AR60" s="184"/>
      <c r="AS60" s="184"/>
      <c r="AT60" s="184"/>
      <c r="AU60" s="184"/>
      <c r="AV60" s="184"/>
      <c r="AW60" s="184"/>
      <c r="AX60" s="184"/>
      <c r="AY60" s="184"/>
      <c r="AZ60" s="184"/>
      <c r="BA60" s="184"/>
      <c r="BB60" s="184"/>
      <c r="BC60" s="184"/>
      <c r="BD60" s="184"/>
      <c r="BE60" s="184"/>
      <c r="BF60" s="184"/>
      <c r="BG60" s="184"/>
      <c r="BH60" s="184"/>
      <c r="BI60" s="184">
        <v>13000</v>
      </c>
      <c r="BJ60" s="184"/>
      <c r="BK60" s="184"/>
      <c r="BL60" s="184"/>
      <c r="BM60" s="184"/>
      <c r="BN60" s="184"/>
      <c r="BO60" s="184"/>
      <c r="BP60" s="184"/>
      <c r="BQ60" s="184"/>
      <c r="BR60" s="184"/>
      <c r="BS60" s="184"/>
      <c r="BT60" s="184"/>
      <c r="BU60" s="146" cm="1">
        <f t="array" ref="BU60">LOOKUP(2,1/(Y60:BT60&lt;&gt;""),Y60:BH60)</f>
        <v>13000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46023</v>
      </c>
      <c r="BW60" s="211" cm="1">
        <f t="array" ref="BW60">(LOOKUP(2,1/(BH60:BT60&lt;&gt;""),BH60:BT60))/(INDEX(BH60:BT60,MATCH(TRUE,INDEX((BH60:BT60&lt;&gt;0),0),0)))-1</f>
        <v>0</v>
      </c>
      <c r="BX60" s="212">
        <f t="shared" ref="BX60" si="28">BU60/1000</f>
        <v>13</v>
      </c>
      <c r="BY60" s="212">
        <f t="shared" si="1"/>
        <v>9.75</v>
      </c>
      <c r="BZ60" s="212">
        <f ca="1">IF(L60="BR",'Impostos e Frete'!$F$6,IF(L60="EU",'Impostos e Frete'!$I$3,IF(L60="CN",'Impostos e Frete'!$I$4,IF(L60="JP",'Impostos e Frete'!$I$5,IF(L60="RU",'Impostos e Frete'!$I$7,"ERRO")))))</f>
        <v>1.11958</v>
      </c>
      <c r="CA60" s="212">
        <f>VLOOKUP(L60,'Impostos e Frete'!$A$3:$B$7,2,0)*'Preços e Condições'!BY60</f>
        <v>1.3650000000000002</v>
      </c>
      <c r="CB60" s="147">
        <f t="shared" ref="CB60" si="29">IF(R60="CFR",$CB$2,IF(R60="FOB",0,IF(R60="EXW",$CB$1,"ERRO")))</f>
        <v>0</v>
      </c>
      <c r="CC60" s="147">
        <f>IF(X60="BRL",'Impostos e Frete'!$B$11,'Impostos e Frete'!$B$12)</f>
        <v>9.1999999999999998E-2</v>
      </c>
      <c r="CD60" s="213">
        <f t="shared" ref="CD60" ca="1" si="30">SUM(BY60:CC60)</f>
        <v>12.32658</v>
      </c>
      <c r="CE60" s="214">
        <f t="shared" ref="CE60" ca="1" si="31">IF(C60="","erro",(CD60/1000)*C60)</f>
        <v>0.61632900000000002</v>
      </c>
      <c r="CF60" s="215">
        <f>VLOOKUP(L60,'Impostos e Frete'!$A$3:$C$7,3,0)</f>
        <v>120</v>
      </c>
      <c r="CG60" s="215">
        <f t="shared" ref="CG60" si="32">M60</f>
        <v>90</v>
      </c>
      <c r="CH60" s="215">
        <f t="shared" ref="CH60" si="33">CG60-CF60</f>
        <v>-30</v>
      </c>
      <c r="CI60" s="216">
        <f t="shared" ref="CI60" ca="1" si="34">CD60*(1+VALUE($CI$2))^((CH60*-1)/30)-CD60</f>
        <v>0.18489869999999797</v>
      </c>
      <c r="CJ60" s="217">
        <f t="shared" ref="CJ60" ca="1" si="35">CD60+CI60</f>
        <v>12.511478699999998</v>
      </c>
      <c r="CK60" s="218">
        <f t="shared" ref="CK60" ca="1" si="36">IF(C60="","erro",(CJ60/1000)*C60)</f>
        <v>0.62557393499999991</v>
      </c>
    </row>
    <row r="61" spans="1:89">
      <c r="A61" s="176">
        <v>18511</v>
      </c>
      <c r="B61" s="177" t="s">
        <v>123</v>
      </c>
      <c r="C61" s="178">
        <v>50</v>
      </c>
      <c r="D61" s="178">
        <v>2080</v>
      </c>
      <c r="E61" s="178" t="s">
        <v>49</v>
      </c>
      <c r="F61" s="179" t="s">
        <v>240</v>
      </c>
      <c r="G61" s="185" t="s">
        <v>328</v>
      </c>
      <c r="H61" s="178" t="s">
        <v>61</v>
      </c>
      <c r="I61" s="178" t="s">
        <v>311</v>
      </c>
      <c r="J61" s="178"/>
      <c r="K61" s="178"/>
      <c r="L61" s="178" t="s">
        <v>60</v>
      </c>
      <c r="M61" s="178">
        <v>90</v>
      </c>
      <c r="N61" s="178">
        <v>3300</v>
      </c>
      <c r="O61" s="178"/>
      <c r="P61" s="178"/>
      <c r="Q61" s="178"/>
      <c r="R61" s="178" t="s">
        <v>19</v>
      </c>
      <c r="S61" s="181"/>
      <c r="T61" s="181"/>
      <c r="U61" s="182"/>
      <c r="V61" s="182" t="s">
        <v>35</v>
      </c>
      <c r="W61" s="183"/>
      <c r="X61" s="182" t="s">
        <v>267</v>
      </c>
      <c r="Y61" s="184"/>
      <c r="Z61" s="184"/>
      <c r="AA61" s="184"/>
      <c r="AB61" s="184"/>
      <c r="AC61" s="184"/>
      <c r="AD61" s="184"/>
      <c r="AE61" s="184"/>
      <c r="AF61" s="184"/>
      <c r="AG61" s="184"/>
      <c r="AH61" s="184"/>
      <c r="AI61" s="184"/>
      <c r="AJ61" s="184"/>
      <c r="AK61" s="184"/>
      <c r="AL61" s="184"/>
      <c r="AM61" s="184"/>
      <c r="AN61" s="184"/>
      <c r="AO61" s="184"/>
      <c r="AP61" s="184"/>
      <c r="AQ61" s="184"/>
      <c r="AR61" s="184"/>
      <c r="AS61" s="184"/>
      <c r="AT61" s="184"/>
      <c r="AU61" s="184"/>
      <c r="AV61" s="184"/>
      <c r="AW61" s="184"/>
      <c r="AX61" s="184"/>
      <c r="AY61" s="184"/>
      <c r="AZ61" s="184"/>
      <c r="BA61" s="184"/>
      <c r="BB61" s="184">
        <v>10000</v>
      </c>
      <c r="BC61" s="184">
        <v>10000</v>
      </c>
      <c r="BD61" s="184">
        <v>10000</v>
      </c>
      <c r="BE61" s="184">
        <v>10000</v>
      </c>
      <c r="BF61" s="184">
        <v>10000</v>
      </c>
      <c r="BG61" s="184">
        <v>9000</v>
      </c>
      <c r="BH61" s="184">
        <v>9000</v>
      </c>
      <c r="BI61" s="184"/>
      <c r="BJ61" s="184"/>
      <c r="BK61" s="184"/>
      <c r="BL61" s="184"/>
      <c r="BM61" s="184"/>
      <c r="BN61" s="184"/>
      <c r="BO61" s="184"/>
      <c r="BP61" s="184"/>
      <c r="BQ61" s="184"/>
      <c r="BR61" s="184"/>
      <c r="BS61" s="184"/>
      <c r="BT61" s="184"/>
      <c r="BU61" s="146" cm="1">
        <f t="array" ref="BU61">LOOKUP(2,1/(Y61:BT61&lt;&gt;""),Y61:BH61)</f>
        <v>9000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45992</v>
      </c>
      <c r="BW61" s="211" cm="1">
        <f t="array" ref="BW61">(LOOKUP(2,1/(BH61:BT61&lt;&gt;""),BH61:BT61))/(INDEX(BH61:BT61,MATCH(TRUE,INDEX((BH61:BT61&lt;&gt;0),0),0)))-1</f>
        <v>0</v>
      </c>
      <c r="BX61" s="212">
        <f t="shared" si="10"/>
        <v>9</v>
      </c>
      <c r="BY61" s="212">
        <f t="shared" si="1"/>
        <v>6.75</v>
      </c>
      <c r="BZ61" s="212">
        <f ca="1">IF(L61="BR",'Impostos e Frete'!$F$6,IF(L61="EU",'Impostos e Frete'!$I$3,IF(L61="CN",'Impostos e Frete'!$I$4,IF(L61="JP",'Impostos e Frete'!$I$5,IF(L61="RU",'Impostos e Frete'!$I$7,"ERRO")))))</f>
        <v>1.11958</v>
      </c>
      <c r="CA61" s="212">
        <f>VLOOKUP(L61,'Impostos e Frete'!$A$3:$B$7,2,0)*'Preços e Condições'!BY61</f>
        <v>0.94500000000000006</v>
      </c>
      <c r="CB61" s="147">
        <f t="shared" si="11"/>
        <v>0</v>
      </c>
      <c r="CC61" s="147">
        <f>IF(X61="BRL",'Impostos e Frete'!$B$11,'Impostos e Frete'!$B$12)</f>
        <v>9.1999999999999998E-2</v>
      </c>
      <c r="CD61" s="213">
        <f t="shared" ca="1" si="12"/>
        <v>8.9065799999999999</v>
      </c>
      <c r="CE61" s="214">
        <f t="shared" ca="1" si="13"/>
        <v>0.44532900000000003</v>
      </c>
      <c r="CF61" s="215">
        <f>VLOOKUP(L61,'Impostos e Frete'!$A$3:$C$7,3,0)</f>
        <v>120</v>
      </c>
      <c r="CG61" s="215">
        <f t="shared" si="14"/>
        <v>90</v>
      </c>
      <c r="CH61" s="215">
        <f t="shared" si="15"/>
        <v>-30</v>
      </c>
      <c r="CI61" s="216">
        <f t="shared" ca="1" si="16"/>
        <v>0.13359869999999852</v>
      </c>
      <c r="CJ61" s="217">
        <f t="shared" ca="1" si="17"/>
        <v>9.0401786999999985</v>
      </c>
      <c r="CK61" s="218">
        <f t="shared" ca="1" si="18"/>
        <v>0.45200893499999995</v>
      </c>
    </row>
    <row r="62" spans="1:89">
      <c r="A62" s="176">
        <v>14106</v>
      </c>
      <c r="B62" s="177">
        <v>104</v>
      </c>
      <c r="C62" s="178">
        <v>68</v>
      </c>
      <c r="D62" s="178">
        <v>1270</v>
      </c>
      <c r="E62" s="178" t="s">
        <v>50</v>
      </c>
      <c r="F62" s="179" t="s">
        <v>2</v>
      </c>
      <c r="G62" s="189" t="s">
        <v>146</v>
      </c>
      <c r="H62" s="178" t="s">
        <v>43</v>
      </c>
      <c r="I62" s="178">
        <v>32113</v>
      </c>
      <c r="J62" s="178"/>
      <c r="K62" s="178"/>
      <c r="L62" s="178" t="s">
        <v>59</v>
      </c>
      <c r="M62" s="178">
        <v>120</v>
      </c>
      <c r="N62" s="178"/>
      <c r="O62" s="178"/>
      <c r="P62" s="178"/>
      <c r="Q62" s="178"/>
      <c r="R62" s="178" t="s">
        <v>126</v>
      </c>
      <c r="S62" s="181"/>
      <c r="T62" s="181"/>
      <c r="U62" s="182"/>
      <c r="V62" s="182" t="s">
        <v>35</v>
      </c>
      <c r="W62" s="183">
        <v>100</v>
      </c>
      <c r="X62" s="182" t="s">
        <v>51</v>
      </c>
      <c r="Y62" s="184">
        <v>2570</v>
      </c>
      <c r="Z62" s="184">
        <v>2570</v>
      </c>
      <c r="AA62" s="184">
        <v>2570</v>
      </c>
      <c r="AB62" s="184">
        <v>2470</v>
      </c>
      <c r="AC62" s="184">
        <v>2470</v>
      </c>
      <c r="AD62" s="184">
        <v>2470</v>
      </c>
      <c r="AE62" s="184">
        <v>2250</v>
      </c>
      <c r="AF62" s="184">
        <v>2250</v>
      </c>
      <c r="AG62" s="184">
        <v>2250</v>
      </c>
      <c r="AH62" s="184">
        <v>2130</v>
      </c>
      <c r="AI62" s="184">
        <v>2130</v>
      </c>
      <c r="AJ62" s="184">
        <v>2130</v>
      </c>
      <c r="AK62" s="184">
        <v>2130</v>
      </c>
      <c r="AL62" s="184">
        <v>2160</v>
      </c>
      <c r="AM62" s="184">
        <v>2160</v>
      </c>
      <c r="AN62" s="184">
        <v>2160</v>
      </c>
      <c r="AO62" s="184">
        <v>2280</v>
      </c>
      <c r="AP62" s="184">
        <v>2280</v>
      </c>
      <c r="AQ62" s="184">
        <v>2280</v>
      </c>
      <c r="AR62" s="184">
        <v>2280</v>
      </c>
      <c r="AS62" s="184">
        <v>2280</v>
      </c>
      <c r="AT62" s="184">
        <v>2280</v>
      </c>
      <c r="AU62" s="184">
        <v>2220</v>
      </c>
      <c r="AV62" s="184">
        <v>2220</v>
      </c>
      <c r="AW62" s="184">
        <v>2180</v>
      </c>
      <c r="AX62" s="184">
        <v>2180</v>
      </c>
      <c r="AY62" s="184">
        <v>2180</v>
      </c>
      <c r="AZ62" s="184">
        <v>2260</v>
      </c>
      <c r="BA62" s="184">
        <v>2260</v>
      </c>
      <c r="BB62" s="184">
        <v>2260</v>
      </c>
      <c r="BC62" s="184">
        <v>2260</v>
      </c>
      <c r="BD62" s="184">
        <v>2260</v>
      </c>
      <c r="BE62" s="184">
        <v>2260</v>
      </c>
      <c r="BF62" s="184">
        <v>2160</v>
      </c>
      <c r="BG62" s="184">
        <v>2160</v>
      </c>
      <c r="BH62" s="184">
        <v>2160</v>
      </c>
      <c r="BI62" s="184">
        <v>2160</v>
      </c>
      <c r="BJ62" s="184">
        <v>2160</v>
      </c>
      <c r="BK62" s="184">
        <v>2160</v>
      </c>
      <c r="BL62" s="184">
        <v>2250</v>
      </c>
      <c r="BM62" s="184">
        <v>2250</v>
      </c>
      <c r="BN62" s="184">
        <v>2250</v>
      </c>
      <c r="BO62" s="184">
        <v>2330</v>
      </c>
      <c r="BP62" s="184">
        <v>2330</v>
      </c>
      <c r="BQ62" s="184">
        <v>2330</v>
      </c>
      <c r="BR62" s="184"/>
      <c r="BS62" s="184"/>
      <c r="BT62" s="184"/>
      <c r="BU62" s="146" cm="1">
        <f t="array" ref="BU62">LOOKUP(2,1/(Y62:BT62&lt;&gt;""),Y62:BH62)</f>
        <v>2330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46199</v>
      </c>
      <c r="BW62" s="211" cm="1">
        <f t="array" ref="BW62">(LOOKUP(2,1/(BH62:BT62&lt;&gt;""),BH62:BT62))/(INDEX(BH62:BT62,MATCH(TRUE,INDEX((BH62:BT62&lt;&gt;0),0),0)))-1</f>
        <v>7.870370370370372E-2</v>
      </c>
      <c r="BX62" s="212">
        <f t="shared" si="10"/>
        <v>2.33</v>
      </c>
      <c r="BY62" s="212">
        <f t="shared" si="1"/>
        <v>13.747000000000002</v>
      </c>
      <c r="BZ62" s="212">
        <f ca="1">IF(L62="BR",'Impostos e Frete'!$F$6,IF(L62="EU",'Impostos e Frete'!$I$3,IF(L62="CN",'Impostos e Frete'!$I$4,IF(L62="JP",'Impostos e Frete'!$I$5,IF(L62="RU",'Impostos e Frete'!$I$7,"ERRO")))))</f>
        <v>0.14176320000000001</v>
      </c>
      <c r="CA62" s="212">
        <f>VLOOKUP(L62,'Impostos e Frete'!$A$3:$B$7,2,0)*'Preços e Condições'!BY62</f>
        <v>1.7871100000000002</v>
      </c>
      <c r="CB62" s="147">
        <f t="shared" si="11"/>
        <v>-0.17699999999999999</v>
      </c>
      <c r="CC62" s="147">
        <f>IF(X62="BRL",'Impostos e Frete'!$B$11,'Impostos e Frete'!$B$12)</f>
        <v>9.1999999999999998E-2</v>
      </c>
      <c r="CD62" s="213">
        <f t="shared" ca="1" si="12"/>
        <v>15.590873200000003</v>
      </c>
      <c r="CE62" s="214">
        <f t="shared" ca="1" si="13"/>
        <v>1.0601793776000001</v>
      </c>
      <c r="CF62" s="215">
        <f>VLOOKUP(L62,'Impostos e Frete'!$A$3:$C$7,3,0)</f>
        <v>105</v>
      </c>
      <c r="CG62" s="215">
        <f t="shared" si="14"/>
        <v>120</v>
      </c>
      <c r="CH62" s="215">
        <f t="shared" si="15"/>
        <v>15</v>
      </c>
      <c r="CI62" s="216">
        <f t="shared" ca="1" si="16"/>
        <v>-0.11563229962597354</v>
      </c>
      <c r="CJ62" s="217">
        <f t="shared" ca="1" si="17"/>
        <v>15.475240900374029</v>
      </c>
      <c r="CK62" s="218">
        <f t="shared" ca="1" si="18"/>
        <v>1.0523163812254339</v>
      </c>
    </row>
    <row r="63" spans="1:89">
      <c r="A63" s="176">
        <v>14106</v>
      </c>
      <c r="B63" s="177">
        <v>104</v>
      </c>
      <c r="C63" s="178">
        <v>68</v>
      </c>
      <c r="D63" s="178">
        <v>1270</v>
      </c>
      <c r="E63" s="178" t="s">
        <v>50</v>
      </c>
      <c r="F63" s="179" t="s">
        <v>2</v>
      </c>
      <c r="G63" s="189" t="s">
        <v>146</v>
      </c>
      <c r="H63" s="178" t="s">
        <v>43</v>
      </c>
      <c r="I63" s="178">
        <v>32113</v>
      </c>
      <c r="J63" s="178"/>
      <c r="K63" s="178"/>
      <c r="L63" s="178" t="s">
        <v>59</v>
      </c>
      <c r="M63" s="178">
        <v>120</v>
      </c>
      <c r="N63" s="178"/>
      <c r="O63" s="178"/>
      <c r="P63" s="178"/>
      <c r="Q63" s="178"/>
      <c r="R63" s="178" t="s">
        <v>126</v>
      </c>
      <c r="S63" s="181"/>
      <c r="T63" s="181"/>
      <c r="U63" s="182"/>
      <c r="V63" s="182" t="s">
        <v>35</v>
      </c>
      <c r="W63" s="183">
        <v>600</v>
      </c>
      <c r="X63" s="182" t="s">
        <v>51</v>
      </c>
      <c r="Y63" s="184">
        <v>2510</v>
      </c>
      <c r="Z63" s="184">
        <v>2510</v>
      </c>
      <c r="AA63" s="184">
        <v>2510</v>
      </c>
      <c r="AB63" s="184">
        <v>2410</v>
      </c>
      <c r="AC63" s="184">
        <v>2410</v>
      </c>
      <c r="AD63" s="184">
        <v>2410</v>
      </c>
      <c r="AE63" s="184">
        <v>2190</v>
      </c>
      <c r="AF63" s="184">
        <v>2190</v>
      </c>
      <c r="AG63" s="184">
        <v>2190</v>
      </c>
      <c r="AH63" s="184">
        <v>2070</v>
      </c>
      <c r="AI63" s="184">
        <v>2070</v>
      </c>
      <c r="AJ63" s="184">
        <v>2070</v>
      </c>
      <c r="AK63" s="184">
        <v>2070</v>
      </c>
      <c r="AL63" s="146">
        <f>40+(AL62-60)</f>
        <v>2140</v>
      </c>
      <c r="AM63" s="146">
        <f>40+(AM62-60)</f>
        <v>2140</v>
      </c>
      <c r="AN63" s="146">
        <f>40+(AN62-60)</f>
        <v>2140</v>
      </c>
      <c r="AO63" s="184">
        <v>2220</v>
      </c>
      <c r="AP63" s="184">
        <v>2220</v>
      </c>
      <c r="AQ63" s="184">
        <v>2220</v>
      </c>
      <c r="AR63" s="184">
        <v>2220</v>
      </c>
      <c r="AS63" s="184">
        <v>2220</v>
      </c>
      <c r="AT63" s="184">
        <v>2220</v>
      </c>
      <c r="AU63" s="184">
        <v>2160</v>
      </c>
      <c r="AV63" s="184">
        <v>2160</v>
      </c>
      <c r="AW63" s="146">
        <f>AW62-60</f>
        <v>2120</v>
      </c>
      <c r="AX63" s="146">
        <f>AX62-60</f>
        <v>2120</v>
      </c>
      <c r="AY63" s="146">
        <f>AY62-60</f>
        <v>2120</v>
      </c>
      <c r="AZ63" s="184">
        <v>2200</v>
      </c>
      <c r="BA63" s="184">
        <v>2200</v>
      </c>
      <c r="BB63" s="184">
        <v>2200</v>
      </c>
      <c r="BC63" s="184">
        <v>2200</v>
      </c>
      <c r="BD63" s="184">
        <v>2200</v>
      </c>
      <c r="BE63" s="184">
        <v>2200</v>
      </c>
      <c r="BF63" s="184">
        <v>2100</v>
      </c>
      <c r="BG63" s="184">
        <v>2100</v>
      </c>
      <c r="BH63" s="184">
        <v>2100</v>
      </c>
      <c r="BI63" s="184">
        <v>2100</v>
      </c>
      <c r="BJ63" s="184">
        <v>2100</v>
      </c>
      <c r="BK63" s="184">
        <v>2100</v>
      </c>
      <c r="BL63" s="184">
        <v>2190</v>
      </c>
      <c r="BM63" s="184">
        <v>2190</v>
      </c>
      <c r="BN63" s="184">
        <v>2190</v>
      </c>
      <c r="BO63" s="184">
        <v>2270</v>
      </c>
      <c r="BP63" s="184">
        <v>2270</v>
      </c>
      <c r="BQ63" s="184">
        <v>2270</v>
      </c>
      <c r="BR63" s="184"/>
      <c r="BS63" s="184"/>
      <c r="BT63" s="184"/>
      <c r="BU63" s="146" cm="1">
        <f t="array" ref="BU63">LOOKUP(2,1/(Y63:BT63&lt;&gt;""),Y63:BH63)</f>
        <v>2270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46199</v>
      </c>
      <c r="BW63" s="211" cm="1">
        <f t="array" ref="BW63">(LOOKUP(2,1/(BH63:BT63&lt;&gt;""),BH63:BT63))/(INDEX(BH63:BT63,MATCH(TRUE,INDEX((BH63:BT63&lt;&gt;0),0),0)))-1</f>
        <v>8.0952380952380887E-2</v>
      </c>
      <c r="BX63" s="212">
        <f t="shared" si="10"/>
        <v>2.27</v>
      </c>
      <c r="BY63" s="212">
        <f t="shared" si="1"/>
        <v>13.393000000000001</v>
      </c>
      <c r="BZ63" s="212">
        <f ca="1">IF(L63="BR",'Impostos e Frete'!$F$6,IF(L63="EU",'Impostos e Frete'!$I$3,IF(L63="CN",'Impostos e Frete'!$I$4,IF(L63="JP",'Impostos e Frete'!$I$5,IF(L63="RU",'Impostos e Frete'!$I$7,"ERRO")))))</f>
        <v>0.14176320000000001</v>
      </c>
      <c r="CA63" s="212">
        <f>VLOOKUP(L63,'Impostos e Frete'!$A$3:$B$7,2,0)*'Preços e Condições'!BY63</f>
        <v>1.7410900000000002</v>
      </c>
      <c r="CB63" s="147">
        <f t="shared" si="11"/>
        <v>-0.17699999999999999</v>
      </c>
      <c r="CC63" s="147">
        <f>IF(X63="BRL",'Impostos e Frete'!$B$11,'Impostos e Frete'!$B$12)</f>
        <v>9.1999999999999998E-2</v>
      </c>
      <c r="CD63" s="213">
        <f t="shared" ca="1" si="12"/>
        <v>15.190853200000001</v>
      </c>
      <c r="CE63" s="214">
        <f t="shared" ca="1" si="13"/>
        <v>1.0329780176000001</v>
      </c>
      <c r="CF63" s="215">
        <f>VLOOKUP(L63,'Impostos e Frete'!$A$3:$C$7,3,0)</f>
        <v>105</v>
      </c>
      <c r="CG63" s="215">
        <f t="shared" si="14"/>
        <v>120</v>
      </c>
      <c r="CH63" s="215">
        <f t="shared" si="15"/>
        <v>15</v>
      </c>
      <c r="CI63" s="216">
        <f t="shared" ca="1" si="16"/>
        <v>-0.11266548488102579</v>
      </c>
      <c r="CJ63" s="217">
        <f t="shared" ca="1" si="17"/>
        <v>15.078187715118975</v>
      </c>
      <c r="CK63" s="218">
        <f t="shared" ca="1" si="18"/>
        <v>1.0253167646280903</v>
      </c>
    </row>
    <row r="64" spans="1:89">
      <c r="A64" s="176">
        <v>14106</v>
      </c>
      <c r="B64" s="177">
        <v>104</v>
      </c>
      <c r="C64" s="178">
        <v>68</v>
      </c>
      <c r="D64" s="178">
        <v>1270</v>
      </c>
      <c r="E64" s="178" t="s">
        <v>50</v>
      </c>
      <c r="F64" s="179" t="s">
        <v>2</v>
      </c>
      <c r="G64" s="189" t="s">
        <v>146</v>
      </c>
      <c r="H64" s="178" t="s">
        <v>43</v>
      </c>
      <c r="I64" s="178">
        <v>32113</v>
      </c>
      <c r="J64" s="178"/>
      <c r="K64" s="178"/>
      <c r="L64" s="178" t="s">
        <v>59</v>
      </c>
      <c r="M64" s="178">
        <v>120</v>
      </c>
      <c r="N64" s="178"/>
      <c r="O64" s="178"/>
      <c r="P64" s="178"/>
      <c r="Q64" s="178"/>
      <c r="R64" s="178" t="s">
        <v>126</v>
      </c>
      <c r="S64" s="181"/>
      <c r="T64" s="181"/>
      <c r="U64" s="182"/>
      <c r="V64" s="182" t="s">
        <v>35</v>
      </c>
      <c r="W64" s="183">
        <v>500</v>
      </c>
      <c r="X64" s="182" t="s">
        <v>51</v>
      </c>
      <c r="Y64" s="184">
        <v>2520</v>
      </c>
      <c r="Z64" s="184">
        <v>2520</v>
      </c>
      <c r="AA64" s="184">
        <v>2520</v>
      </c>
      <c r="AB64" s="184">
        <v>2420</v>
      </c>
      <c r="AC64" s="184">
        <v>2420</v>
      </c>
      <c r="AD64" s="184">
        <v>2420</v>
      </c>
      <c r="AE64" s="184">
        <v>2200</v>
      </c>
      <c r="AF64" s="184">
        <v>2200</v>
      </c>
      <c r="AG64" s="184">
        <v>2200</v>
      </c>
      <c r="AH64" s="184">
        <v>2080</v>
      </c>
      <c r="AI64" s="184">
        <v>2080</v>
      </c>
      <c r="AJ64" s="184">
        <v>2080</v>
      </c>
      <c r="AK64" s="184">
        <v>2080</v>
      </c>
      <c r="AL64" s="146">
        <f>40+(AL62-50)</f>
        <v>2150</v>
      </c>
      <c r="AM64" s="146">
        <f>40+(AM62-50)</f>
        <v>2150</v>
      </c>
      <c r="AN64" s="146">
        <f>40+(AN62-50)</f>
        <v>2150</v>
      </c>
      <c r="AO64" s="184">
        <v>2230</v>
      </c>
      <c r="AP64" s="184">
        <v>2230</v>
      </c>
      <c r="AQ64" s="184">
        <v>2230</v>
      </c>
      <c r="AR64" s="184">
        <v>2230</v>
      </c>
      <c r="AS64" s="184">
        <v>2230</v>
      </c>
      <c r="AT64" s="184">
        <v>2230</v>
      </c>
      <c r="AU64" s="184">
        <v>2170</v>
      </c>
      <c r="AV64" s="184">
        <v>2170</v>
      </c>
      <c r="AW64" s="146">
        <f>AW62-50</f>
        <v>2130</v>
      </c>
      <c r="AX64" s="146">
        <f>AX62-50</f>
        <v>2130</v>
      </c>
      <c r="AY64" s="146">
        <f>AY62-50</f>
        <v>2130</v>
      </c>
      <c r="AZ64" s="184">
        <v>2210</v>
      </c>
      <c r="BA64" s="184">
        <v>2210</v>
      </c>
      <c r="BB64" s="184">
        <v>2210</v>
      </c>
      <c r="BC64" s="184">
        <v>2210</v>
      </c>
      <c r="BD64" s="184">
        <v>2210</v>
      </c>
      <c r="BE64" s="184">
        <v>2210</v>
      </c>
      <c r="BF64" s="184">
        <v>2110</v>
      </c>
      <c r="BG64" s="184">
        <v>2110</v>
      </c>
      <c r="BH64" s="184">
        <v>2110</v>
      </c>
      <c r="BI64" s="184">
        <v>2110</v>
      </c>
      <c r="BJ64" s="184">
        <v>2110</v>
      </c>
      <c r="BK64" s="184">
        <v>2110</v>
      </c>
      <c r="BL64" s="184">
        <v>2200</v>
      </c>
      <c r="BM64" s="184">
        <v>2200</v>
      </c>
      <c r="BN64" s="184">
        <v>2200</v>
      </c>
      <c r="BO64" s="184">
        <v>2280</v>
      </c>
      <c r="BP64" s="184">
        <v>2280</v>
      </c>
      <c r="BQ64" s="184">
        <v>2280</v>
      </c>
      <c r="BR64" s="184"/>
      <c r="BS64" s="184"/>
      <c r="BT64" s="184"/>
      <c r="BU64" s="146" cm="1">
        <f t="array" ref="BU64">LOOKUP(2,1/(Y64:BT64&lt;&gt;""),Y64:BH64)</f>
        <v>2280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46199</v>
      </c>
      <c r="BW64" s="211" cm="1">
        <f t="array" ref="BW64">(LOOKUP(2,1/(BH64:BT64&lt;&gt;""),BH64:BT64))/(INDEX(BH64:BT64,MATCH(TRUE,INDEX((BH64:BT64&lt;&gt;0),0),0)))-1</f>
        <v>8.0568720379146974E-2</v>
      </c>
      <c r="BX64" s="212">
        <f t="shared" si="10"/>
        <v>2.2799999999999998</v>
      </c>
      <c r="BY64" s="212">
        <f t="shared" si="1"/>
        <v>13.452</v>
      </c>
      <c r="BZ64" s="212">
        <f ca="1">IF(L64="BR",'Impostos e Frete'!$F$6,IF(L64="EU",'Impostos e Frete'!$I$3,IF(L64="CN",'Impostos e Frete'!$I$4,IF(L64="JP",'Impostos e Frete'!$I$5,IF(L64="RU",'Impostos e Frete'!$I$7,"ERRO")))))</f>
        <v>0.14176320000000001</v>
      </c>
      <c r="CA64" s="212">
        <f>VLOOKUP(L64,'Impostos e Frete'!$A$3:$B$7,2,0)*'Preços e Condições'!BY64</f>
        <v>1.7487600000000001</v>
      </c>
      <c r="CB64" s="147">
        <f t="shared" si="11"/>
        <v>-0.17699999999999999</v>
      </c>
      <c r="CC64" s="147">
        <f>IF(X64="BRL",'Impostos e Frete'!$B$11,'Impostos e Frete'!$B$12)</f>
        <v>9.1999999999999998E-2</v>
      </c>
      <c r="CD64" s="213">
        <f t="shared" ca="1" si="12"/>
        <v>15.257523200000001</v>
      </c>
      <c r="CE64" s="214">
        <f t="shared" ca="1" si="13"/>
        <v>1.0375115776000001</v>
      </c>
      <c r="CF64" s="215">
        <f>VLOOKUP(L64,'Impostos e Frete'!$A$3:$C$7,3,0)</f>
        <v>105</v>
      </c>
      <c r="CG64" s="215">
        <f t="shared" si="14"/>
        <v>120</v>
      </c>
      <c r="CH64" s="215">
        <f t="shared" si="15"/>
        <v>15</v>
      </c>
      <c r="CI64" s="216">
        <f t="shared" ca="1" si="16"/>
        <v>-0.11315995400518375</v>
      </c>
      <c r="CJ64" s="217">
        <f t="shared" ca="1" si="17"/>
        <v>15.144363245994818</v>
      </c>
      <c r="CK64" s="218">
        <f t="shared" ca="1" si="18"/>
        <v>1.0298167007276475</v>
      </c>
    </row>
    <row r="65" spans="1:89">
      <c r="A65" s="176">
        <v>14106</v>
      </c>
      <c r="B65" s="177">
        <v>104</v>
      </c>
      <c r="C65" s="178">
        <v>68</v>
      </c>
      <c r="D65" s="178">
        <v>1270</v>
      </c>
      <c r="E65" s="178" t="s">
        <v>50</v>
      </c>
      <c r="F65" s="179" t="s">
        <v>2</v>
      </c>
      <c r="G65" s="189" t="s">
        <v>146</v>
      </c>
      <c r="H65" s="178" t="s">
        <v>43</v>
      </c>
      <c r="I65" s="178">
        <v>32113</v>
      </c>
      <c r="J65" s="178"/>
      <c r="K65" s="178"/>
      <c r="L65" s="178" t="s">
        <v>59</v>
      </c>
      <c r="M65" s="178">
        <v>120</v>
      </c>
      <c r="N65" s="178"/>
      <c r="O65" s="178"/>
      <c r="P65" s="178"/>
      <c r="Q65" s="178"/>
      <c r="R65" s="178" t="s">
        <v>126</v>
      </c>
      <c r="S65" s="181"/>
      <c r="T65" s="181"/>
      <c r="U65" s="182"/>
      <c r="V65" s="182" t="s">
        <v>35</v>
      </c>
      <c r="W65" s="183">
        <v>200</v>
      </c>
      <c r="X65" s="182" t="s">
        <v>51</v>
      </c>
      <c r="Y65" s="184">
        <v>2530</v>
      </c>
      <c r="Z65" s="184">
        <v>2530</v>
      </c>
      <c r="AA65" s="184">
        <v>2530</v>
      </c>
      <c r="AB65" s="184">
        <v>2430</v>
      </c>
      <c r="AC65" s="184">
        <v>2430</v>
      </c>
      <c r="AD65" s="184">
        <v>2430</v>
      </c>
      <c r="AE65" s="184">
        <v>2210</v>
      </c>
      <c r="AF65" s="184">
        <v>2210</v>
      </c>
      <c r="AG65" s="184">
        <v>2210</v>
      </c>
      <c r="AH65" s="184">
        <v>2090</v>
      </c>
      <c r="AI65" s="184">
        <v>2090</v>
      </c>
      <c r="AJ65" s="184">
        <v>2090</v>
      </c>
      <c r="AK65" s="184">
        <v>2090</v>
      </c>
      <c r="AL65" s="146">
        <f>40+(AL62-40)</f>
        <v>2160</v>
      </c>
      <c r="AM65" s="146">
        <f>40+(AM62-40)</f>
        <v>2160</v>
      </c>
      <c r="AN65" s="146">
        <f>40+(AN62-40)</f>
        <v>2160</v>
      </c>
      <c r="AO65" s="184">
        <v>2260</v>
      </c>
      <c r="AP65" s="184">
        <v>2260</v>
      </c>
      <c r="AQ65" s="184">
        <v>2260</v>
      </c>
      <c r="AR65" s="184">
        <v>2260</v>
      </c>
      <c r="AS65" s="184">
        <v>2260</v>
      </c>
      <c r="AT65" s="184">
        <v>2260</v>
      </c>
      <c r="AU65" s="184">
        <v>2180</v>
      </c>
      <c r="AV65" s="184">
        <v>2180</v>
      </c>
      <c r="AW65" s="146">
        <f>AW62-40</f>
        <v>2140</v>
      </c>
      <c r="AX65" s="146">
        <f>AX62-40</f>
        <v>2140</v>
      </c>
      <c r="AY65" s="146">
        <f>AY62-40</f>
        <v>2140</v>
      </c>
      <c r="AZ65" s="184">
        <v>2220</v>
      </c>
      <c r="BA65" s="184">
        <v>2220</v>
      </c>
      <c r="BB65" s="184">
        <v>2220</v>
      </c>
      <c r="BC65" s="184">
        <v>2220</v>
      </c>
      <c r="BD65" s="184">
        <v>2220</v>
      </c>
      <c r="BE65" s="184">
        <v>2220</v>
      </c>
      <c r="BF65" s="184">
        <v>2120</v>
      </c>
      <c r="BG65" s="184">
        <v>2120</v>
      </c>
      <c r="BH65" s="184">
        <v>2120</v>
      </c>
      <c r="BI65" s="184">
        <v>2120</v>
      </c>
      <c r="BJ65" s="184">
        <v>2120</v>
      </c>
      <c r="BK65" s="184">
        <v>2120</v>
      </c>
      <c r="BL65" s="184">
        <v>2210</v>
      </c>
      <c r="BM65" s="184">
        <v>2210</v>
      </c>
      <c r="BN65" s="184">
        <v>2210</v>
      </c>
      <c r="BO65" s="184">
        <v>2290</v>
      </c>
      <c r="BP65" s="184">
        <v>2290</v>
      </c>
      <c r="BQ65" s="184">
        <v>2290</v>
      </c>
      <c r="BR65" s="184"/>
      <c r="BS65" s="184"/>
      <c r="BT65" s="184"/>
      <c r="BU65" s="146" cm="1">
        <f t="array" ref="BU65">LOOKUP(2,1/(Y65:BT65&lt;&gt;""),Y65:BH65)</f>
        <v>2290</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46199</v>
      </c>
      <c r="BW65" s="211" cm="1">
        <f t="array" ref="BW65">(LOOKUP(2,1/(BH65:BT65&lt;&gt;""),BH65:BT65))/(INDEX(BH65:BT65,MATCH(TRUE,INDEX((BH65:BT65&lt;&gt;0),0),0)))-1</f>
        <v>8.0188679245283057E-2</v>
      </c>
      <c r="BX65" s="212">
        <f t="shared" si="10"/>
        <v>2.29</v>
      </c>
      <c r="BY65" s="212">
        <f t="shared" si="1"/>
        <v>13.511000000000001</v>
      </c>
      <c r="BZ65" s="212">
        <f ca="1">IF(L65="BR",'Impostos e Frete'!$F$6,IF(L65="EU",'Impostos e Frete'!$I$3,IF(L65="CN",'Impostos e Frete'!$I$4,IF(L65="JP",'Impostos e Frete'!$I$5,IF(L65="RU",'Impostos e Frete'!$I$7,"ERRO")))))</f>
        <v>0.14176320000000001</v>
      </c>
      <c r="CA65" s="212">
        <f>VLOOKUP(L65,'Impostos e Frete'!$A$3:$B$7,2,0)*'Preços e Condições'!BY65</f>
        <v>1.7564300000000002</v>
      </c>
      <c r="CB65" s="147">
        <f t="shared" si="11"/>
        <v>-0.17699999999999999</v>
      </c>
      <c r="CC65" s="147">
        <f>IF(X65="BRL",'Impostos e Frete'!$B$11,'Impostos e Frete'!$B$12)</f>
        <v>9.1999999999999998E-2</v>
      </c>
      <c r="CD65" s="213">
        <f t="shared" ca="1" si="12"/>
        <v>15.324193200000002</v>
      </c>
      <c r="CE65" s="214">
        <f t="shared" ca="1" si="13"/>
        <v>1.0420451375999999</v>
      </c>
      <c r="CF65" s="215">
        <f>VLOOKUP(L65,'Impostos e Frete'!$A$3:$C$7,3,0)</f>
        <v>105</v>
      </c>
      <c r="CG65" s="215">
        <f t="shared" si="14"/>
        <v>120</v>
      </c>
      <c r="CH65" s="215">
        <f t="shared" si="15"/>
        <v>15</v>
      </c>
      <c r="CI65" s="216">
        <f t="shared" ca="1" si="16"/>
        <v>-0.11365442312934171</v>
      </c>
      <c r="CJ65" s="217">
        <f t="shared" ca="1" si="17"/>
        <v>15.21053877687066</v>
      </c>
      <c r="CK65" s="218">
        <f t="shared" ca="1" si="18"/>
        <v>1.034316636827205</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150</v>
      </c>
      <c r="X66" s="182" t="s">
        <v>51</v>
      </c>
      <c r="Y66" s="184">
        <v>2550</v>
      </c>
      <c r="Z66" s="184">
        <v>2550</v>
      </c>
      <c r="AA66" s="184">
        <v>2550</v>
      </c>
      <c r="AB66" s="184">
        <v>2450</v>
      </c>
      <c r="AC66" s="184">
        <v>2450</v>
      </c>
      <c r="AD66" s="184">
        <v>2450</v>
      </c>
      <c r="AE66" s="184">
        <v>2230</v>
      </c>
      <c r="AF66" s="184">
        <v>2230</v>
      </c>
      <c r="AG66" s="184">
        <v>2230</v>
      </c>
      <c r="AH66" s="184">
        <v>2110</v>
      </c>
      <c r="AI66" s="184">
        <v>2110</v>
      </c>
      <c r="AJ66" s="184">
        <v>2110</v>
      </c>
      <c r="AK66" s="184">
        <v>2110</v>
      </c>
      <c r="AL66" s="146">
        <f>40+(AL62-20)</f>
        <v>2180</v>
      </c>
      <c r="AM66" s="146">
        <f>40+(AM62-20)</f>
        <v>2180</v>
      </c>
      <c r="AN66" s="146">
        <f>40+(AN62-20)</f>
        <v>2180</v>
      </c>
      <c r="AO66" s="184">
        <v>2260</v>
      </c>
      <c r="AP66" s="184">
        <v>2260</v>
      </c>
      <c r="AQ66" s="184">
        <v>2260</v>
      </c>
      <c r="AR66" s="184">
        <v>2260</v>
      </c>
      <c r="AS66" s="184">
        <v>2260</v>
      </c>
      <c r="AT66" s="184">
        <v>2260</v>
      </c>
      <c r="AU66" s="184">
        <v>2200</v>
      </c>
      <c r="AV66" s="184">
        <v>2200</v>
      </c>
      <c r="AW66" s="146">
        <f>AW62-20</f>
        <v>2160</v>
      </c>
      <c r="AX66" s="146">
        <f>AX62-20</f>
        <v>2160</v>
      </c>
      <c r="AY66" s="146">
        <f>AY62-20</f>
        <v>2160</v>
      </c>
      <c r="AZ66" s="184">
        <v>2240</v>
      </c>
      <c r="BA66" s="184">
        <v>2240</v>
      </c>
      <c r="BB66" s="184">
        <v>2240</v>
      </c>
      <c r="BC66" s="184">
        <v>2240</v>
      </c>
      <c r="BD66" s="184">
        <v>2240</v>
      </c>
      <c r="BE66" s="184">
        <v>2240</v>
      </c>
      <c r="BF66" s="184">
        <v>2140</v>
      </c>
      <c r="BG66" s="184">
        <v>2140</v>
      </c>
      <c r="BH66" s="184">
        <v>2140</v>
      </c>
      <c r="BI66" s="184">
        <v>2140</v>
      </c>
      <c r="BJ66" s="184">
        <v>2140</v>
      </c>
      <c r="BK66" s="184">
        <v>2140</v>
      </c>
      <c r="BL66" s="184">
        <v>2230</v>
      </c>
      <c r="BM66" s="184">
        <v>2230</v>
      </c>
      <c r="BN66" s="184">
        <v>2230</v>
      </c>
      <c r="BO66" s="184">
        <v>2310</v>
      </c>
      <c r="BP66" s="184">
        <v>2310</v>
      </c>
      <c r="BQ66" s="184">
        <v>2310</v>
      </c>
      <c r="BR66" s="184"/>
      <c r="BS66" s="184"/>
      <c r="BT66" s="184"/>
      <c r="BU66" s="146" cm="1">
        <f t="array" ref="BU66">LOOKUP(2,1/(Y66:BT66&lt;&gt;""),Y66:BH66)</f>
        <v>2310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46199</v>
      </c>
      <c r="BW66" s="211" cm="1">
        <f t="array" ref="BW66">(LOOKUP(2,1/(BH66:BT66&lt;&gt;""),BH66:BT66))/(INDEX(BH66:BT66,MATCH(TRUE,INDEX((BH66:BT66&lt;&gt;0),0),0)))-1</f>
        <v>7.9439252336448662E-2</v>
      </c>
      <c r="BX66" s="212">
        <f t="shared" si="10"/>
        <v>2.31</v>
      </c>
      <c r="BY66" s="212">
        <f t="shared" si="1"/>
        <v>13.629000000000001</v>
      </c>
      <c r="BZ66" s="212">
        <f ca="1">IF(L66="BR",'Impostos e Frete'!$F$6,IF(L66="EU",'Impostos e Frete'!$I$3,IF(L66="CN",'Impostos e Frete'!$I$4,IF(L66="JP",'Impostos e Frete'!$I$5,IF(L66="RU",'Impostos e Frete'!$I$7,"ERRO")))))</f>
        <v>0.14176320000000001</v>
      </c>
      <c r="CA66" s="212">
        <f>VLOOKUP(L66,'Impostos e Frete'!$A$3:$B$7,2,0)*'Preços e Condições'!BY66</f>
        <v>1.7717700000000003</v>
      </c>
      <c r="CB66" s="147">
        <f t="shared" si="11"/>
        <v>-0.17699999999999999</v>
      </c>
      <c r="CC66" s="147">
        <f>IF(X66="BRL",'Impostos e Frete'!$B$11,'Impostos e Frete'!$B$12)</f>
        <v>9.1999999999999998E-2</v>
      </c>
      <c r="CD66" s="213">
        <f t="shared" ca="1" si="12"/>
        <v>15.457533200000002</v>
      </c>
      <c r="CE66" s="214">
        <f t="shared" ca="1" si="13"/>
        <v>1.0511122576</v>
      </c>
      <c r="CF66" s="215">
        <f>VLOOKUP(L66,'Impostos e Frete'!$A$3:$C$7,3,0)</f>
        <v>105</v>
      </c>
      <c r="CG66" s="215">
        <f t="shared" si="14"/>
        <v>120</v>
      </c>
      <c r="CH66" s="215">
        <f t="shared" si="15"/>
        <v>15</v>
      </c>
      <c r="CI66" s="216">
        <f t="shared" ca="1" si="16"/>
        <v>-0.11464336137765763</v>
      </c>
      <c r="CJ66" s="217">
        <f t="shared" ca="1" si="17"/>
        <v>15.342889838622344</v>
      </c>
      <c r="CK66" s="218">
        <f t="shared" ca="1" si="18"/>
        <v>1.0433165090263194</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70</v>
      </c>
      <c r="X67" s="182" t="s">
        <v>51</v>
      </c>
      <c r="Y67" s="184">
        <v>2590</v>
      </c>
      <c r="Z67" s="184">
        <v>2590</v>
      </c>
      <c r="AA67" s="184">
        <v>2590</v>
      </c>
      <c r="AB67" s="184">
        <v>2490</v>
      </c>
      <c r="AC67" s="184">
        <v>2490</v>
      </c>
      <c r="AD67" s="184">
        <v>2490</v>
      </c>
      <c r="AE67" s="184">
        <v>2270</v>
      </c>
      <c r="AF67" s="184">
        <v>2270</v>
      </c>
      <c r="AG67" s="184">
        <v>2270</v>
      </c>
      <c r="AH67" s="184">
        <v>2150</v>
      </c>
      <c r="AI67" s="184">
        <v>2150</v>
      </c>
      <c r="AJ67" s="184">
        <v>2150</v>
      </c>
      <c r="AK67" s="184">
        <v>2150</v>
      </c>
      <c r="AL67" s="146">
        <f>40+(AL62+20)</f>
        <v>2220</v>
      </c>
      <c r="AM67" s="146">
        <f>40+(AM62+20)</f>
        <v>2220</v>
      </c>
      <c r="AN67" s="146">
        <f>40+(AN62+20)</f>
        <v>2220</v>
      </c>
      <c r="AO67" s="184">
        <v>2300</v>
      </c>
      <c r="AP67" s="184">
        <v>2300</v>
      </c>
      <c r="AQ67" s="184">
        <v>2300</v>
      </c>
      <c r="AR67" s="184">
        <v>2300</v>
      </c>
      <c r="AS67" s="184">
        <v>2300</v>
      </c>
      <c r="AT67" s="184">
        <v>2300</v>
      </c>
      <c r="AU67" s="184">
        <v>2240</v>
      </c>
      <c r="AV67" s="184">
        <v>2240</v>
      </c>
      <c r="AW67" s="146">
        <f>AW62+20</f>
        <v>2200</v>
      </c>
      <c r="AX67" s="146">
        <f>AX62+20</f>
        <v>2200</v>
      </c>
      <c r="AY67" s="146">
        <f>AY62+20</f>
        <v>2200</v>
      </c>
      <c r="AZ67" s="184">
        <v>2280</v>
      </c>
      <c r="BA67" s="184">
        <v>2280</v>
      </c>
      <c r="BB67" s="184">
        <v>2280</v>
      </c>
      <c r="BC67" s="184">
        <v>2280</v>
      </c>
      <c r="BD67" s="184">
        <v>2280</v>
      </c>
      <c r="BE67" s="184">
        <v>2280</v>
      </c>
      <c r="BF67" s="184">
        <v>2180</v>
      </c>
      <c r="BG67" s="184">
        <v>2180</v>
      </c>
      <c r="BH67" s="184">
        <v>2180</v>
      </c>
      <c r="BI67" s="184">
        <v>2180</v>
      </c>
      <c r="BJ67" s="184">
        <v>2180</v>
      </c>
      <c r="BK67" s="184">
        <v>2180</v>
      </c>
      <c r="BL67" s="184">
        <v>2270</v>
      </c>
      <c r="BM67" s="184">
        <v>2270</v>
      </c>
      <c r="BN67" s="184">
        <v>2270</v>
      </c>
      <c r="BO67" s="184">
        <v>2350</v>
      </c>
      <c r="BP67" s="184">
        <v>2350</v>
      </c>
      <c r="BQ67" s="184">
        <v>2350</v>
      </c>
      <c r="BR67" s="184"/>
      <c r="BS67" s="184"/>
      <c r="BT67" s="184"/>
      <c r="BU67" s="146" cm="1">
        <f t="array" ref="BU67">LOOKUP(2,1/(Y67:BT67&lt;&gt;""),Y67:BH67)</f>
        <v>2350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46199</v>
      </c>
      <c r="BW67" s="211" cm="1">
        <f t="array" ref="BW67">(LOOKUP(2,1/(BH67:BT67&lt;&gt;""),BH67:BT67))/(INDEX(BH67:BT67,MATCH(TRUE,INDEX((BH67:BT67&lt;&gt;0),0),0)))-1</f>
        <v>7.7981651376146877E-2</v>
      </c>
      <c r="BX67" s="212">
        <f t="shared" si="10"/>
        <v>2.35</v>
      </c>
      <c r="BY67" s="212">
        <f t="shared" si="1"/>
        <v>13.865000000000002</v>
      </c>
      <c r="BZ67" s="212">
        <f ca="1">IF(L67="BR",'Impostos e Frete'!$F$6,IF(L67="EU",'Impostos e Frete'!$I$3,IF(L67="CN",'Impostos e Frete'!$I$4,IF(L67="JP",'Impostos e Frete'!$I$5,IF(L67="RU",'Impostos e Frete'!$I$7,"ERRO")))))</f>
        <v>0.14176320000000001</v>
      </c>
      <c r="CA67" s="212">
        <f>VLOOKUP(L67,'Impostos e Frete'!$A$3:$B$7,2,0)*'Preços e Condições'!BY67</f>
        <v>1.8024500000000003</v>
      </c>
      <c r="CB67" s="147">
        <f t="shared" si="11"/>
        <v>-0.17699999999999999</v>
      </c>
      <c r="CC67" s="147">
        <f>IF(X67="BRL",'Impostos e Frete'!$B$11,'Impostos e Frete'!$B$12)</f>
        <v>9.1999999999999998E-2</v>
      </c>
      <c r="CD67" s="213">
        <f t="shared" ca="1" si="12"/>
        <v>15.724213200000003</v>
      </c>
      <c r="CE67" s="214">
        <f t="shared" ca="1" si="13"/>
        <v>1.0692464976000002</v>
      </c>
      <c r="CF67" s="215">
        <f>VLOOKUP(L67,'Impostos e Frete'!$A$3:$C$7,3,0)</f>
        <v>105</v>
      </c>
      <c r="CG67" s="215">
        <f t="shared" si="14"/>
        <v>120</v>
      </c>
      <c r="CH67" s="215">
        <f t="shared" si="15"/>
        <v>15</v>
      </c>
      <c r="CI67" s="216">
        <f t="shared" ca="1" si="16"/>
        <v>-0.11662123787429124</v>
      </c>
      <c r="CJ67" s="217">
        <f t="shared" ca="1" si="17"/>
        <v>15.607591962125712</v>
      </c>
      <c r="CK67" s="218">
        <f t="shared" ca="1" si="18"/>
        <v>1.0613162534245484</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v>
      </c>
      <c r="X68" s="182" t="s">
        <v>51</v>
      </c>
      <c r="Y68" s="184">
        <v>2620</v>
      </c>
      <c r="Z68" s="184">
        <v>2620</v>
      </c>
      <c r="AA68" s="184">
        <v>2620</v>
      </c>
      <c r="AB68" s="184">
        <v>2520</v>
      </c>
      <c r="AC68" s="184">
        <v>2520</v>
      </c>
      <c r="AD68" s="184">
        <v>2520</v>
      </c>
      <c r="AE68" s="184">
        <v>2300</v>
      </c>
      <c r="AF68" s="184">
        <v>2300</v>
      </c>
      <c r="AG68" s="184">
        <v>2300</v>
      </c>
      <c r="AH68" s="184">
        <v>2180</v>
      </c>
      <c r="AI68" s="184">
        <v>2180</v>
      </c>
      <c r="AJ68" s="184">
        <v>2180</v>
      </c>
      <c r="AK68" s="184">
        <v>2180</v>
      </c>
      <c r="AL68" s="146">
        <f>40+(AL62+50)</f>
        <v>2250</v>
      </c>
      <c r="AM68" s="146">
        <f>40+(AM62+50)</f>
        <v>2250</v>
      </c>
      <c r="AN68" s="146">
        <f>40+(AN62+50)</f>
        <v>2250</v>
      </c>
      <c r="AO68" s="184">
        <v>2330</v>
      </c>
      <c r="AP68" s="184">
        <v>2330</v>
      </c>
      <c r="AQ68" s="184">
        <v>2330</v>
      </c>
      <c r="AR68" s="184">
        <v>2330</v>
      </c>
      <c r="AS68" s="184">
        <v>2330</v>
      </c>
      <c r="AT68" s="184">
        <v>2330</v>
      </c>
      <c r="AU68" s="184">
        <v>2270</v>
      </c>
      <c r="AV68" s="184">
        <v>2270</v>
      </c>
      <c r="AW68" s="146">
        <f>AW62+50</f>
        <v>2230</v>
      </c>
      <c r="AX68" s="146">
        <f>AX62+50</f>
        <v>2230</v>
      </c>
      <c r="AY68" s="146">
        <f>AY62+50</f>
        <v>2230</v>
      </c>
      <c r="AZ68" s="184">
        <v>2310</v>
      </c>
      <c r="BA68" s="184">
        <v>2310</v>
      </c>
      <c r="BB68" s="184">
        <v>2310</v>
      </c>
      <c r="BC68" s="184">
        <v>2310</v>
      </c>
      <c r="BD68" s="184">
        <v>2310</v>
      </c>
      <c r="BE68" s="184">
        <v>2310</v>
      </c>
      <c r="BF68" s="184">
        <v>2210</v>
      </c>
      <c r="BG68" s="184">
        <v>2210</v>
      </c>
      <c r="BH68" s="184">
        <v>2210</v>
      </c>
      <c r="BI68" s="184">
        <v>2210</v>
      </c>
      <c r="BJ68" s="184">
        <v>2210</v>
      </c>
      <c r="BK68" s="184">
        <v>2210</v>
      </c>
      <c r="BL68" s="184">
        <v>2300</v>
      </c>
      <c r="BM68" s="184">
        <v>2300</v>
      </c>
      <c r="BN68" s="184">
        <v>2300</v>
      </c>
      <c r="BO68" s="184">
        <v>2380</v>
      </c>
      <c r="BP68" s="184">
        <v>2380</v>
      </c>
      <c r="BQ68" s="184">
        <v>2380</v>
      </c>
      <c r="BR68" s="184"/>
      <c r="BS68" s="184"/>
      <c r="BT68" s="184"/>
      <c r="BU68" s="146" cm="1">
        <f t="array" ref="BU68">LOOKUP(2,1/(Y68:BT68&lt;&gt;""),Y68:BH68)</f>
        <v>2380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46199</v>
      </c>
      <c r="BW68" s="211" cm="1">
        <f t="array" ref="BW68">(LOOKUP(2,1/(BH68:BT68&lt;&gt;""),BH68:BT68))/(INDEX(BH68:BT68,MATCH(TRUE,INDEX((BH68:BT68&lt;&gt;0),0),0)))-1</f>
        <v>7.6923076923076872E-2</v>
      </c>
      <c r="BX68" s="212">
        <f t="shared" si="10"/>
        <v>2.38</v>
      </c>
      <c r="BY68" s="212">
        <f t="shared" ref="BY68:BY128" si="37">IF(X68="BRL",BX68,IF(X68="EUR",BX68*$CK$2,IF(X68="USD",BX68*$CK$1,IF(X68="CNY",BX68*$CM$1,IF(X68="RUB",BX68*$CM$2,"CRRY#")))))</f>
        <v>14.042</v>
      </c>
      <c r="BZ68" s="212">
        <f ca="1">IF(L68="BR",'Impostos e Frete'!$F$6,IF(L68="EU",'Impostos e Frete'!$I$3,IF(L68="CN",'Impostos e Frete'!$I$4,IF(L68="JP",'Impostos e Frete'!$I$5,IF(L68="RU",'Impostos e Frete'!$I$7,"ERRO")))))</f>
        <v>0.14176320000000001</v>
      </c>
      <c r="CA68" s="212">
        <f>VLOOKUP(L68,'Impostos e Frete'!$A$3:$B$7,2,0)*'Preços e Condições'!BY68</f>
        <v>1.8254600000000001</v>
      </c>
      <c r="CB68" s="147">
        <f t="shared" si="11"/>
        <v>-0.17699999999999999</v>
      </c>
      <c r="CC68" s="147">
        <f>IF(X68="BRL",'Impostos e Frete'!$B$11,'Impostos e Frete'!$B$12)</f>
        <v>9.1999999999999998E-2</v>
      </c>
      <c r="CD68" s="213">
        <f t="shared" ca="1" si="12"/>
        <v>15.924223200000002</v>
      </c>
      <c r="CE68" s="214">
        <f t="shared" ca="1" si="13"/>
        <v>1.0828471775999999</v>
      </c>
      <c r="CF68" s="215">
        <f>VLOOKUP(L68,'Impostos e Frete'!$A$3:$C$7,3,0)</f>
        <v>105</v>
      </c>
      <c r="CG68" s="215">
        <f t="shared" si="14"/>
        <v>120</v>
      </c>
      <c r="CH68" s="215">
        <f t="shared" si="15"/>
        <v>15</v>
      </c>
      <c r="CI68" s="216">
        <f t="shared" ca="1" si="16"/>
        <v>-0.11810464524676512</v>
      </c>
      <c r="CJ68" s="217">
        <f t="shared" ca="1" si="17"/>
        <v>15.806118554753237</v>
      </c>
      <c r="CK68" s="218">
        <f t="shared" ca="1" si="18"/>
        <v>1.0748160617232201</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30</v>
      </c>
      <c r="X69" s="182" t="s">
        <v>51</v>
      </c>
      <c r="Y69" s="184">
        <v>2670</v>
      </c>
      <c r="Z69" s="184">
        <v>2670</v>
      </c>
      <c r="AA69" s="184">
        <v>2670</v>
      </c>
      <c r="AB69" s="184">
        <v>2570</v>
      </c>
      <c r="AC69" s="184">
        <v>2570</v>
      </c>
      <c r="AD69" s="184">
        <v>2570</v>
      </c>
      <c r="AE69" s="184">
        <v>2350</v>
      </c>
      <c r="AF69" s="184">
        <v>2350</v>
      </c>
      <c r="AG69" s="184">
        <v>2350</v>
      </c>
      <c r="AH69" s="184">
        <v>2230</v>
      </c>
      <c r="AI69" s="184">
        <v>2230</v>
      </c>
      <c r="AJ69" s="184">
        <v>2230</v>
      </c>
      <c r="AK69" s="184">
        <v>2230</v>
      </c>
      <c r="AL69" s="146">
        <f>40+(AL62+100)</f>
        <v>2300</v>
      </c>
      <c r="AM69" s="146">
        <f>40+(AM62+100)</f>
        <v>2300</v>
      </c>
      <c r="AN69" s="146">
        <f>40+(AN62+100)</f>
        <v>2300</v>
      </c>
      <c r="AO69" s="184">
        <v>2380</v>
      </c>
      <c r="AP69" s="184">
        <v>2380</v>
      </c>
      <c r="AQ69" s="184">
        <v>2380</v>
      </c>
      <c r="AR69" s="184">
        <v>2380</v>
      </c>
      <c r="AS69" s="184">
        <v>2380</v>
      </c>
      <c r="AT69" s="184">
        <v>2380</v>
      </c>
      <c r="AU69" s="184">
        <v>2320</v>
      </c>
      <c r="AV69" s="184">
        <v>2320</v>
      </c>
      <c r="AW69" s="146">
        <f>AW62+100</f>
        <v>2280</v>
      </c>
      <c r="AX69" s="146">
        <f>AX62+100</f>
        <v>2280</v>
      </c>
      <c r="AY69" s="146">
        <f>AY62+100</f>
        <v>2280</v>
      </c>
      <c r="AZ69" s="184">
        <v>2360</v>
      </c>
      <c r="BA69" s="184">
        <v>2360</v>
      </c>
      <c r="BB69" s="184">
        <v>2360</v>
      </c>
      <c r="BC69" s="184">
        <v>2360</v>
      </c>
      <c r="BD69" s="184">
        <v>2360</v>
      </c>
      <c r="BE69" s="184">
        <v>2360</v>
      </c>
      <c r="BF69" s="184">
        <v>2260</v>
      </c>
      <c r="BG69" s="184">
        <v>2260</v>
      </c>
      <c r="BH69" s="184">
        <v>2260</v>
      </c>
      <c r="BI69" s="184">
        <v>2260</v>
      </c>
      <c r="BJ69" s="184">
        <v>2260</v>
      </c>
      <c r="BK69" s="184">
        <v>2260</v>
      </c>
      <c r="BL69" s="184">
        <v>2350</v>
      </c>
      <c r="BM69" s="184">
        <v>2350</v>
      </c>
      <c r="BN69" s="184">
        <v>2350</v>
      </c>
      <c r="BO69" s="184">
        <v>2430</v>
      </c>
      <c r="BP69" s="184">
        <v>2430</v>
      </c>
      <c r="BQ69" s="184">
        <v>2430</v>
      </c>
      <c r="BR69" s="184"/>
      <c r="BS69" s="184"/>
      <c r="BT69" s="184"/>
      <c r="BU69" s="146" cm="1">
        <f t="array" ref="BU69">LOOKUP(2,1/(Y69:BT69&lt;&gt;""),Y69:BH69)</f>
        <v>2430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46199</v>
      </c>
      <c r="BW69" s="211" cm="1">
        <f t="array" ref="BW69">(LOOKUP(2,1/(BH69:BT69&lt;&gt;""),BH69:BT69))/(INDEX(BH69:BT69,MATCH(TRUE,INDEX((BH69:BT69&lt;&gt;0),0),0)))-1</f>
        <v>7.5221238938053103E-2</v>
      </c>
      <c r="BX69" s="212">
        <f t="shared" si="10"/>
        <v>2.4300000000000002</v>
      </c>
      <c r="BY69" s="212">
        <f t="shared" si="37"/>
        <v>14.337000000000002</v>
      </c>
      <c r="BZ69" s="212">
        <f ca="1">IF(L69="BR",'Impostos e Frete'!$F$6,IF(L69="EU",'Impostos e Frete'!$I$3,IF(L69="CN",'Impostos e Frete'!$I$4,IF(L69="JP",'Impostos e Frete'!$I$5,IF(L69="RU",'Impostos e Frete'!$I$7,"ERRO")))))</f>
        <v>0.14176320000000001</v>
      </c>
      <c r="CA69" s="212">
        <f>VLOOKUP(L69,'Impostos e Frete'!$A$3:$B$7,2,0)*'Preços e Condições'!BY69</f>
        <v>1.8638100000000002</v>
      </c>
      <c r="CB69" s="147">
        <f t="shared" si="11"/>
        <v>-0.17699999999999999</v>
      </c>
      <c r="CC69" s="147">
        <f>IF(X69="BRL",'Impostos e Frete'!$B$11,'Impostos e Frete'!$B$12)</f>
        <v>9.1999999999999998E-2</v>
      </c>
      <c r="CD69" s="213">
        <f t="shared" ca="1" si="12"/>
        <v>16.2575732</v>
      </c>
      <c r="CE69" s="214">
        <f t="shared" ca="1" si="13"/>
        <v>1.1055149775999999</v>
      </c>
      <c r="CF69" s="215">
        <f>VLOOKUP(L69,'Impostos e Frete'!$A$3:$C$7,3,0)</f>
        <v>105</v>
      </c>
      <c r="CG69" s="215">
        <f t="shared" si="14"/>
        <v>120</v>
      </c>
      <c r="CH69" s="215">
        <f t="shared" si="15"/>
        <v>15</v>
      </c>
      <c r="CI69" s="216">
        <f t="shared" ca="1" si="16"/>
        <v>-0.12057699086755491</v>
      </c>
      <c r="CJ69" s="217">
        <f t="shared" ca="1" si="17"/>
        <v>16.136996209132445</v>
      </c>
      <c r="CK69" s="218">
        <f t="shared" ca="1" si="18"/>
        <v>1.0973157422210063</v>
      </c>
    </row>
    <row r="70" spans="1:89">
      <c r="A70" s="176">
        <v>14108</v>
      </c>
      <c r="B70" s="177">
        <v>8269</v>
      </c>
      <c r="C70" s="178">
        <v>68</v>
      </c>
      <c r="D70" s="178">
        <v>1870</v>
      </c>
      <c r="E70" s="178" t="s">
        <v>50</v>
      </c>
      <c r="F70" s="179" t="s">
        <v>2</v>
      </c>
      <c r="G70" s="189" t="s">
        <v>85</v>
      </c>
      <c r="H70" s="178" t="s">
        <v>42</v>
      </c>
      <c r="I70" s="178">
        <v>32102</v>
      </c>
      <c r="J70" s="178"/>
      <c r="K70" s="178"/>
      <c r="L70" s="178" t="s">
        <v>59</v>
      </c>
      <c r="M70" s="178">
        <v>120</v>
      </c>
      <c r="N70" s="178"/>
      <c r="O70" s="178"/>
      <c r="P70" s="178"/>
      <c r="Q70" s="178"/>
      <c r="R70" s="178" t="s">
        <v>126</v>
      </c>
      <c r="S70" s="181"/>
      <c r="T70" s="181"/>
      <c r="U70" s="182"/>
      <c r="V70" s="182" t="s">
        <v>35</v>
      </c>
      <c r="W70" s="183">
        <v>100</v>
      </c>
      <c r="X70" s="182" t="s">
        <v>51</v>
      </c>
      <c r="Y70" s="184">
        <v>2470</v>
      </c>
      <c r="Z70" s="184">
        <v>2470</v>
      </c>
      <c r="AA70" s="184">
        <v>2470</v>
      </c>
      <c r="AB70" s="184">
        <v>2380</v>
      </c>
      <c r="AC70" s="184">
        <v>2380</v>
      </c>
      <c r="AD70" s="184">
        <v>2380</v>
      </c>
      <c r="AE70" s="184">
        <v>2170</v>
      </c>
      <c r="AF70" s="184">
        <v>2170</v>
      </c>
      <c r="AG70" s="184">
        <v>2170</v>
      </c>
      <c r="AH70" s="184">
        <v>2060</v>
      </c>
      <c r="AI70" s="184">
        <v>2060</v>
      </c>
      <c r="AJ70" s="184">
        <v>2060</v>
      </c>
      <c r="AK70" s="184">
        <v>2060</v>
      </c>
      <c r="AL70" s="184">
        <v>2090</v>
      </c>
      <c r="AM70" s="184">
        <v>2090</v>
      </c>
      <c r="AN70" s="184">
        <v>2090</v>
      </c>
      <c r="AO70" s="184">
        <v>2150</v>
      </c>
      <c r="AP70" s="184">
        <v>2150</v>
      </c>
      <c r="AQ70" s="184">
        <v>2150</v>
      </c>
      <c r="AR70" s="184">
        <v>2150</v>
      </c>
      <c r="AS70" s="184">
        <v>2150</v>
      </c>
      <c r="AT70" s="184">
        <v>2150</v>
      </c>
      <c r="AU70" s="184">
        <v>2080</v>
      </c>
      <c r="AV70" s="184">
        <v>2080</v>
      </c>
      <c r="AW70" s="184">
        <v>2040</v>
      </c>
      <c r="AX70" s="184">
        <v>2040</v>
      </c>
      <c r="AY70" s="184">
        <v>2040</v>
      </c>
      <c r="AZ70" s="184">
        <v>2120</v>
      </c>
      <c r="BA70" s="184">
        <v>2120</v>
      </c>
      <c r="BB70" s="184">
        <v>2120</v>
      </c>
      <c r="BC70" s="184">
        <v>2120</v>
      </c>
      <c r="BD70" s="184">
        <v>2120</v>
      </c>
      <c r="BE70" s="184">
        <v>2120</v>
      </c>
      <c r="BF70" s="184">
        <v>2020</v>
      </c>
      <c r="BG70" s="184">
        <v>2020</v>
      </c>
      <c r="BH70" s="184">
        <v>2020</v>
      </c>
      <c r="BI70" s="184">
        <v>2020</v>
      </c>
      <c r="BJ70" s="184">
        <v>2020</v>
      </c>
      <c r="BK70" s="184">
        <v>2020</v>
      </c>
      <c r="BL70" s="184">
        <v>2100</v>
      </c>
      <c r="BM70" s="184">
        <v>2100</v>
      </c>
      <c r="BN70" s="184">
        <v>2100</v>
      </c>
      <c r="BO70" s="184">
        <v>2180</v>
      </c>
      <c r="BP70" s="184">
        <v>2180</v>
      </c>
      <c r="BQ70" s="184">
        <v>2180</v>
      </c>
      <c r="BR70" s="184"/>
      <c r="BS70" s="184"/>
      <c r="BT70" s="184"/>
      <c r="BU70" s="146" cm="1">
        <f t="array" ref="BU70">LOOKUP(2,1/(Y70:BT70&lt;&gt;""),Y70:BH70)</f>
        <v>2180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46199</v>
      </c>
      <c r="BW70" s="211" cm="1">
        <f t="array" ref="BW70">(LOOKUP(2,1/(BH70:BT70&lt;&gt;""),BH70:BT70))/(INDEX(BH70:BT70,MATCH(TRUE,INDEX((BH70:BT70&lt;&gt;0),0),0)))-1</f>
        <v>7.9207920792079278E-2</v>
      </c>
      <c r="BX70" s="212">
        <f t="shared" si="10"/>
        <v>2.1800000000000002</v>
      </c>
      <c r="BY70" s="212">
        <f t="shared" si="37"/>
        <v>12.862000000000002</v>
      </c>
      <c r="BZ70" s="212">
        <f ca="1">IF(L70="BR",'Impostos e Frete'!$F$6,IF(L70="EU",'Impostos e Frete'!$I$3,IF(L70="CN",'Impostos e Frete'!$I$4,IF(L70="JP",'Impostos e Frete'!$I$5,IF(L70="RU",'Impostos e Frete'!$I$7,"ERRO")))))</f>
        <v>0.14176320000000001</v>
      </c>
      <c r="CA70" s="212">
        <f>VLOOKUP(L70,'Impostos e Frete'!$A$3:$B$7,2,0)*'Preços e Condições'!BY70</f>
        <v>1.6720600000000003</v>
      </c>
      <c r="CB70" s="147">
        <f t="shared" si="11"/>
        <v>-0.17699999999999999</v>
      </c>
      <c r="CC70" s="147">
        <f>IF(X70="BRL",'Impostos e Frete'!$B$11,'Impostos e Frete'!$B$12)</f>
        <v>9.1999999999999998E-2</v>
      </c>
      <c r="CD70" s="213">
        <f t="shared" ca="1" si="12"/>
        <v>14.590823200000003</v>
      </c>
      <c r="CE70" s="214">
        <f t="shared" ca="1" si="13"/>
        <v>0.99217597760000009</v>
      </c>
      <c r="CF70" s="215">
        <f>VLOOKUP(L70,'Impostos e Frete'!$A$3:$C$7,3,0)</f>
        <v>105</v>
      </c>
      <c r="CG70" s="215">
        <f t="shared" si="14"/>
        <v>120</v>
      </c>
      <c r="CH70" s="215">
        <f t="shared" si="15"/>
        <v>15</v>
      </c>
      <c r="CI70" s="216">
        <f t="shared" ca="1" si="16"/>
        <v>-0.10821526276360238</v>
      </c>
      <c r="CJ70" s="217">
        <f t="shared" ca="1" si="17"/>
        <v>14.4826079372364</v>
      </c>
      <c r="CK70" s="218">
        <f t="shared" ca="1" si="18"/>
        <v>0.9848173397320753</v>
      </c>
    </row>
    <row r="71" spans="1:89">
      <c r="A71" s="176">
        <v>14108</v>
      </c>
      <c r="B71" s="177">
        <v>8269</v>
      </c>
      <c r="C71" s="178">
        <v>68</v>
      </c>
      <c r="D71" s="178">
        <v>1870</v>
      </c>
      <c r="E71" s="178" t="s">
        <v>50</v>
      </c>
      <c r="F71" s="179" t="s">
        <v>2</v>
      </c>
      <c r="G71" s="189" t="s">
        <v>85</v>
      </c>
      <c r="H71" s="178" t="s">
        <v>42</v>
      </c>
      <c r="I71" s="178">
        <v>32102</v>
      </c>
      <c r="J71" s="178"/>
      <c r="K71" s="178"/>
      <c r="L71" s="178" t="s">
        <v>59</v>
      </c>
      <c r="M71" s="178">
        <v>120</v>
      </c>
      <c r="N71" s="178"/>
      <c r="O71" s="178"/>
      <c r="P71" s="178"/>
      <c r="Q71" s="178"/>
      <c r="R71" s="178" t="s">
        <v>126</v>
      </c>
      <c r="S71" s="181"/>
      <c r="T71" s="181"/>
      <c r="U71" s="182"/>
      <c r="V71" s="182" t="s">
        <v>35</v>
      </c>
      <c r="W71" s="183">
        <v>70</v>
      </c>
      <c r="X71" s="182" t="s">
        <v>51</v>
      </c>
      <c r="Y71" s="184">
        <v>2490</v>
      </c>
      <c r="Z71" s="184">
        <v>2490</v>
      </c>
      <c r="AA71" s="184">
        <v>2490</v>
      </c>
      <c r="AB71" s="184">
        <v>2400</v>
      </c>
      <c r="AC71" s="184">
        <v>2400</v>
      </c>
      <c r="AD71" s="184">
        <v>2400</v>
      </c>
      <c r="AE71" s="184">
        <v>2190</v>
      </c>
      <c r="AF71" s="184">
        <v>2190</v>
      </c>
      <c r="AG71" s="184">
        <v>2190</v>
      </c>
      <c r="AH71" s="184">
        <v>2080</v>
      </c>
      <c r="AI71" s="184">
        <v>2080</v>
      </c>
      <c r="AJ71" s="184">
        <v>2080</v>
      </c>
      <c r="AK71" s="184">
        <v>2080</v>
      </c>
      <c r="AL71" s="146">
        <f>40+(AL70+20)</f>
        <v>2150</v>
      </c>
      <c r="AM71" s="146">
        <f>40+(AM70+20)</f>
        <v>2150</v>
      </c>
      <c r="AN71" s="146">
        <f>40+(AN70+20)</f>
        <v>2150</v>
      </c>
      <c r="AO71" s="184">
        <v>2170</v>
      </c>
      <c r="AP71" s="184">
        <v>2170</v>
      </c>
      <c r="AQ71" s="184">
        <v>2170</v>
      </c>
      <c r="AR71" s="184">
        <v>2170</v>
      </c>
      <c r="AS71" s="184">
        <v>2170</v>
      </c>
      <c r="AT71" s="184">
        <v>2170</v>
      </c>
      <c r="AU71" s="184">
        <v>2100</v>
      </c>
      <c r="AV71" s="184">
        <v>2100</v>
      </c>
      <c r="AW71" s="146">
        <f>AW70+20</f>
        <v>2060</v>
      </c>
      <c r="AX71" s="146">
        <f>AX70+20</f>
        <v>2060</v>
      </c>
      <c r="AY71" s="146">
        <f>AY70+20</f>
        <v>2060</v>
      </c>
      <c r="AZ71" s="184">
        <v>2140</v>
      </c>
      <c r="BA71" s="184">
        <v>2140</v>
      </c>
      <c r="BB71" s="184">
        <v>2140</v>
      </c>
      <c r="BC71" s="184">
        <v>2140</v>
      </c>
      <c r="BD71" s="184">
        <v>2140</v>
      </c>
      <c r="BE71" s="184">
        <v>2140</v>
      </c>
      <c r="BF71" s="184">
        <v>2040</v>
      </c>
      <c r="BG71" s="184">
        <v>2040</v>
      </c>
      <c r="BH71" s="184">
        <v>2040</v>
      </c>
      <c r="BI71" s="184">
        <v>2040</v>
      </c>
      <c r="BJ71" s="184">
        <v>2040</v>
      </c>
      <c r="BK71" s="184">
        <v>2040</v>
      </c>
      <c r="BL71" s="184">
        <v>2120</v>
      </c>
      <c r="BM71" s="184">
        <v>2120</v>
      </c>
      <c r="BN71" s="184">
        <v>2120</v>
      </c>
      <c r="BO71" s="184">
        <v>2200</v>
      </c>
      <c r="BP71" s="184">
        <v>2200</v>
      </c>
      <c r="BQ71" s="184">
        <v>2200</v>
      </c>
      <c r="BR71" s="184"/>
      <c r="BS71" s="184"/>
      <c r="BT71" s="184"/>
      <c r="BU71" s="146" cm="1">
        <f t="array" ref="BU71">LOOKUP(2,1/(Y71:BT71&lt;&gt;""),Y71:BH71)</f>
        <v>2200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46199</v>
      </c>
      <c r="BW71" s="211" cm="1">
        <f t="array" ref="BW71">(LOOKUP(2,1/(BH71:BT71&lt;&gt;""),BH71:BT71))/(INDEX(BH71:BT71,MATCH(TRUE,INDEX((BH71:BT71&lt;&gt;0),0),0)))-1</f>
        <v>7.8431372549019551E-2</v>
      </c>
      <c r="BX71" s="212">
        <f t="shared" ref="BX71:BX131" si="38">BU71/1000</f>
        <v>2.2000000000000002</v>
      </c>
      <c r="BY71" s="212">
        <f t="shared" si="37"/>
        <v>12.980000000000002</v>
      </c>
      <c r="BZ71" s="212">
        <f ca="1">IF(L71="BR",'Impostos e Frete'!$F$6,IF(L71="EU",'Impostos e Frete'!$I$3,IF(L71="CN",'Impostos e Frete'!$I$4,IF(L71="JP",'Impostos e Frete'!$I$5,IF(L71="RU",'Impostos e Frete'!$I$7,"ERRO")))))</f>
        <v>0.14176320000000001</v>
      </c>
      <c r="CA71" s="212">
        <f>VLOOKUP(L71,'Impostos e Frete'!$A$3:$B$7,2,0)*'Preços e Condições'!BY71</f>
        <v>1.6874000000000002</v>
      </c>
      <c r="CB71" s="147">
        <f t="shared" ref="CB71:CB131" si="39">IF(R71="CFR",$CB$2,IF(R71="FOB",0,IF(R71="EXW",$CB$1,"ERRO")))</f>
        <v>-0.17699999999999999</v>
      </c>
      <c r="CC71" s="147">
        <f>IF(X71="BRL",'Impostos e Frete'!$B$11,'Impostos e Frete'!$B$12)</f>
        <v>9.1999999999999998E-2</v>
      </c>
      <c r="CD71" s="213">
        <f t="shared" ref="CD71:CD131" ca="1" si="40">SUM(BY71:CC71)</f>
        <v>14.724163200000003</v>
      </c>
      <c r="CE71" s="214">
        <f t="shared" ref="CE71:CE131" ca="1" si="41">IF(C71="","erro",(CD71/1000)*C71)</f>
        <v>1.0012430976000002</v>
      </c>
      <c r="CF71" s="215">
        <f>VLOOKUP(L71,'Impostos e Frete'!$A$3:$C$7,3,0)</f>
        <v>105</v>
      </c>
      <c r="CG71" s="215">
        <f t="shared" ref="CG71:CG131" si="42">M71</f>
        <v>120</v>
      </c>
      <c r="CH71" s="215">
        <f t="shared" ref="CH71:CH131" si="43">CG71-CF71</f>
        <v>15</v>
      </c>
      <c r="CI71" s="216">
        <f t="shared" ref="CI71:CI131" ca="1" si="44">CD71*(1+VALUE($CI$2))^((CH71*-1)/30)-CD71</f>
        <v>-0.1092042010119183</v>
      </c>
      <c r="CJ71" s="217">
        <f t="shared" ref="CJ71:CJ131" ca="1" si="45">CD71+CI71</f>
        <v>14.614958998988085</v>
      </c>
      <c r="CK71" s="218">
        <f t="shared" ref="CK71:CK131" ca="1" si="46">IF(C71="","erro",(CJ71/1000)*C71)</f>
        <v>0.99381721193118966</v>
      </c>
    </row>
    <row r="72" spans="1:89">
      <c r="A72" s="176">
        <v>14108</v>
      </c>
      <c r="B72" s="177">
        <v>8269</v>
      </c>
      <c r="C72" s="178">
        <v>68</v>
      </c>
      <c r="D72" s="178">
        <v>1870</v>
      </c>
      <c r="E72" s="178" t="s">
        <v>50</v>
      </c>
      <c r="F72" s="179" t="s">
        <v>2</v>
      </c>
      <c r="G72" s="189" t="s">
        <v>85</v>
      </c>
      <c r="H72" s="178" t="s">
        <v>42</v>
      </c>
      <c r="I72" s="178">
        <v>32102</v>
      </c>
      <c r="J72" s="178"/>
      <c r="K72" s="178"/>
      <c r="L72" s="178" t="s">
        <v>59</v>
      </c>
      <c r="M72" s="178">
        <v>120</v>
      </c>
      <c r="N72" s="178"/>
      <c r="O72" s="178"/>
      <c r="P72" s="178"/>
      <c r="Q72" s="178"/>
      <c r="R72" s="178" t="s">
        <v>126</v>
      </c>
      <c r="S72" s="181"/>
      <c r="T72" s="181"/>
      <c r="U72" s="182"/>
      <c r="V72" s="182" t="s">
        <v>35</v>
      </c>
      <c r="W72" s="183">
        <v>50</v>
      </c>
      <c r="X72" s="182" t="s">
        <v>51</v>
      </c>
      <c r="Y72" s="184">
        <v>2520</v>
      </c>
      <c r="Z72" s="184">
        <v>2520</v>
      </c>
      <c r="AA72" s="184">
        <v>2520</v>
      </c>
      <c r="AB72" s="184">
        <v>2430</v>
      </c>
      <c r="AC72" s="184">
        <v>2430</v>
      </c>
      <c r="AD72" s="184">
        <v>2430</v>
      </c>
      <c r="AE72" s="184">
        <v>2220</v>
      </c>
      <c r="AF72" s="184">
        <v>2220</v>
      </c>
      <c r="AG72" s="184">
        <v>2220</v>
      </c>
      <c r="AH72" s="184">
        <v>2110</v>
      </c>
      <c r="AI72" s="184">
        <v>2110</v>
      </c>
      <c r="AJ72" s="184">
        <v>2110</v>
      </c>
      <c r="AK72" s="184">
        <v>2110</v>
      </c>
      <c r="AL72" s="146">
        <f>40+(AL70+50)</f>
        <v>2180</v>
      </c>
      <c r="AM72" s="146">
        <f>40+(AM70+50)</f>
        <v>2180</v>
      </c>
      <c r="AN72" s="146">
        <f>40+(AN70+50)</f>
        <v>2180</v>
      </c>
      <c r="AO72" s="184">
        <v>2200</v>
      </c>
      <c r="AP72" s="184">
        <v>2200</v>
      </c>
      <c r="AQ72" s="184">
        <v>2200</v>
      </c>
      <c r="AR72" s="184">
        <v>2200</v>
      </c>
      <c r="AS72" s="184">
        <v>2200</v>
      </c>
      <c r="AT72" s="184">
        <v>2200</v>
      </c>
      <c r="AU72" s="184">
        <v>2130</v>
      </c>
      <c r="AV72" s="184">
        <v>2130</v>
      </c>
      <c r="AW72" s="146">
        <f>AW70+50</f>
        <v>2090</v>
      </c>
      <c r="AX72" s="146">
        <f>AX70+50</f>
        <v>2090</v>
      </c>
      <c r="AY72" s="146">
        <f>AY70+50</f>
        <v>2090</v>
      </c>
      <c r="AZ72" s="184">
        <v>2170</v>
      </c>
      <c r="BA72" s="184">
        <v>2170</v>
      </c>
      <c r="BB72" s="184">
        <v>2170</v>
      </c>
      <c r="BC72" s="184">
        <v>2170</v>
      </c>
      <c r="BD72" s="184">
        <v>2170</v>
      </c>
      <c r="BE72" s="184">
        <v>2170</v>
      </c>
      <c r="BF72" s="184">
        <v>2070</v>
      </c>
      <c r="BG72" s="184">
        <v>2070</v>
      </c>
      <c r="BH72" s="184">
        <v>2070</v>
      </c>
      <c r="BI72" s="184">
        <v>2070</v>
      </c>
      <c r="BJ72" s="184">
        <v>2070</v>
      </c>
      <c r="BK72" s="184">
        <v>2070</v>
      </c>
      <c r="BL72" s="184">
        <v>2150</v>
      </c>
      <c r="BM72" s="184">
        <v>2150</v>
      </c>
      <c r="BN72" s="184">
        <v>2150</v>
      </c>
      <c r="BO72" s="184">
        <v>2230</v>
      </c>
      <c r="BP72" s="184">
        <v>2230</v>
      </c>
      <c r="BQ72" s="184">
        <v>2230</v>
      </c>
      <c r="BR72" s="184"/>
      <c r="BS72" s="184"/>
      <c r="BT72" s="184"/>
      <c r="BU72" s="146" cm="1">
        <f t="array" ref="BU72">LOOKUP(2,1/(Y72:BT72&lt;&gt;""),Y72:BH72)</f>
        <v>2230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46199</v>
      </c>
      <c r="BW72" s="211" cm="1">
        <f t="array" ref="BW72">(LOOKUP(2,1/(BH72:BT72&lt;&gt;""),BH72:BT72))/(INDEX(BH72:BT72,MATCH(TRUE,INDEX((BH72:BT72&lt;&gt;0),0),0)))-1</f>
        <v>7.7294685990338063E-2</v>
      </c>
      <c r="BX72" s="212">
        <f t="shared" si="38"/>
        <v>2.23</v>
      </c>
      <c r="BY72" s="212">
        <f t="shared" si="37"/>
        <v>13.157</v>
      </c>
      <c r="BZ72" s="212">
        <f ca="1">IF(L72="BR",'Impostos e Frete'!$F$6,IF(L72="EU",'Impostos e Frete'!$I$3,IF(L72="CN",'Impostos e Frete'!$I$4,IF(L72="JP",'Impostos e Frete'!$I$5,IF(L72="RU",'Impostos e Frete'!$I$7,"ERRO")))))</f>
        <v>0.14176320000000001</v>
      </c>
      <c r="CA72" s="212">
        <f>VLOOKUP(L72,'Impostos e Frete'!$A$3:$B$7,2,0)*'Preços e Condições'!BY72</f>
        <v>1.71041</v>
      </c>
      <c r="CB72" s="147">
        <f t="shared" si="39"/>
        <v>-0.17699999999999999</v>
      </c>
      <c r="CC72" s="147">
        <f>IF(X72="BRL",'Impostos e Frete'!$B$11,'Impostos e Frete'!$B$12)</f>
        <v>9.1999999999999998E-2</v>
      </c>
      <c r="CD72" s="213">
        <f t="shared" ca="1" si="40"/>
        <v>14.9241732</v>
      </c>
      <c r="CE72" s="214">
        <f t="shared" ca="1" si="41"/>
        <v>1.0148437775999999</v>
      </c>
      <c r="CF72" s="215">
        <f>VLOOKUP(L72,'Impostos e Frete'!$A$3:$C$7,3,0)</f>
        <v>105</v>
      </c>
      <c r="CG72" s="215">
        <f t="shared" si="42"/>
        <v>120</v>
      </c>
      <c r="CH72" s="215">
        <f t="shared" si="43"/>
        <v>15</v>
      </c>
      <c r="CI72" s="216">
        <f t="shared" ca="1" si="44"/>
        <v>-0.11068760838439395</v>
      </c>
      <c r="CJ72" s="217">
        <f t="shared" ca="1" si="45"/>
        <v>14.813485591615606</v>
      </c>
      <c r="CK72" s="218">
        <f t="shared" ca="1" si="46"/>
        <v>1.0073170202298614</v>
      </c>
    </row>
    <row r="73" spans="1:89">
      <c r="A73" s="176">
        <v>14108</v>
      </c>
      <c r="B73" s="177">
        <v>8269</v>
      </c>
      <c r="C73" s="178">
        <v>68</v>
      </c>
      <c r="D73" s="178">
        <v>1870</v>
      </c>
      <c r="E73" s="178" t="s">
        <v>50</v>
      </c>
      <c r="F73" s="179" t="s">
        <v>2</v>
      </c>
      <c r="G73" s="189" t="s">
        <v>85</v>
      </c>
      <c r="H73" s="178" t="s">
        <v>42</v>
      </c>
      <c r="I73" s="178">
        <v>32102</v>
      </c>
      <c r="J73" s="178"/>
      <c r="K73" s="178"/>
      <c r="L73" s="178" t="s">
        <v>59</v>
      </c>
      <c r="M73" s="178">
        <v>120</v>
      </c>
      <c r="N73" s="178"/>
      <c r="O73" s="178"/>
      <c r="P73" s="178"/>
      <c r="Q73" s="178"/>
      <c r="R73" s="178" t="s">
        <v>126</v>
      </c>
      <c r="S73" s="181"/>
      <c r="T73" s="181"/>
      <c r="U73" s="182"/>
      <c r="V73" s="182" t="s">
        <v>35</v>
      </c>
      <c r="W73" s="183">
        <v>30</v>
      </c>
      <c r="X73" s="182" t="s">
        <v>51</v>
      </c>
      <c r="Y73" s="184">
        <v>2570</v>
      </c>
      <c r="Z73" s="184">
        <v>2570</v>
      </c>
      <c r="AA73" s="184">
        <v>2570</v>
      </c>
      <c r="AB73" s="184">
        <v>2480</v>
      </c>
      <c r="AC73" s="184">
        <v>2480</v>
      </c>
      <c r="AD73" s="184">
        <v>2480</v>
      </c>
      <c r="AE73" s="184">
        <v>2270</v>
      </c>
      <c r="AF73" s="184">
        <v>2270</v>
      </c>
      <c r="AG73" s="184">
        <v>2270</v>
      </c>
      <c r="AH73" s="184">
        <v>2160</v>
      </c>
      <c r="AI73" s="184">
        <v>2160</v>
      </c>
      <c r="AJ73" s="184">
        <v>2160</v>
      </c>
      <c r="AK73" s="184">
        <v>2160</v>
      </c>
      <c r="AL73" s="146">
        <f>40+(AL70+100)</f>
        <v>2230</v>
      </c>
      <c r="AM73" s="146">
        <f>40+(AM70+100)</f>
        <v>2230</v>
      </c>
      <c r="AN73" s="146">
        <f>40+(AN70+100)</f>
        <v>2230</v>
      </c>
      <c r="AO73" s="184">
        <v>2250</v>
      </c>
      <c r="AP73" s="184">
        <v>2250</v>
      </c>
      <c r="AQ73" s="184">
        <v>2250</v>
      </c>
      <c r="AR73" s="184">
        <v>2250</v>
      </c>
      <c r="AS73" s="184">
        <v>2250</v>
      </c>
      <c r="AT73" s="184">
        <v>2250</v>
      </c>
      <c r="AU73" s="184">
        <v>2180</v>
      </c>
      <c r="AV73" s="184">
        <v>2180</v>
      </c>
      <c r="AW73" s="146">
        <f>AW70+100</f>
        <v>2140</v>
      </c>
      <c r="AX73" s="146">
        <f>AX70+100</f>
        <v>2140</v>
      </c>
      <c r="AY73" s="146">
        <f>AY70+100</f>
        <v>2140</v>
      </c>
      <c r="AZ73" s="184">
        <v>2220</v>
      </c>
      <c r="BA73" s="184">
        <v>2220</v>
      </c>
      <c r="BB73" s="184">
        <v>2220</v>
      </c>
      <c r="BC73" s="184">
        <v>2220</v>
      </c>
      <c r="BD73" s="184">
        <v>2220</v>
      </c>
      <c r="BE73" s="184">
        <v>2220</v>
      </c>
      <c r="BF73" s="184">
        <v>2120</v>
      </c>
      <c r="BG73" s="184">
        <v>2120</v>
      </c>
      <c r="BH73" s="184">
        <v>2120</v>
      </c>
      <c r="BI73" s="184">
        <v>2120</v>
      </c>
      <c r="BJ73" s="184">
        <v>2120</v>
      </c>
      <c r="BK73" s="184">
        <v>2120</v>
      </c>
      <c r="BL73" s="184">
        <v>2200</v>
      </c>
      <c r="BM73" s="184">
        <v>2200</v>
      </c>
      <c r="BN73" s="184">
        <v>2200</v>
      </c>
      <c r="BO73" s="184">
        <v>2280</v>
      </c>
      <c r="BP73" s="184">
        <v>2280</v>
      </c>
      <c r="BQ73" s="184">
        <v>2280</v>
      </c>
      <c r="BR73" s="184"/>
      <c r="BS73" s="184"/>
      <c r="BT73" s="184"/>
      <c r="BU73" s="146" cm="1">
        <f t="array" ref="BU73">LOOKUP(2,1/(Y73:BT73&lt;&gt;""),Y73:BH73)</f>
        <v>2280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46199</v>
      </c>
      <c r="BW73" s="211" cm="1">
        <f t="array" ref="BW73">(LOOKUP(2,1/(BH73:BT73&lt;&gt;""),BH73:BT73))/(INDEX(BH73:BT73,MATCH(TRUE,INDEX((BH73:BT73&lt;&gt;0),0),0)))-1</f>
        <v>7.547169811320753E-2</v>
      </c>
      <c r="BX73" s="212">
        <f t="shared" si="38"/>
        <v>2.2799999999999998</v>
      </c>
      <c r="BY73" s="212">
        <f t="shared" si="37"/>
        <v>13.452</v>
      </c>
      <c r="BZ73" s="212">
        <f ca="1">IF(L73="BR",'Impostos e Frete'!$F$6,IF(L73="EU",'Impostos e Frete'!$I$3,IF(L73="CN",'Impostos e Frete'!$I$4,IF(L73="JP",'Impostos e Frete'!$I$5,IF(L73="RU",'Impostos e Frete'!$I$7,"ERRO")))))</f>
        <v>0.14176320000000001</v>
      </c>
      <c r="CA73" s="212">
        <f>VLOOKUP(L73,'Impostos e Frete'!$A$3:$B$7,2,0)*'Preços e Condições'!BY73</f>
        <v>1.7487600000000001</v>
      </c>
      <c r="CB73" s="147">
        <f t="shared" si="39"/>
        <v>-0.17699999999999999</v>
      </c>
      <c r="CC73" s="147">
        <f>IF(X73="BRL",'Impostos e Frete'!$B$11,'Impostos e Frete'!$B$12)</f>
        <v>9.1999999999999998E-2</v>
      </c>
      <c r="CD73" s="213">
        <f t="shared" ca="1" si="40"/>
        <v>15.257523200000001</v>
      </c>
      <c r="CE73" s="214">
        <f t="shared" ca="1" si="41"/>
        <v>1.0375115776000001</v>
      </c>
      <c r="CF73" s="215">
        <f>VLOOKUP(L73,'Impostos e Frete'!$A$3:$C$7,3,0)</f>
        <v>105</v>
      </c>
      <c r="CG73" s="215">
        <f t="shared" si="42"/>
        <v>120</v>
      </c>
      <c r="CH73" s="215">
        <f t="shared" si="43"/>
        <v>15</v>
      </c>
      <c r="CI73" s="216">
        <f t="shared" ca="1" si="44"/>
        <v>-0.11315995400518375</v>
      </c>
      <c r="CJ73" s="217">
        <f t="shared" ca="1" si="45"/>
        <v>15.144363245994818</v>
      </c>
      <c r="CK73" s="218">
        <f t="shared" ca="1" si="46"/>
        <v>1.0298167007276475</v>
      </c>
    </row>
    <row r="74" spans="1:89">
      <c r="A74" s="176">
        <v>14134</v>
      </c>
      <c r="B74" s="177">
        <v>8269</v>
      </c>
      <c r="C74" s="178">
        <v>68</v>
      </c>
      <c r="D74" s="178">
        <v>1270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v>2180</v>
      </c>
      <c r="BP74" s="184">
        <v>2180</v>
      </c>
      <c r="BQ74" s="184">
        <v>2180</v>
      </c>
      <c r="BR74" s="184"/>
      <c r="BS74" s="184"/>
      <c r="BT74" s="184"/>
      <c r="BU74" s="146" cm="1">
        <f t="array" ref="BU74">LOOKUP(2,1/(Y74:BT74&lt;&gt;""),Y74:BH74)</f>
        <v>2180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46199</v>
      </c>
      <c r="BW74" s="211" cm="1">
        <f t="array" ref="BW74">(LOOKUP(2,1/(BH74:BT74&lt;&gt;""),BH74:BT74))/(INDEX(BH74:BT74,MATCH(TRUE,INDEX((BH74:BT74&lt;&gt;0),0),0)))-1</f>
        <v>7.9207920792079278E-2</v>
      </c>
      <c r="BX74" s="212">
        <f t="shared" si="38"/>
        <v>2.1800000000000002</v>
      </c>
      <c r="BY74" s="212">
        <f t="shared" si="37"/>
        <v>12.862000000000002</v>
      </c>
      <c r="BZ74" s="212">
        <f ca="1">IF(L74="BR",'Impostos e Frete'!$F$6,IF(L74="EU",'Impostos e Frete'!$I$3,IF(L74="CN",'Impostos e Frete'!$I$4,IF(L74="JP",'Impostos e Frete'!$I$5,IF(L74="RU",'Impostos e Frete'!$I$7,"ERRO")))))</f>
        <v>0.14176320000000001</v>
      </c>
      <c r="CA74" s="212">
        <f>VLOOKUP(L74,'Impostos e Frete'!$A$3:$B$7,2,0)*'Preços e Condições'!BY74</f>
        <v>1.6720600000000003</v>
      </c>
      <c r="CB74" s="147">
        <f t="shared" si="39"/>
        <v>-0.17699999999999999</v>
      </c>
      <c r="CC74" s="147">
        <f>IF(X74="BRL",'Impostos e Frete'!$B$11,'Impostos e Frete'!$B$12)</f>
        <v>9.1999999999999998E-2</v>
      </c>
      <c r="CD74" s="213">
        <f t="shared" ca="1" si="40"/>
        <v>14.590823200000003</v>
      </c>
      <c r="CE74" s="214">
        <f t="shared" ca="1" si="41"/>
        <v>0.99217597760000009</v>
      </c>
      <c r="CF74" s="215">
        <f>VLOOKUP(L74,'Impostos e Frete'!$A$3:$C$7,3,0)</f>
        <v>105</v>
      </c>
      <c r="CG74" s="215">
        <f t="shared" si="42"/>
        <v>120</v>
      </c>
      <c r="CH74" s="215">
        <f t="shared" si="43"/>
        <v>15</v>
      </c>
      <c r="CI74" s="216">
        <f t="shared" ca="1" si="44"/>
        <v>-0.10821526276360238</v>
      </c>
      <c r="CJ74" s="217">
        <f t="shared" ca="1" si="45"/>
        <v>14.4826079372364</v>
      </c>
      <c r="CK74" s="218">
        <f t="shared" ca="1" si="46"/>
        <v>0.9848173397320753</v>
      </c>
    </row>
    <row r="75" spans="1:89">
      <c r="A75" s="176">
        <v>14134</v>
      </c>
      <c r="B75" s="177">
        <v>8269</v>
      </c>
      <c r="C75" s="178">
        <v>68</v>
      </c>
      <c r="D75" s="178">
        <v>1270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v>2200</v>
      </c>
      <c r="BP75" s="184">
        <v>2200</v>
      </c>
      <c r="BQ75" s="184">
        <v>2200</v>
      </c>
      <c r="BR75" s="184"/>
      <c r="BS75" s="184"/>
      <c r="BT75" s="184"/>
      <c r="BU75" s="146" cm="1">
        <f t="array" ref="BU75">LOOKUP(2,1/(Y75:BT75&lt;&gt;""),Y75:BH75)</f>
        <v>2200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46199</v>
      </c>
      <c r="BW75" s="211" cm="1">
        <f t="array" ref="BW75">(LOOKUP(2,1/(BH75:BT75&lt;&gt;""),BH75:BT75))/(INDEX(BH75:BT75,MATCH(TRUE,INDEX((BH75:BT75&lt;&gt;0),0),0)))-1</f>
        <v>7.8431372549019551E-2</v>
      </c>
      <c r="BX75" s="212">
        <f t="shared" si="38"/>
        <v>2.2000000000000002</v>
      </c>
      <c r="BY75" s="212">
        <f t="shared" si="37"/>
        <v>12.980000000000002</v>
      </c>
      <c r="BZ75" s="212">
        <f ca="1">IF(L75="BR",'Impostos e Frete'!$F$6,IF(L75="EU",'Impostos e Frete'!$I$3,IF(L75="CN",'Impostos e Frete'!$I$4,IF(L75="JP",'Impostos e Frete'!$I$5,IF(L75="RU",'Impostos e Frete'!$I$7,"ERRO")))))</f>
        <v>0.14176320000000001</v>
      </c>
      <c r="CA75" s="212">
        <f>VLOOKUP(L75,'Impostos e Frete'!$A$3:$B$7,2,0)*'Preços e Condições'!BY75</f>
        <v>1.6874000000000002</v>
      </c>
      <c r="CB75" s="147">
        <f t="shared" si="39"/>
        <v>-0.17699999999999999</v>
      </c>
      <c r="CC75" s="147">
        <f>IF(X75="BRL",'Impostos e Frete'!$B$11,'Impostos e Frete'!$B$12)</f>
        <v>9.1999999999999998E-2</v>
      </c>
      <c r="CD75" s="213">
        <f t="shared" ca="1" si="40"/>
        <v>14.724163200000003</v>
      </c>
      <c r="CE75" s="214">
        <f t="shared" ca="1" si="41"/>
        <v>1.0012430976000002</v>
      </c>
      <c r="CF75" s="215">
        <f>VLOOKUP(L75,'Impostos e Frete'!$A$3:$C$7,3,0)</f>
        <v>105</v>
      </c>
      <c r="CG75" s="215">
        <f t="shared" si="42"/>
        <v>120</v>
      </c>
      <c r="CH75" s="215">
        <f t="shared" si="43"/>
        <v>15</v>
      </c>
      <c r="CI75" s="216">
        <f t="shared" ca="1" si="44"/>
        <v>-0.1092042010119183</v>
      </c>
      <c r="CJ75" s="217">
        <f t="shared" ca="1" si="45"/>
        <v>14.614958998988085</v>
      </c>
      <c r="CK75" s="218">
        <f t="shared" ca="1" si="46"/>
        <v>0.99381721193118966</v>
      </c>
    </row>
    <row r="76" spans="1:89">
      <c r="A76" s="176">
        <v>14134</v>
      </c>
      <c r="B76" s="177">
        <v>8269</v>
      </c>
      <c r="C76" s="178">
        <v>68</v>
      </c>
      <c r="D76" s="178">
        <v>1270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v>2230</v>
      </c>
      <c r="BP76" s="184">
        <v>2230</v>
      </c>
      <c r="BQ76" s="184">
        <v>2230</v>
      </c>
      <c r="BR76" s="184"/>
      <c r="BS76" s="184"/>
      <c r="BT76" s="184"/>
      <c r="BU76" s="146" cm="1">
        <f t="array" ref="BU76">LOOKUP(2,1/(Y76:BT76&lt;&gt;""),Y76:BH76)</f>
        <v>2230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46199</v>
      </c>
      <c r="BW76" s="211" cm="1">
        <f t="array" ref="BW76">(LOOKUP(2,1/(BH76:BT76&lt;&gt;""),BH76:BT76))/(INDEX(BH76:BT76,MATCH(TRUE,INDEX((BH76:BT76&lt;&gt;0),0),0)))-1</f>
        <v>7.7294685990338063E-2</v>
      </c>
      <c r="BX76" s="212">
        <f t="shared" si="38"/>
        <v>2.23</v>
      </c>
      <c r="BY76" s="212">
        <f t="shared" si="37"/>
        <v>13.157</v>
      </c>
      <c r="BZ76" s="212">
        <f ca="1">IF(L76="BR",'Impostos e Frete'!$F$6,IF(L76="EU",'Impostos e Frete'!$I$3,IF(L76="CN",'Impostos e Frete'!$I$4,IF(L76="JP",'Impostos e Frete'!$I$5,IF(L76="RU",'Impostos e Frete'!$I$7,"ERRO")))))</f>
        <v>0.14176320000000001</v>
      </c>
      <c r="CA76" s="212">
        <f>VLOOKUP(L76,'Impostos e Frete'!$A$3:$B$7,2,0)*'Preços e Condições'!BY76</f>
        <v>1.71041</v>
      </c>
      <c r="CB76" s="147">
        <f t="shared" si="39"/>
        <v>-0.17699999999999999</v>
      </c>
      <c r="CC76" s="147">
        <f>IF(X76="BRL",'Impostos e Frete'!$B$11,'Impostos e Frete'!$B$12)</f>
        <v>9.1999999999999998E-2</v>
      </c>
      <c r="CD76" s="213">
        <f t="shared" ca="1" si="40"/>
        <v>14.9241732</v>
      </c>
      <c r="CE76" s="214">
        <f t="shared" ca="1" si="41"/>
        <v>1.0148437775999999</v>
      </c>
      <c r="CF76" s="215">
        <f>VLOOKUP(L76,'Impostos e Frete'!$A$3:$C$7,3,0)</f>
        <v>105</v>
      </c>
      <c r="CG76" s="215">
        <f t="shared" si="42"/>
        <v>120</v>
      </c>
      <c r="CH76" s="215">
        <f t="shared" si="43"/>
        <v>15</v>
      </c>
      <c r="CI76" s="216">
        <f t="shared" ca="1" si="44"/>
        <v>-0.11068760838439395</v>
      </c>
      <c r="CJ76" s="217">
        <f t="shared" ca="1" si="45"/>
        <v>14.813485591615606</v>
      </c>
      <c r="CK76" s="218">
        <f t="shared" ca="1" si="46"/>
        <v>1.0073170202298614</v>
      </c>
    </row>
    <row r="77" spans="1:89">
      <c r="A77" s="176">
        <v>14134</v>
      </c>
      <c r="B77" s="177">
        <v>8269</v>
      </c>
      <c r="C77" s="178">
        <v>68</v>
      </c>
      <c r="D77" s="178">
        <v>1270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v>2280</v>
      </c>
      <c r="BP77" s="184">
        <v>2280</v>
      </c>
      <c r="BQ77" s="184">
        <v>2280</v>
      </c>
      <c r="BR77" s="184"/>
      <c r="BS77" s="184"/>
      <c r="BT77" s="184"/>
      <c r="BU77" s="146" cm="1">
        <f t="array" ref="BU77">LOOKUP(2,1/(Y77:BT77&lt;&gt;""),Y77:BH77)</f>
        <v>2280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46199</v>
      </c>
      <c r="BW77" s="211" cm="1">
        <f t="array" ref="BW77">(LOOKUP(2,1/(BH77:BT77&lt;&gt;""),BH77:BT77))/(INDEX(BH77:BT77,MATCH(TRUE,INDEX((BH77:BT77&lt;&gt;0),0),0)))-1</f>
        <v>7.547169811320753E-2</v>
      </c>
      <c r="BX77" s="212">
        <f t="shared" si="38"/>
        <v>2.2799999999999998</v>
      </c>
      <c r="BY77" s="212">
        <f t="shared" si="37"/>
        <v>13.452</v>
      </c>
      <c r="BZ77" s="212">
        <f ca="1">IF(L77="BR",'Impostos e Frete'!$F$6,IF(L77="EU",'Impostos e Frete'!$I$3,IF(L77="CN",'Impostos e Frete'!$I$4,IF(L77="JP",'Impostos e Frete'!$I$5,IF(L77="RU",'Impostos e Frete'!$I$7,"ERRO")))))</f>
        <v>0.14176320000000001</v>
      </c>
      <c r="CA77" s="212">
        <f>VLOOKUP(L77,'Impostos e Frete'!$A$3:$B$7,2,0)*'Preços e Condições'!BY77</f>
        <v>1.7487600000000001</v>
      </c>
      <c r="CB77" s="147">
        <f t="shared" si="39"/>
        <v>-0.17699999999999999</v>
      </c>
      <c r="CC77" s="147">
        <f>IF(X77="BRL",'Impostos e Frete'!$B$11,'Impostos e Frete'!$B$12)</f>
        <v>9.1999999999999998E-2</v>
      </c>
      <c r="CD77" s="213">
        <f t="shared" ca="1" si="40"/>
        <v>15.257523200000001</v>
      </c>
      <c r="CE77" s="214">
        <f t="shared" ca="1" si="41"/>
        <v>1.0375115776000001</v>
      </c>
      <c r="CF77" s="215">
        <f>VLOOKUP(L77,'Impostos e Frete'!$A$3:$C$7,3,0)</f>
        <v>105</v>
      </c>
      <c r="CG77" s="215">
        <f t="shared" si="42"/>
        <v>120</v>
      </c>
      <c r="CH77" s="215">
        <f t="shared" si="43"/>
        <v>15</v>
      </c>
      <c r="CI77" s="216">
        <f t="shared" ca="1" si="44"/>
        <v>-0.11315995400518375</v>
      </c>
      <c r="CJ77" s="217">
        <f t="shared" ca="1" si="45"/>
        <v>15.144363245994818</v>
      </c>
      <c r="CK77" s="218">
        <f t="shared" ca="1" si="46"/>
        <v>1.0298167007276475</v>
      </c>
    </row>
    <row r="78" spans="1:89">
      <c r="A78" s="176">
        <v>14137</v>
      </c>
      <c r="B78" s="177" t="s">
        <v>52</v>
      </c>
      <c r="C78" s="178">
        <v>68</v>
      </c>
      <c r="D78" s="178">
        <v>1270</v>
      </c>
      <c r="E78" s="178" t="s">
        <v>50</v>
      </c>
      <c r="F78" s="179" t="s">
        <v>2</v>
      </c>
      <c r="G78" s="189" t="s">
        <v>86</v>
      </c>
      <c r="H78" s="178" t="s">
        <v>42</v>
      </c>
      <c r="I78" s="178">
        <v>32102</v>
      </c>
      <c r="J78" s="178"/>
      <c r="K78" s="178"/>
      <c r="L78" s="178" t="s">
        <v>59</v>
      </c>
      <c r="M78" s="178">
        <v>120</v>
      </c>
      <c r="N78" s="178"/>
      <c r="O78" s="178"/>
      <c r="P78" s="178"/>
      <c r="Q78" s="178"/>
      <c r="R78" s="178" t="s">
        <v>126</v>
      </c>
      <c r="S78" s="181"/>
      <c r="T78" s="181"/>
      <c r="U78" s="182"/>
      <c r="V78" s="182" t="s">
        <v>35</v>
      </c>
      <c r="W78" s="183">
        <v>100</v>
      </c>
      <c r="X78" s="182" t="s">
        <v>51</v>
      </c>
      <c r="Y78" s="184">
        <v>2470</v>
      </c>
      <c r="Z78" s="184">
        <v>2470</v>
      </c>
      <c r="AA78" s="184">
        <v>2470</v>
      </c>
      <c r="AB78" s="184">
        <v>2380</v>
      </c>
      <c r="AC78" s="184">
        <v>2380</v>
      </c>
      <c r="AD78" s="184">
        <v>2380</v>
      </c>
      <c r="AE78" s="184">
        <v>2170</v>
      </c>
      <c r="AF78" s="184">
        <v>2170</v>
      </c>
      <c r="AG78" s="184">
        <v>2170</v>
      </c>
      <c r="AH78" s="184">
        <v>2060</v>
      </c>
      <c r="AI78" s="184">
        <v>2060</v>
      </c>
      <c r="AJ78" s="184">
        <v>2060</v>
      </c>
      <c r="AK78" s="184">
        <v>2060</v>
      </c>
      <c r="AL78" s="184">
        <v>2090</v>
      </c>
      <c r="AM78" s="184">
        <v>2090</v>
      </c>
      <c r="AN78" s="184">
        <v>2090</v>
      </c>
      <c r="AO78" s="184">
        <v>2150</v>
      </c>
      <c r="AP78" s="184">
        <v>2150</v>
      </c>
      <c r="AQ78" s="184">
        <v>2150</v>
      </c>
      <c r="AR78" s="184">
        <v>2150</v>
      </c>
      <c r="AS78" s="184">
        <v>2150</v>
      </c>
      <c r="AT78" s="184">
        <v>2150</v>
      </c>
      <c r="AU78" s="184">
        <v>2080</v>
      </c>
      <c r="AV78" s="184">
        <v>2080</v>
      </c>
      <c r="AW78" s="184">
        <v>2040</v>
      </c>
      <c r="AX78" s="184">
        <v>2040</v>
      </c>
      <c r="AY78" s="184">
        <v>2040</v>
      </c>
      <c r="AZ78" s="184">
        <v>2120</v>
      </c>
      <c r="BA78" s="184">
        <v>2120</v>
      </c>
      <c r="BB78" s="184">
        <v>2120</v>
      </c>
      <c r="BC78" s="184">
        <v>2120</v>
      </c>
      <c r="BD78" s="184">
        <v>2120</v>
      </c>
      <c r="BE78" s="184">
        <v>2120</v>
      </c>
      <c r="BF78" s="184">
        <v>2020</v>
      </c>
      <c r="BG78" s="184">
        <v>2020</v>
      </c>
      <c r="BH78" s="184">
        <v>2020</v>
      </c>
      <c r="BI78" s="184">
        <v>2020</v>
      </c>
      <c r="BJ78" s="184">
        <v>2020</v>
      </c>
      <c r="BK78" s="184">
        <v>2020</v>
      </c>
      <c r="BL78" s="184"/>
      <c r="BM78" s="184"/>
      <c r="BN78" s="184"/>
      <c r="BO78" s="184"/>
      <c r="BP78" s="184"/>
      <c r="BQ78" s="184"/>
      <c r="BR78" s="184"/>
      <c r="BS78" s="184"/>
      <c r="BT78" s="184"/>
      <c r="BU78" s="146" cm="1">
        <f t="array" ref="BU78">LOOKUP(2,1/(Y78:BT78&lt;&gt;""),Y78:BH78)</f>
        <v>2020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46082</v>
      </c>
      <c r="BW78" s="211" cm="1">
        <f t="array" ref="BW78">(LOOKUP(2,1/(BH78:BT78&lt;&gt;""),BH78:BT78))/(INDEX(BH78:BT78,MATCH(TRUE,INDEX((BH78:BT78&lt;&gt;0),0),0)))-1</f>
        <v>0</v>
      </c>
      <c r="BX78" s="212">
        <f t="shared" si="38"/>
        <v>2.02</v>
      </c>
      <c r="BY78" s="212">
        <f t="shared" si="37"/>
        <v>11.918000000000001</v>
      </c>
      <c r="BZ78" s="212">
        <f ca="1">IF(L78="BR",'Impostos e Frete'!$F$6,IF(L78="EU",'Impostos e Frete'!$I$3,IF(L78="CN",'Impostos e Frete'!$I$4,IF(L78="JP",'Impostos e Frete'!$I$5,IF(L78="RU",'Impostos e Frete'!$I$7,"ERRO")))))</f>
        <v>0.14176320000000001</v>
      </c>
      <c r="CA78" s="212">
        <f>VLOOKUP(L78,'Impostos e Frete'!$A$3:$B$7,2,0)*'Preços e Condições'!BY78</f>
        <v>1.5493400000000002</v>
      </c>
      <c r="CB78" s="147">
        <f t="shared" si="39"/>
        <v>-0.17699999999999999</v>
      </c>
      <c r="CC78" s="147">
        <f>IF(X78="BRL",'Impostos e Frete'!$B$11,'Impostos e Frete'!$B$12)</f>
        <v>9.1999999999999998E-2</v>
      </c>
      <c r="CD78" s="213">
        <f t="shared" ca="1" si="40"/>
        <v>13.524103200000003</v>
      </c>
      <c r="CE78" s="214">
        <f t="shared" ca="1" si="41"/>
        <v>0.91963901760000011</v>
      </c>
      <c r="CF78" s="215">
        <f>VLOOKUP(L78,'Impostos e Frete'!$A$3:$C$7,3,0)</f>
        <v>105</v>
      </c>
      <c r="CG78" s="215">
        <f t="shared" si="42"/>
        <v>120</v>
      </c>
      <c r="CH78" s="215">
        <f t="shared" si="43"/>
        <v>15</v>
      </c>
      <c r="CI78" s="216">
        <f t="shared" ca="1" si="44"/>
        <v>-0.10030375677707326</v>
      </c>
      <c r="CJ78" s="217">
        <f t="shared" ca="1" si="45"/>
        <v>13.423799443222929</v>
      </c>
      <c r="CK78" s="218">
        <f t="shared" ca="1" si="46"/>
        <v>0.91281836213915912</v>
      </c>
    </row>
    <row r="79" spans="1:89">
      <c r="A79" s="176">
        <v>14137</v>
      </c>
      <c r="B79" s="177" t="s">
        <v>52</v>
      </c>
      <c r="C79" s="178">
        <v>68</v>
      </c>
      <c r="D79" s="178">
        <v>1270</v>
      </c>
      <c r="E79" s="178" t="s">
        <v>50</v>
      </c>
      <c r="F79" s="179" t="s">
        <v>2</v>
      </c>
      <c r="G79" s="189" t="s">
        <v>86</v>
      </c>
      <c r="H79" s="178" t="s">
        <v>42</v>
      </c>
      <c r="I79" s="178">
        <v>32102</v>
      </c>
      <c r="J79" s="178"/>
      <c r="K79" s="178"/>
      <c r="L79" s="178" t="s">
        <v>59</v>
      </c>
      <c r="M79" s="178">
        <v>120</v>
      </c>
      <c r="N79" s="178"/>
      <c r="O79" s="178"/>
      <c r="P79" s="178"/>
      <c r="Q79" s="178"/>
      <c r="R79" s="178" t="s">
        <v>126</v>
      </c>
      <c r="S79" s="181"/>
      <c r="T79" s="181"/>
      <c r="U79" s="182"/>
      <c r="V79" s="182" t="s">
        <v>35</v>
      </c>
      <c r="W79" s="183">
        <v>70</v>
      </c>
      <c r="X79" s="182" t="s">
        <v>51</v>
      </c>
      <c r="Y79" s="184">
        <v>2490</v>
      </c>
      <c r="Z79" s="184">
        <v>2490</v>
      </c>
      <c r="AA79" s="184">
        <v>2490</v>
      </c>
      <c r="AB79" s="184">
        <v>2400</v>
      </c>
      <c r="AC79" s="184">
        <v>2400</v>
      </c>
      <c r="AD79" s="184">
        <v>2400</v>
      </c>
      <c r="AE79" s="184">
        <v>2190</v>
      </c>
      <c r="AF79" s="184">
        <v>2190</v>
      </c>
      <c r="AG79" s="184">
        <v>2190</v>
      </c>
      <c r="AH79" s="184">
        <v>2080</v>
      </c>
      <c r="AI79" s="184">
        <v>2080</v>
      </c>
      <c r="AJ79" s="184">
        <v>2080</v>
      </c>
      <c r="AK79" s="184">
        <v>2080</v>
      </c>
      <c r="AL79" s="146">
        <f>40+(AL78+20)</f>
        <v>2150</v>
      </c>
      <c r="AM79" s="146">
        <f>40+(AM78+20)</f>
        <v>2150</v>
      </c>
      <c r="AN79" s="146">
        <f>40+(AN78+20)</f>
        <v>2150</v>
      </c>
      <c r="AO79" s="184">
        <v>2170</v>
      </c>
      <c r="AP79" s="184">
        <v>2170</v>
      </c>
      <c r="AQ79" s="184">
        <v>2170</v>
      </c>
      <c r="AR79" s="184">
        <v>2170</v>
      </c>
      <c r="AS79" s="184">
        <v>2170</v>
      </c>
      <c r="AT79" s="184">
        <v>2170</v>
      </c>
      <c r="AU79" s="184">
        <v>2100</v>
      </c>
      <c r="AV79" s="184">
        <v>2100</v>
      </c>
      <c r="AW79" s="146">
        <f>AW78+20</f>
        <v>2060</v>
      </c>
      <c r="AX79" s="146">
        <f>AX78+20</f>
        <v>2060</v>
      </c>
      <c r="AY79" s="146">
        <f>AY78+20</f>
        <v>2060</v>
      </c>
      <c r="AZ79" s="184">
        <v>2140</v>
      </c>
      <c r="BA79" s="184">
        <v>2140</v>
      </c>
      <c r="BB79" s="184">
        <v>2140</v>
      </c>
      <c r="BC79" s="184">
        <v>2140</v>
      </c>
      <c r="BD79" s="184">
        <v>2140</v>
      </c>
      <c r="BE79" s="184">
        <v>2140</v>
      </c>
      <c r="BF79" s="184">
        <v>2040</v>
      </c>
      <c r="BG79" s="184">
        <v>2040</v>
      </c>
      <c r="BH79" s="184">
        <v>2040</v>
      </c>
      <c r="BI79" s="184">
        <v>2040</v>
      </c>
      <c r="BJ79" s="184">
        <v>2040</v>
      </c>
      <c r="BK79" s="184">
        <v>2040</v>
      </c>
      <c r="BL79" s="184"/>
      <c r="BM79" s="184"/>
      <c r="BN79" s="184"/>
      <c r="BO79" s="184"/>
      <c r="BP79" s="184"/>
      <c r="BQ79" s="184"/>
      <c r="BR79" s="184"/>
      <c r="BS79" s="184"/>
      <c r="BT79" s="184"/>
      <c r="BU79" s="146" cm="1">
        <f t="array" ref="BU79">LOOKUP(2,1/(Y79:BT79&lt;&gt;""),Y79:BH79)</f>
        <v>2040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46082</v>
      </c>
      <c r="BW79" s="211" cm="1">
        <f t="array" ref="BW79">(LOOKUP(2,1/(BH79:BT79&lt;&gt;""),BH79:BT79))/(INDEX(BH79:BT79,MATCH(TRUE,INDEX((BH79:BT79&lt;&gt;0),0),0)))-1</f>
        <v>0</v>
      </c>
      <c r="BX79" s="212">
        <f t="shared" si="38"/>
        <v>2.04</v>
      </c>
      <c r="BY79" s="212">
        <f t="shared" si="37"/>
        <v>12.036000000000001</v>
      </c>
      <c r="BZ79" s="212">
        <f ca="1">IF(L79="BR",'Impostos e Frete'!$F$6,IF(L79="EU",'Impostos e Frete'!$I$3,IF(L79="CN",'Impostos e Frete'!$I$4,IF(L79="JP",'Impostos e Frete'!$I$5,IF(L79="RU",'Impostos e Frete'!$I$7,"ERRO")))))</f>
        <v>0.14176320000000001</v>
      </c>
      <c r="CA79" s="212">
        <f>VLOOKUP(L79,'Impostos e Frete'!$A$3:$B$7,2,0)*'Preços e Condições'!BY79</f>
        <v>1.5646800000000003</v>
      </c>
      <c r="CB79" s="147">
        <f t="shared" si="39"/>
        <v>-0.17699999999999999</v>
      </c>
      <c r="CC79" s="147">
        <f>IF(X79="BRL",'Impostos e Frete'!$B$11,'Impostos e Frete'!$B$12)</f>
        <v>9.1999999999999998E-2</v>
      </c>
      <c r="CD79" s="213">
        <f t="shared" ca="1" si="40"/>
        <v>13.657443200000003</v>
      </c>
      <c r="CE79" s="214">
        <f t="shared" ca="1" si="41"/>
        <v>0.9287061376000002</v>
      </c>
      <c r="CF79" s="215">
        <f>VLOOKUP(L79,'Impostos e Frete'!$A$3:$C$7,3,0)</f>
        <v>105</v>
      </c>
      <c r="CG79" s="215">
        <f t="shared" si="42"/>
        <v>120</v>
      </c>
      <c r="CH79" s="215">
        <f t="shared" si="43"/>
        <v>15</v>
      </c>
      <c r="CI79" s="216">
        <f t="shared" ca="1" si="44"/>
        <v>-0.10129269502538918</v>
      </c>
      <c r="CJ79" s="217">
        <f t="shared" ca="1" si="45"/>
        <v>13.556150504974614</v>
      </c>
      <c r="CK79" s="218">
        <f t="shared" ca="1" si="46"/>
        <v>0.9218182343382737</v>
      </c>
    </row>
    <row r="80" spans="1:89">
      <c r="A80" s="176">
        <v>14137</v>
      </c>
      <c r="B80" s="177" t="s">
        <v>52</v>
      </c>
      <c r="C80" s="178">
        <v>68</v>
      </c>
      <c r="D80" s="178">
        <v>1270</v>
      </c>
      <c r="E80" s="178" t="s">
        <v>50</v>
      </c>
      <c r="F80" s="179" t="s">
        <v>2</v>
      </c>
      <c r="G80" s="189" t="s">
        <v>86</v>
      </c>
      <c r="H80" s="178" t="s">
        <v>42</v>
      </c>
      <c r="I80" s="178">
        <v>32102</v>
      </c>
      <c r="J80" s="178"/>
      <c r="K80" s="178"/>
      <c r="L80" s="178" t="s">
        <v>59</v>
      </c>
      <c r="M80" s="178">
        <v>120</v>
      </c>
      <c r="N80" s="178"/>
      <c r="O80" s="178"/>
      <c r="P80" s="178"/>
      <c r="Q80" s="178"/>
      <c r="R80" s="178" t="s">
        <v>126</v>
      </c>
      <c r="S80" s="181"/>
      <c r="T80" s="181"/>
      <c r="U80" s="182"/>
      <c r="V80" s="182" t="s">
        <v>35</v>
      </c>
      <c r="W80" s="183">
        <v>50</v>
      </c>
      <c r="X80" s="182" t="s">
        <v>51</v>
      </c>
      <c r="Y80" s="184">
        <v>2520</v>
      </c>
      <c r="Z80" s="184">
        <v>2520</v>
      </c>
      <c r="AA80" s="184">
        <v>2520</v>
      </c>
      <c r="AB80" s="184">
        <v>2430</v>
      </c>
      <c r="AC80" s="184">
        <v>2430</v>
      </c>
      <c r="AD80" s="184">
        <v>2430</v>
      </c>
      <c r="AE80" s="184">
        <v>2220</v>
      </c>
      <c r="AF80" s="184">
        <v>2220</v>
      </c>
      <c r="AG80" s="184">
        <v>2220</v>
      </c>
      <c r="AH80" s="184">
        <v>2110</v>
      </c>
      <c r="AI80" s="184">
        <v>2110</v>
      </c>
      <c r="AJ80" s="184">
        <v>2110</v>
      </c>
      <c r="AK80" s="184">
        <v>2110</v>
      </c>
      <c r="AL80" s="146">
        <f>40+(AL78+50)</f>
        <v>2180</v>
      </c>
      <c r="AM80" s="146">
        <f>40+(AM78+50)</f>
        <v>2180</v>
      </c>
      <c r="AN80" s="146">
        <f>40+(AN78+50)</f>
        <v>2180</v>
      </c>
      <c r="AO80" s="184">
        <v>2200</v>
      </c>
      <c r="AP80" s="184">
        <v>2200</v>
      </c>
      <c r="AQ80" s="184">
        <v>2200</v>
      </c>
      <c r="AR80" s="184">
        <v>2200</v>
      </c>
      <c r="AS80" s="184">
        <v>2200</v>
      </c>
      <c r="AT80" s="184">
        <v>2200</v>
      </c>
      <c r="AU80" s="184">
        <v>2130</v>
      </c>
      <c r="AV80" s="184">
        <v>2130</v>
      </c>
      <c r="AW80" s="146">
        <f>AW78+50</f>
        <v>2090</v>
      </c>
      <c r="AX80" s="146">
        <f>AX78+50</f>
        <v>2090</v>
      </c>
      <c r="AY80" s="146">
        <f>AY78+50</f>
        <v>2090</v>
      </c>
      <c r="AZ80" s="184">
        <v>2170</v>
      </c>
      <c r="BA80" s="184">
        <v>2170</v>
      </c>
      <c r="BB80" s="184">
        <v>2170</v>
      </c>
      <c r="BC80" s="184">
        <v>2170</v>
      </c>
      <c r="BD80" s="184">
        <v>2170</v>
      </c>
      <c r="BE80" s="184">
        <v>2170</v>
      </c>
      <c r="BF80" s="184">
        <v>2070</v>
      </c>
      <c r="BG80" s="184">
        <v>2070</v>
      </c>
      <c r="BH80" s="184">
        <v>2070</v>
      </c>
      <c r="BI80" s="184">
        <v>2070</v>
      </c>
      <c r="BJ80" s="184">
        <v>2070</v>
      </c>
      <c r="BK80" s="184">
        <v>2070</v>
      </c>
      <c r="BL80" s="184"/>
      <c r="BM80" s="184"/>
      <c r="BN80" s="184"/>
      <c r="BO80" s="184"/>
      <c r="BP80" s="184"/>
      <c r="BQ80" s="184"/>
      <c r="BR80" s="184"/>
      <c r="BS80" s="184"/>
      <c r="BT80" s="184"/>
      <c r="BU80" s="146" cm="1">
        <f t="array" ref="BU80">LOOKUP(2,1/(Y80:BT80&lt;&gt;""),Y80:BH80)</f>
        <v>2070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46082</v>
      </c>
      <c r="BW80" s="211" cm="1">
        <f t="array" ref="BW80">(LOOKUP(2,1/(BH80:BT80&lt;&gt;""),BH80:BT80))/(INDEX(BH80:BT80,MATCH(TRUE,INDEX((BH80:BT80&lt;&gt;0),0),0)))-1</f>
        <v>0</v>
      </c>
      <c r="BX80" s="212">
        <f t="shared" si="38"/>
        <v>2.0699999999999998</v>
      </c>
      <c r="BY80" s="212">
        <f t="shared" si="37"/>
        <v>12.212999999999999</v>
      </c>
      <c r="BZ80" s="212">
        <f ca="1">IF(L80="BR",'Impostos e Frete'!$F$6,IF(L80="EU",'Impostos e Frete'!$I$3,IF(L80="CN",'Impostos e Frete'!$I$4,IF(L80="JP",'Impostos e Frete'!$I$5,IF(L80="RU",'Impostos e Frete'!$I$7,"ERRO")))))</f>
        <v>0.14176320000000001</v>
      </c>
      <c r="CA80" s="212">
        <f>VLOOKUP(L80,'Impostos e Frete'!$A$3:$B$7,2,0)*'Preços e Condições'!BY80</f>
        <v>1.58769</v>
      </c>
      <c r="CB80" s="147">
        <f t="shared" si="39"/>
        <v>-0.17699999999999999</v>
      </c>
      <c r="CC80" s="147">
        <f>IF(X80="BRL",'Impostos e Frete'!$B$11,'Impostos e Frete'!$B$12)</f>
        <v>9.1999999999999998E-2</v>
      </c>
      <c r="CD80" s="213">
        <f t="shared" ca="1" si="40"/>
        <v>13.8574532</v>
      </c>
      <c r="CE80" s="214">
        <f t="shared" ca="1" si="41"/>
        <v>0.94230681760000001</v>
      </c>
      <c r="CF80" s="215">
        <f>VLOOKUP(L80,'Impostos e Frete'!$A$3:$C$7,3,0)</f>
        <v>105</v>
      </c>
      <c r="CG80" s="215">
        <f t="shared" si="42"/>
        <v>120</v>
      </c>
      <c r="CH80" s="215">
        <f t="shared" si="43"/>
        <v>15</v>
      </c>
      <c r="CI80" s="216">
        <f t="shared" ca="1" si="44"/>
        <v>-0.10277610239786483</v>
      </c>
      <c r="CJ80" s="217">
        <f t="shared" ca="1" si="45"/>
        <v>13.754677097602135</v>
      </c>
      <c r="CK80" s="218">
        <f t="shared" ca="1" si="46"/>
        <v>0.93531804263694518</v>
      </c>
    </row>
    <row r="81" spans="1:89">
      <c r="A81" s="176">
        <v>14137</v>
      </c>
      <c r="B81" s="177" t="s">
        <v>52</v>
      </c>
      <c r="C81" s="178">
        <v>68</v>
      </c>
      <c r="D81" s="178">
        <v>1270</v>
      </c>
      <c r="E81" s="178" t="s">
        <v>50</v>
      </c>
      <c r="F81" s="179" t="s">
        <v>2</v>
      </c>
      <c r="G81" s="189" t="s">
        <v>86</v>
      </c>
      <c r="H81" s="178" t="s">
        <v>42</v>
      </c>
      <c r="I81" s="178">
        <v>32102</v>
      </c>
      <c r="J81" s="178"/>
      <c r="K81" s="178"/>
      <c r="L81" s="178" t="s">
        <v>59</v>
      </c>
      <c r="M81" s="178">
        <v>120</v>
      </c>
      <c r="N81" s="178"/>
      <c r="O81" s="178"/>
      <c r="P81" s="178"/>
      <c r="Q81" s="178"/>
      <c r="R81" s="178" t="s">
        <v>126</v>
      </c>
      <c r="S81" s="181"/>
      <c r="T81" s="181"/>
      <c r="U81" s="182"/>
      <c r="V81" s="182" t="s">
        <v>35</v>
      </c>
      <c r="W81" s="183">
        <v>30</v>
      </c>
      <c r="X81" s="182" t="s">
        <v>51</v>
      </c>
      <c r="Y81" s="184">
        <v>2570</v>
      </c>
      <c r="Z81" s="184">
        <v>2570</v>
      </c>
      <c r="AA81" s="184">
        <v>2570</v>
      </c>
      <c r="AB81" s="184">
        <v>2480</v>
      </c>
      <c r="AC81" s="184">
        <v>2480</v>
      </c>
      <c r="AD81" s="184">
        <v>2480</v>
      </c>
      <c r="AE81" s="184">
        <v>2270</v>
      </c>
      <c r="AF81" s="184">
        <v>2270</v>
      </c>
      <c r="AG81" s="184">
        <v>2270</v>
      </c>
      <c r="AH81" s="184">
        <v>2160</v>
      </c>
      <c r="AI81" s="184">
        <v>2160</v>
      </c>
      <c r="AJ81" s="184">
        <v>2160</v>
      </c>
      <c r="AK81" s="184">
        <v>2160</v>
      </c>
      <c r="AL81" s="146">
        <f>40+(AL78+100)</f>
        <v>2230</v>
      </c>
      <c r="AM81" s="146">
        <f>40+(AM78+100)</f>
        <v>2230</v>
      </c>
      <c r="AN81" s="146">
        <f>40+(AN78+100)</f>
        <v>2230</v>
      </c>
      <c r="AO81" s="184">
        <v>2250</v>
      </c>
      <c r="AP81" s="184">
        <v>2250</v>
      </c>
      <c r="AQ81" s="184">
        <v>2250</v>
      </c>
      <c r="AR81" s="184">
        <v>2250</v>
      </c>
      <c r="AS81" s="184">
        <v>2250</v>
      </c>
      <c r="AT81" s="184">
        <v>2250</v>
      </c>
      <c r="AU81" s="184">
        <v>2180</v>
      </c>
      <c r="AV81" s="184">
        <v>2180</v>
      </c>
      <c r="AW81" s="146">
        <f>AW78+100</f>
        <v>2140</v>
      </c>
      <c r="AX81" s="146">
        <f>AX78+100</f>
        <v>2140</v>
      </c>
      <c r="AY81" s="146">
        <f>AY78+100</f>
        <v>2140</v>
      </c>
      <c r="AZ81" s="184">
        <v>2220</v>
      </c>
      <c r="BA81" s="184">
        <v>2220</v>
      </c>
      <c r="BB81" s="184">
        <v>2220</v>
      </c>
      <c r="BC81" s="184">
        <v>2220</v>
      </c>
      <c r="BD81" s="184">
        <v>2220</v>
      </c>
      <c r="BE81" s="184">
        <v>2220</v>
      </c>
      <c r="BF81" s="184">
        <v>2120</v>
      </c>
      <c r="BG81" s="184">
        <v>2120</v>
      </c>
      <c r="BH81" s="184">
        <v>2120</v>
      </c>
      <c r="BI81" s="184">
        <v>2120</v>
      </c>
      <c r="BJ81" s="184">
        <v>2120</v>
      </c>
      <c r="BK81" s="184">
        <v>2120</v>
      </c>
      <c r="BL81" s="184"/>
      <c r="BM81" s="184"/>
      <c r="BN81" s="184"/>
      <c r="BO81" s="184"/>
      <c r="BP81" s="184"/>
      <c r="BQ81" s="184"/>
      <c r="BR81" s="184"/>
      <c r="BS81" s="184"/>
      <c r="BT81" s="184"/>
      <c r="BU81" s="146" cm="1">
        <f t="array" ref="BU81">LOOKUP(2,1/(Y81:BT81&lt;&gt;""),Y81:BH81)</f>
        <v>2120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46082</v>
      </c>
      <c r="BW81" s="211" cm="1">
        <f t="array" ref="BW81">(LOOKUP(2,1/(BH81:BT81&lt;&gt;""),BH81:BT81))/(INDEX(BH81:BT81,MATCH(TRUE,INDEX((BH81:BT81&lt;&gt;0),0),0)))-1</f>
        <v>0</v>
      </c>
      <c r="BX81" s="212">
        <f t="shared" si="38"/>
        <v>2.12</v>
      </c>
      <c r="BY81" s="212">
        <f t="shared" si="37"/>
        <v>12.508000000000001</v>
      </c>
      <c r="BZ81" s="212">
        <f ca="1">IF(L81="BR",'Impostos e Frete'!$F$6,IF(L81="EU",'Impostos e Frete'!$I$3,IF(L81="CN",'Impostos e Frete'!$I$4,IF(L81="JP",'Impostos e Frete'!$I$5,IF(L81="RU",'Impostos e Frete'!$I$7,"ERRO")))))</f>
        <v>0.14176320000000001</v>
      </c>
      <c r="CA81" s="212">
        <f>VLOOKUP(L81,'Impostos e Frete'!$A$3:$B$7,2,0)*'Preços e Condições'!BY81</f>
        <v>1.6260400000000002</v>
      </c>
      <c r="CB81" s="147">
        <f t="shared" si="39"/>
        <v>-0.17699999999999999</v>
      </c>
      <c r="CC81" s="147">
        <f>IF(X81="BRL",'Impostos e Frete'!$B$11,'Impostos e Frete'!$B$12)</f>
        <v>9.1999999999999998E-2</v>
      </c>
      <c r="CD81" s="213">
        <f t="shared" ca="1" si="40"/>
        <v>14.190803200000001</v>
      </c>
      <c r="CE81" s="214">
        <f t="shared" ca="1" si="41"/>
        <v>0.96497461760000003</v>
      </c>
      <c r="CF81" s="215">
        <f>VLOOKUP(L81,'Impostos e Frete'!$A$3:$C$7,3,0)</f>
        <v>105</v>
      </c>
      <c r="CG81" s="215">
        <f t="shared" si="42"/>
        <v>120</v>
      </c>
      <c r="CH81" s="215">
        <f t="shared" si="43"/>
        <v>15</v>
      </c>
      <c r="CI81" s="216">
        <f t="shared" ca="1" si="44"/>
        <v>-0.10524844801865463</v>
      </c>
      <c r="CJ81" s="217">
        <f t="shared" ca="1" si="45"/>
        <v>14.085554751981347</v>
      </c>
      <c r="CK81" s="218">
        <f t="shared" ca="1" si="46"/>
        <v>0.95781772313473157</v>
      </c>
    </row>
    <row r="82" spans="1:89">
      <c r="A82" s="176">
        <v>14113</v>
      </c>
      <c r="B82" s="177" t="s">
        <v>479</v>
      </c>
      <c r="C82" s="178">
        <v>72</v>
      </c>
      <c r="D82" s="178">
        <v>1870</v>
      </c>
      <c r="E82" s="178" t="s">
        <v>50</v>
      </c>
      <c r="F82" s="179" t="s">
        <v>2</v>
      </c>
      <c r="G82" s="189" t="s">
        <v>228</v>
      </c>
      <c r="H82" s="178" t="s">
        <v>43</v>
      </c>
      <c r="I82" s="178">
        <v>32126</v>
      </c>
      <c r="J82" s="178"/>
      <c r="K82" s="178"/>
      <c r="L82" s="178" t="s">
        <v>59</v>
      </c>
      <c r="M82" s="178">
        <v>120</v>
      </c>
      <c r="N82" s="178"/>
      <c r="O82" s="178"/>
      <c r="P82" s="178"/>
      <c r="Q82" s="178"/>
      <c r="R82" s="178" t="s">
        <v>126</v>
      </c>
      <c r="S82" s="181"/>
      <c r="T82" s="181"/>
      <c r="U82" s="182"/>
      <c r="V82" s="182" t="s">
        <v>35</v>
      </c>
      <c r="W82" s="183">
        <v>100</v>
      </c>
      <c r="X82" s="182" t="s">
        <v>51</v>
      </c>
      <c r="Y82" s="184">
        <v>2260</v>
      </c>
      <c r="Z82" s="184">
        <v>2260</v>
      </c>
      <c r="AA82" s="184">
        <v>2260</v>
      </c>
      <c r="AB82" s="184">
        <v>2140</v>
      </c>
      <c r="AC82" s="184">
        <v>2140</v>
      </c>
      <c r="AD82" s="184">
        <v>2140</v>
      </c>
      <c r="AE82" s="184">
        <v>1920</v>
      </c>
      <c r="AF82" s="184">
        <v>1920</v>
      </c>
      <c r="AG82" s="184">
        <v>1920</v>
      </c>
      <c r="AH82" s="184">
        <v>1800</v>
      </c>
      <c r="AI82" s="184">
        <v>1800</v>
      </c>
      <c r="AJ82" s="184">
        <v>1800</v>
      </c>
      <c r="AK82" s="184">
        <v>1800</v>
      </c>
      <c r="AL82" s="184">
        <v>1850</v>
      </c>
      <c r="AM82" s="184">
        <v>1850</v>
      </c>
      <c r="AN82" s="184">
        <v>1850</v>
      </c>
      <c r="AO82" s="184">
        <v>1970</v>
      </c>
      <c r="AP82" s="184">
        <v>1970</v>
      </c>
      <c r="AQ82" s="184">
        <v>1970</v>
      </c>
      <c r="AR82" s="184">
        <v>1970</v>
      </c>
      <c r="AS82" s="184">
        <v>1970</v>
      </c>
      <c r="AT82" s="184">
        <v>1970</v>
      </c>
      <c r="AU82" s="184">
        <v>1910</v>
      </c>
      <c r="AV82" s="184">
        <v>1910</v>
      </c>
      <c r="AW82" s="184">
        <v>1850</v>
      </c>
      <c r="AX82" s="184">
        <v>1850</v>
      </c>
      <c r="AY82" s="184">
        <v>1850</v>
      </c>
      <c r="AZ82" s="184">
        <v>1930</v>
      </c>
      <c r="BA82" s="184">
        <v>1930</v>
      </c>
      <c r="BB82" s="184">
        <v>1930</v>
      </c>
      <c r="BC82" s="184">
        <v>1930</v>
      </c>
      <c r="BD82" s="184">
        <v>1930</v>
      </c>
      <c r="BE82" s="184">
        <v>1930</v>
      </c>
      <c r="BF82" s="184">
        <v>1830</v>
      </c>
      <c r="BG82" s="184">
        <v>1830</v>
      </c>
      <c r="BH82" s="184">
        <v>1830</v>
      </c>
      <c r="BI82" s="184">
        <v>1830</v>
      </c>
      <c r="BJ82" s="184">
        <v>1830</v>
      </c>
      <c r="BK82" s="184">
        <v>1830</v>
      </c>
      <c r="BL82" s="184">
        <v>1920</v>
      </c>
      <c r="BM82" s="184">
        <v>1920</v>
      </c>
      <c r="BN82" s="184">
        <v>1920</v>
      </c>
      <c r="BO82" s="184">
        <v>2000</v>
      </c>
      <c r="BP82" s="184">
        <v>2000</v>
      </c>
      <c r="BQ82" s="184">
        <v>2000</v>
      </c>
      <c r="BR82" s="184"/>
      <c r="BS82" s="184"/>
      <c r="BT82" s="184"/>
      <c r="BU82" s="146" cm="1">
        <f t="array" ref="BU82">LOOKUP(2,1/(Y82:BT82&lt;&gt;""),Y82:BH82)</f>
        <v>2000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46199</v>
      </c>
      <c r="BW82" s="211" cm="1">
        <f t="array" ref="BW82">(LOOKUP(2,1/(BH82:BT82&lt;&gt;""),BH82:BT82))/(INDEX(BH82:BT82,MATCH(TRUE,INDEX((BH82:BT82&lt;&gt;0),0),0)))-1</f>
        <v>9.2896174863388081E-2</v>
      </c>
      <c r="BX82" s="212">
        <f t="shared" si="38"/>
        <v>2</v>
      </c>
      <c r="BY82" s="212">
        <f t="shared" si="37"/>
        <v>11.8</v>
      </c>
      <c r="BZ82" s="212">
        <f ca="1">IF(L82="BR",'Impostos e Frete'!$F$6,IF(L82="EU",'Impostos e Frete'!$I$3,IF(L82="CN",'Impostos e Frete'!$I$4,IF(L82="JP",'Impostos e Frete'!$I$5,IF(L82="RU",'Impostos e Frete'!$I$7,"ERRO")))))</f>
        <v>0.14176320000000001</v>
      </c>
      <c r="CA82" s="212">
        <f>VLOOKUP(L82,'Impostos e Frete'!$A$3:$B$7,2,0)*'Preços e Condições'!BY82</f>
        <v>1.5340000000000003</v>
      </c>
      <c r="CB82" s="147">
        <f t="shared" si="39"/>
        <v>-0.17699999999999999</v>
      </c>
      <c r="CC82" s="147">
        <f>IF(X82="BRL",'Impostos e Frete'!$B$11,'Impostos e Frete'!$B$12)</f>
        <v>9.1999999999999998E-2</v>
      </c>
      <c r="CD82" s="213">
        <f t="shared" ca="1" si="40"/>
        <v>13.390763200000002</v>
      </c>
      <c r="CE82" s="214">
        <f t="shared" ca="1" si="41"/>
        <v>0.96413495040000019</v>
      </c>
      <c r="CF82" s="215">
        <f>VLOOKUP(L82,'Impostos e Frete'!$A$3:$C$7,3,0)</f>
        <v>105</v>
      </c>
      <c r="CG82" s="215">
        <f t="shared" si="42"/>
        <v>120</v>
      </c>
      <c r="CH82" s="215">
        <f t="shared" si="43"/>
        <v>15</v>
      </c>
      <c r="CI82" s="216">
        <f t="shared" ca="1" si="44"/>
        <v>-9.9314818528757343E-2</v>
      </c>
      <c r="CJ82" s="217">
        <f t="shared" ca="1" si="45"/>
        <v>13.291448381471245</v>
      </c>
      <c r="CK82" s="218">
        <f t="shared" ca="1" si="46"/>
        <v>0.95698428346592956</v>
      </c>
    </row>
    <row r="83" spans="1:89">
      <c r="A83" s="176">
        <v>14113</v>
      </c>
      <c r="B83" s="177" t="s">
        <v>479</v>
      </c>
      <c r="C83" s="178">
        <v>72</v>
      </c>
      <c r="D83" s="178">
        <v>1870</v>
      </c>
      <c r="E83" s="178" t="s">
        <v>50</v>
      </c>
      <c r="F83" s="179" t="s">
        <v>2</v>
      </c>
      <c r="G83" s="189" t="s">
        <v>228</v>
      </c>
      <c r="H83" s="178" t="s">
        <v>43</v>
      </c>
      <c r="I83" s="178">
        <v>32126</v>
      </c>
      <c r="J83" s="178"/>
      <c r="K83" s="178"/>
      <c r="L83" s="178" t="s">
        <v>59</v>
      </c>
      <c r="M83" s="178">
        <v>120</v>
      </c>
      <c r="N83" s="178"/>
      <c r="O83" s="178"/>
      <c r="P83" s="178"/>
      <c r="Q83" s="178"/>
      <c r="R83" s="178" t="s">
        <v>126</v>
      </c>
      <c r="S83" s="181"/>
      <c r="T83" s="181"/>
      <c r="U83" s="182"/>
      <c r="V83" s="182" t="s">
        <v>35</v>
      </c>
      <c r="W83" s="183">
        <v>70</v>
      </c>
      <c r="X83" s="182" t="s">
        <v>51</v>
      </c>
      <c r="Y83" s="184">
        <v>2280</v>
      </c>
      <c r="Z83" s="184">
        <v>2280</v>
      </c>
      <c r="AA83" s="184">
        <v>2280</v>
      </c>
      <c r="AB83" s="184">
        <v>2160</v>
      </c>
      <c r="AC83" s="184">
        <v>2160</v>
      </c>
      <c r="AD83" s="184">
        <v>2160</v>
      </c>
      <c r="AE83" s="184">
        <v>1940</v>
      </c>
      <c r="AF83" s="184">
        <v>1940</v>
      </c>
      <c r="AG83" s="184">
        <v>1940</v>
      </c>
      <c r="AH83" s="184">
        <v>1820</v>
      </c>
      <c r="AI83" s="184">
        <v>1820</v>
      </c>
      <c r="AJ83" s="184">
        <v>1820</v>
      </c>
      <c r="AK83" s="184">
        <v>1820</v>
      </c>
      <c r="AL83" s="146">
        <f>40+(AL82+20)</f>
        <v>1910</v>
      </c>
      <c r="AM83" s="146">
        <f>40+(AM82+20)</f>
        <v>1910</v>
      </c>
      <c r="AN83" s="146">
        <f>40+(AN82+20)</f>
        <v>1910</v>
      </c>
      <c r="AO83" s="184">
        <v>1990</v>
      </c>
      <c r="AP83" s="184">
        <v>1990</v>
      </c>
      <c r="AQ83" s="184">
        <v>1990</v>
      </c>
      <c r="AR83" s="184">
        <v>1990</v>
      </c>
      <c r="AS83" s="184">
        <v>1990</v>
      </c>
      <c r="AT83" s="184">
        <v>1990</v>
      </c>
      <c r="AU83" s="184">
        <v>1930</v>
      </c>
      <c r="AV83" s="184">
        <v>1930</v>
      </c>
      <c r="AW83" s="146">
        <f>AW82+20</f>
        <v>1870</v>
      </c>
      <c r="AX83" s="146">
        <f>AX82+20</f>
        <v>1870</v>
      </c>
      <c r="AY83" s="146">
        <f>AY82+20</f>
        <v>1870</v>
      </c>
      <c r="AZ83" s="184">
        <v>1950</v>
      </c>
      <c r="BA83" s="184">
        <v>1950</v>
      </c>
      <c r="BB83" s="184">
        <v>1950</v>
      </c>
      <c r="BC83" s="184">
        <v>1950</v>
      </c>
      <c r="BD83" s="184">
        <v>1950</v>
      </c>
      <c r="BE83" s="184">
        <v>1950</v>
      </c>
      <c r="BF83" s="184">
        <v>1850</v>
      </c>
      <c r="BG83" s="184">
        <v>1850</v>
      </c>
      <c r="BH83" s="184">
        <v>1850</v>
      </c>
      <c r="BI83" s="184">
        <v>1850</v>
      </c>
      <c r="BJ83" s="184">
        <v>1850</v>
      </c>
      <c r="BK83" s="184">
        <v>1850</v>
      </c>
      <c r="BL83" s="184">
        <v>1940</v>
      </c>
      <c r="BM83" s="184">
        <v>1940</v>
      </c>
      <c r="BN83" s="184">
        <v>1940</v>
      </c>
      <c r="BO83" s="184">
        <v>2020</v>
      </c>
      <c r="BP83" s="184">
        <v>2020</v>
      </c>
      <c r="BQ83" s="184">
        <v>2020</v>
      </c>
      <c r="BR83" s="184"/>
      <c r="BS83" s="184"/>
      <c r="BT83" s="184"/>
      <c r="BU83" s="146" cm="1">
        <f t="array" ref="BU83">LOOKUP(2,1/(Y83:BT83&lt;&gt;""),Y83:BH83)</f>
        <v>2020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46199</v>
      </c>
      <c r="BW83" s="211" cm="1">
        <f t="array" ref="BW83">(LOOKUP(2,1/(BH83:BT83&lt;&gt;""),BH83:BT83))/(INDEX(BH83:BT83,MATCH(TRUE,INDEX((BH83:BT83&lt;&gt;0),0),0)))-1</f>
        <v>9.1891891891891841E-2</v>
      </c>
      <c r="BX83" s="212">
        <f t="shared" si="38"/>
        <v>2.02</v>
      </c>
      <c r="BY83" s="212">
        <f t="shared" si="37"/>
        <v>11.918000000000001</v>
      </c>
      <c r="BZ83" s="212">
        <f ca="1">IF(L83="BR",'Impostos e Frete'!$F$6,IF(L83="EU",'Impostos e Frete'!$I$3,IF(L83="CN",'Impostos e Frete'!$I$4,IF(L83="JP",'Impostos e Frete'!$I$5,IF(L83="RU",'Impostos e Frete'!$I$7,"ERRO")))))</f>
        <v>0.14176320000000001</v>
      </c>
      <c r="CA83" s="212">
        <f>VLOOKUP(L83,'Impostos e Frete'!$A$3:$B$7,2,0)*'Preços e Condições'!BY83</f>
        <v>1.5493400000000002</v>
      </c>
      <c r="CB83" s="147">
        <f t="shared" si="39"/>
        <v>-0.17699999999999999</v>
      </c>
      <c r="CC83" s="147">
        <f>IF(X83="BRL",'Impostos e Frete'!$B$11,'Impostos e Frete'!$B$12)</f>
        <v>9.1999999999999998E-2</v>
      </c>
      <c r="CD83" s="213">
        <f t="shared" ca="1" si="40"/>
        <v>13.524103200000003</v>
      </c>
      <c r="CE83" s="214">
        <f t="shared" ca="1" si="41"/>
        <v>0.9737354304000001</v>
      </c>
      <c r="CF83" s="215">
        <f>VLOOKUP(L83,'Impostos e Frete'!$A$3:$C$7,3,0)</f>
        <v>105</v>
      </c>
      <c r="CG83" s="215">
        <f t="shared" si="42"/>
        <v>120</v>
      </c>
      <c r="CH83" s="215">
        <f t="shared" si="43"/>
        <v>15</v>
      </c>
      <c r="CI83" s="216">
        <f t="shared" ca="1" si="44"/>
        <v>-0.10030375677707326</v>
      </c>
      <c r="CJ83" s="217">
        <f t="shared" ca="1" si="45"/>
        <v>13.423799443222929</v>
      </c>
      <c r="CK83" s="218">
        <f t="shared" ca="1" si="46"/>
        <v>0.9665135599120509</v>
      </c>
    </row>
    <row r="84" spans="1:89">
      <c r="A84" s="176">
        <v>14113</v>
      </c>
      <c r="B84" s="177" t="s">
        <v>479</v>
      </c>
      <c r="C84" s="178">
        <v>72</v>
      </c>
      <c r="D84" s="178">
        <v>1870</v>
      </c>
      <c r="E84" s="178" t="s">
        <v>50</v>
      </c>
      <c r="F84" s="179" t="s">
        <v>2</v>
      </c>
      <c r="G84" s="189" t="s">
        <v>228</v>
      </c>
      <c r="H84" s="178" t="s">
        <v>43</v>
      </c>
      <c r="I84" s="178">
        <v>32126</v>
      </c>
      <c r="J84" s="178"/>
      <c r="K84" s="178"/>
      <c r="L84" s="178" t="s">
        <v>59</v>
      </c>
      <c r="M84" s="178">
        <v>120</v>
      </c>
      <c r="N84" s="178"/>
      <c r="O84" s="178"/>
      <c r="P84" s="178"/>
      <c r="Q84" s="178"/>
      <c r="R84" s="178" t="s">
        <v>126</v>
      </c>
      <c r="S84" s="181"/>
      <c r="T84" s="181"/>
      <c r="U84" s="182"/>
      <c r="V84" s="182" t="s">
        <v>35</v>
      </c>
      <c r="W84" s="183">
        <v>50</v>
      </c>
      <c r="X84" s="182" t="s">
        <v>51</v>
      </c>
      <c r="Y84" s="184">
        <v>2310</v>
      </c>
      <c r="Z84" s="184">
        <v>2310</v>
      </c>
      <c r="AA84" s="184">
        <v>2310</v>
      </c>
      <c r="AB84" s="184">
        <v>2190</v>
      </c>
      <c r="AC84" s="184">
        <v>2190</v>
      </c>
      <c r="AD84" s="184">
        <v>2190</v>
      </c>
      <c r="AE84" s="184">
        <v>1970</v>
      </c>
      <c r="AF84" s="184">
        <v>1970</v>
      </c>
      <c r="AG84" s="184">
        <v>1970</v>
      </c>
      <c r="AH84" s="184">
        <v>1850</v>
      </c>
      <c r="AI84" s="184">
        <v>1850</v>
      </c>
      <c r="AJ84" s="184">
        <v>1850</v>
      </c>
      <c r="AK84" s="184">
        <v>1850</v>
      </c>
      <c r="AL84" s="146">
        <f>40+(AL82+50)</f>
        <v>1940</v>
      </c>
      <c r="AM84" s="146">
        <f>40+(AM82+50)</f>
        <v>1940</v>
      </c>
      <c r="AN84" s="146">
        <f>40+(AN82+50)</f>
        <v>1940</v>
      </c>
      <c r="AO84" s="184">
        <v>2020</v>
      </c>
      <c r="AP84" s="184">
        <v>2020</v>
      </c>
      <c r="AQ84" s="184">
        <v>2020</v>
      </c>
      <c r="AR84" s="184">
        <v>2020</v>
      </c>
      <c r="AS84" s="184">
        <v>2020</v>
      </c>
      <c r="AT84" s="184">
        <v>2020</v>
      </c>
      <c r="AU84" s="184">
        <v>1960</v>
      </c>
      <c r="AV84" s="184">
        <v>1960</v>
      </c>
      <c r="AW84" s="146">
        <f>AW82+50</f>
        <v>1900</v>
      </c>
      <c r="AX84" s="146">
        <f>AX82+50</f>
        <v>1900</v>
      </c>
      <c r="AY84" s="146">
        <f>AY82+50</f>
        <v>1900</v>
      </c>
      <c r="AZ84" s="184">
        <v>1980</v>
      </c>
      <c r="BA84" s="184">
        <v>1980</v>
      </c>
      <c r="BB84" s="184">
        <v>1980</v>
      </c>
      <c r="BC84" s="184">
        <v>1980</v>
      </c>
      <c r="BD84" s="184">
        <v>1980</v>
      </c>
      <c r="BE84" s="184">
        <v>1980</v>
      </c>
      <c r="BF84" s="184">
        <v>1880</v>
      </c>
      <c r="BG84" s="184">
        <v>1880</v>
      </c>
      <c r="BH84" s="184">
        <v>1880</v>
      </c>
      <c r="BI84" s="184">
        <v>1880</v>
      </c>
      <c r="BJ84" s="184">
        <v>1880</v>
      </c>
      <c r="BK84" s="184">
        <v>1880</v>
      </c>
      <c r="BL84" s="184">
        <v>1970</v>
      </c>
      <c r="BM84" s="184">
        <v>1970</v>
      </c>
      <c r="BN84" s="184">
        <v>1970</v>
      </c>
      <c r="BO84" s="184">
        <v>2050</v>
      </c>
      <c r="BP84" s="184">
        <v>2050</v>
      </c>
      <c r="BQ84" s="184">
        <v>2050</v>
      </c>
      <c r="BR84" s="184"/>
      <c r="BS84" s="184"/>
      <c r="BT84" s="184"/>
      <c r="BU84" s="146" cm="1">
        <f t="array" ref="BU84">LOOKUP(2,1/(Y84:BT84&lt;&gt;""),Y84:BH84)</f>
        <v>2050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46199</v>
      </c>
      <c r="BW84" s="211" cm="1">
        <f t="array" ref="BW84">(LOOKUP(2,1/(BH84:BT84&lt;&gt;""),BH84:BT84))/(INDEX(BH84:BT84,MATCH(TRUE,INDEX((BH84:BT84&lt;&gt;0),0),0)))-1</f>
        <v>9.0425531914893664E-2</v>
      </c>
      <c r="BX84" s="212">
        <f t="shared" si="38"/>
        <v>2.0499999999999998</v>
      </c>
      <c r="BY84" s="212">
        <f t="shared" si="37"/>
        <v>12.094999999999999</v>
      </c>
      <c r="BZ84" s="212">
        <f ca="1">IF(L84="BR",'Impostos e Frete'!$F$6,IF(L84="EU",'Impostos e Frete'!$I$3,IF(L84="CN",'Impostos e Frete'!$I$4,IF(L84="JP",'Impostos e Frete'!$I$5,IF(L84="RU",'Impostos e Frete'!$I$7,"ERRO")))))</f>
        <v>0.14176320000000001</v>
      </c>
      <c r="CA84" s="212">
        <f>VLOOKUP(L84,'Impostos e Frete'!$A$3:$B$7,2,0)*'Preços e Condições'!BY84</f>
        <v>1.5723499999999999</v>
      </c>
      <c r="CB84" s="147">
        <f t="shared" si="39"/>
        <v>-0.17699999999999999</v>
      </c>
      <c r="CC84" s="147">
        <f>IF(X84="BRL",'Impostos e Frete'!$B$11,'Impostos e Frete'!$B$12)</f>
        <v>9.1999999999999998E-2</v>
      </c>
      <c r="CD84" s="213">
        <f t="shared" ca="1" si="40"/>
        <v>13.7241132</v>
      </c>
      <c r="CE84" s="214">
        <f t="shared" ca="1" si="41"/>
        <v>0.98813615040000002</v>
      </c>
      <c r="CF84" s="215">
        <f>VLOOKUP(L84,'Impostos e Frete'!$A$3:$C$7,3,0)</f>
        <v>105</v>
      </c>
      <c r="CG84" s="215">
        <f t="shared" si="42"/>
        <v>120</v>
      </c>
      <c r="CH84" s="215">
        <f t="shared" si="43"/>
        <v>15</v>
      </c>
      <c r="CI84" s="216">
        <f t="shared" ca="1" si="44"/>
        <v>-0.10178716414954714</v>
      </c>
      <c r="CJ84" s="217">
        <f t="shared" ca="1" si="45"/>
        <v>13.622326035850453</v>
      </c>
      <c r="CK84" s="218">
        <f t="shared" ca="1" si="46"/>
        <v>0.98080747458123263</v>
      </c>
    </row>
    <row r="85" spans="1:89">
      <c r="A85" s="176">
        <v>14113</v>
      </c>
      <c r="B85" s="177" t="s">
        <v>479</v>
      </c>
      <c r="C85" s="178">
        <v>72</v>
      </c>
      <c r="D85" s="178">
        <v>1870</v>
      </c>
      <c r="E85" s="178" t="s">
        <v>50</v>
      </c>
      <c r="F85" s="179" t="s">
        <v>2</v>
      </c>
      <c r="G85" s="189" t="s">
        <v>228</v>
      </c>
      <c r="H85" s="178" t="s">
        <v>43</v>
      </c>
      <c r="I85" s="178">
        <v>32126</v>
      </c>
      <c r="J85" s="178"/>
      <c r="K85" s="178"/>
      <c r="L85" s="178" t="s">
        <v>59</v>
      </c>
      <c r="M85" s="178">
        <v>120</v>
      </c>
      <c r="N85" s="178"/>
      <c r="O85" s="178"/>
      <c r="P85" s="178"/>
      <c r="Q85" s="178"/>
      <c r="R85" s="178" t="s">
        <v>126</v>
      </c>
      <c r="S85" s="181"/>
      <c r="T85" s="181"/>
      <c r="U85" s="182"/>
      <c r="V85" s="182" t="s">
        <v>35</v>
      </c>
      <c r="W85" s="183">
        <v>30</v>
      </c>
      <c r="X85" s="182" t="s">
        <v>51</v>
      </c>
      <c r="Y85" s="184">
        <v>2360</v>
      </c>
      <c r="Z85" s="184">
        <v>2360</v>
      </c>
      <c r="AA85" s="184">
        <v>2360</v>
      </c>
      <c r="AB85" s="184">
        <v>2240</v>
      </c>
      <c r="AC85" s="184">
        <v>2240</v>
      </c>
      <c r="AD85" s="184">
        <v>2240</v>
      </c>
      <c r="AE85" s="184">
        <v>2020</v>
      </c>
      <c r="AF85" s="184">
        <v>2020</v>
      </c>
      <c r="AG85" s="184">
        <v>2020</v>
      </c>
      <c r="AH85" s="184">
        <v>1900</v>
      </c>
      <c r="AI85" s="184">
        <v>1900</v>
      </c>
      <c r="AJ85" s="184">
        <v>1900</v>
      </c>
      <c r="AK85" s="184">
        <v>1900</v>
      </c>
      <c r="AL85" s="146">
        <f>40+(AL82+100)</f>
        <v>1990</v>
      </c>
      <c r="AM85" s="146">
        <f>40+(AM82+100)</f>
        <v>1990</v>
      </c>
      <c r="AN85" s="146">
        <f>40+(AN82+100)</f>
        <v>1990</v>
      </c>
      <c r="AO85" s="184">
        <v>2070</v>
      </c>
      <c r="AP85" s="184">
        <v>2070</v>
      </c>
      <c r="AQ85" s="184">
        <v>2070</v>
      </c>
      <c r="AR85" s="184">
        <v>2070</v>
      </c>
      <c r="AS85" s="184">
        <v>2070</v>
      </c>
      <c r="AT85" s="184">
        <v>2070</v>
      </c>
      <c r="AU85" s="184">
        <v>2010</v>
      </c>
      <c r="AV85" s="184">
        <v>2010</v>
      </c>
      <c r="AW85" s="146">
        <f>AW82+100</f>
        <v>1950</v>
      </c>
      <c r="AX85" s="146">
        <f>AX82+100</f>
        <v>1950</v>
      </c>
      <c r="AY85" s="146">
        <f>AY82+100</f>
        <v>1950</v>
      </c>
      <c r="AZ85" s="184">
        <v>2030</v>
      </c>
      <c r="BA85" s="184">
        <v>2030</v>
      </c>
      <c r="BB85" s="184">
        <v>2030</v>
      </c>
      <c r="BC85" s="184">
        <v>2030</v>
      </c>
      <c r="BD85" s="184">
        <v>2030</v>
      </c>
      <c r="BE85" s="184">
        <v>2030</v>
      </c>
      <c r="BF85" s="184">
        <v>1930</v>
      </c>
      <c r="BG85" s="184">
        <v>1930</v>
      </c>
      <c r="BH85" s="184">
        <v>1930</v>
      </c>
      <c r="BI85" s="184">
        <v>1930</v>
      </c>
      <c r="BJ85" s="184">
        <v>1930</v>
      </c>
      <c r="BK85" s="184">
        <v>1930</v>
      </c>
      <c r="BL85" s="184">
        <v>2020</v>
      </c>
      <c r="BM85" s="184">
        <v>2020</v>
      </c>
      <c r="BN85" s="184">
        <v>2020</v>
      </c>
      <c r="BO85" s="184">
        <v>2100</v>
      </c>
      <c r="BP85" s="184">
        <v>2100</v>
      </c>
      <c r="BQ85" s="184">
        <v>2100</v>
      </c>
      <c r="BR85" s="184"/>
      <c r="BS85" s="184"/>
      <c r="BT85" s="184"/>
      <c r="BU85" s="146" cm="1">
        <f t="array" ref="BU85">LOOKUP(2,1/(Y85:BT85&lt;&gt;""),Y85:BH85)</f>
        <v>2100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46199</v>
      </c>
      <c r="BW85" s="211" cm="1">
        <f t="array" ref="BW85">(LOOKUP(2,1/(BH85:BT85&lt;&gt;""),BH85:BT85))/(INDEX(BH85:BT85,MATCH(TRUE,INDEX((BH85:BT85&lt;&gt;0),0),0)))-1</f>
        <v>8.8082901554404236E-2</v>
      </c>
      <c r="BX85" s="212">
        <f t="shared" si="38"/>
        <v>2.1</v>
      </c>
      <c r="BY85" s="212">
        <f t="shared" si="37"/>
        <v>12.39</v>
      </c>
      <c r="BZ85" s="212">
        <f ca="1">IF(L85="BR",'Impostos e Frete'!$F$6,IF(L85="EU",'Impostos e Frete'!$I$3,IF(L85="CN",'Impostos e Frete'!$I$4,IF(L85="JP",'Impostos e Frete'!$I$5,IF(L85="RU",'Impostos e Frete'!$I$7,"ERRO")))))</f>
        <v>0.14176320000000001</v>
      </c>
      <c r="CA85" s="212">
        <f>VLOOKUP(L85,'Impostos e Frete'!$A$3:$B$7,2,0)*'Preços e Condições'!BY85</f>
        <v>1.6107</v>
      </c>
      <c r="CB85" s="147">
        <f t="shared" si="39"/>
        <v>-0.17699999999999999</v>
      </c>
      <c r="CC85" s="147">
        <f>IF(X85="BRL",'Impostos e Frete'!$B$11,'Impostos e Frete'!$B$12)</f>
        <v>9.1999999999999998E-2</v>
      </c>
      <c r="CD85" s="213">
        <f t="shared" ca="1" si="40"/>
        <v>14.057463200000001</v>
      </c>
      <c r="CE85" s="214">
        <f t="shared" ca="1" si="41"/>
        <v>1.0121373504</v>
      </c>
      <c r="CF85" s="215">
        <f>VLOOKUP(L85,'Impostos e Frete'!$A$3:$C$7,3,0)</f>
        <v>105</v>
      </c>
      <c r="CG85" s="215">
        <f t="shared" si="42"/>
        <v>120</v>
      </c>
      <c r="CH85" s="215">
        <f t="shared" si="43"/>
        <v>15</v>
      </c>
      <c r="CI85" s="216">
        <f t="shared" ca="1" si="44"/>
        <v>-0.10425950977033871</v>
      </c>
      <c r="CJ85" s="217">
        <f t="shared" ca="1" si="45"/>
        <v>13.953203690229662</v>
      </c>
      <c r="CK85" s="218">
        <f t="shared" ca="1" si="46"/>
        <v>1.0046306656965358</v>
      </c>
    </row>
    <row r="86" spans="1:89">
      <c r="A86" s="176">
        <v>14127</v>
      </c>
      <c r="B86" s="177" t="s">
        <v>480</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100</v>
      </c>
      <c r="X86" s="182" t="s">
        <v>51</v>
      </c>
      <c r="Y86" s="184">
        <v>2170</v>
      </c>
      <c r="Z86" s="184">
        <v>2170</v>
      </c>
      <c r="AA86" s="184">
        <v>2170</v>
      </c>
      <c r="AB86" s="184">
        <v>2080</v>
      </c>
      <c r="AC86" s="184">
        <v>2080</v>
      </c>
      <c r="AD86" s="184">
        <v>2080</v>
      </c>
      <c r="AE86" s="184">
        <v>1870</v>
      </c>
      <c r="AF86" s="184">
        <v>1870</v>
      </c>
      <c r="AG86" s="184">
        <v>1870</v>
      </c>
      <c r="AH86" s="184">
        <v>1760</v>
      </c>
      <c r="AI86" s="184">
        <v>1760</v>
      </c>
      <c r="AJ86" s="184">
        <v>1760</v>
      </c>
      <c r="AK86" s="184">
        <v>1760</v>
      </c>
      <c r="AL86" s="184">
        <v>1790</v>
      </c>
      <c r="AM86" s="184">
        <v>1790</v>
      </c>
      <c r="AN86" s="184">
        <v>1790</v>
      </c>
      <c r="AO86" s="184">
        <v>1870</v>
      </c>
      <c r="AP86" s="184">
        <v>1870</v>
      </c>
      <c r="AQ86" s="184">
        <v>1870</v>
      </c>
      <c r="AR86" s="184">
        <v>1870</v>
      </c>
      <c r="AS86" s="184">
        <v>1870</v>
      </c>
      <c r="AT86" s="184">
        <v>1870</v>
      </c>
      <c r="AU86" s="184">
        <v>1800</v>
      </c>
      <c r="AV86" s="184">
        <v>1800</v>
      </c>
      <c r="AW86" s="184">
        <v>1740</v>
      </c>
      <c r="AX86" s="184">
        <v>1740</v>
      </c>
      <c r="AY86" s="184">
        <v>1740</v>
      </c>
      <c r="AZ86" s="184">
        <v>1820</v>
      </c>
      <c r="BA86" s="184">
        <v>1820</v>
      </c>
      <c r="BB86" s="184">
        <v>1820</v>
      </c>
      <c r="BC86" s="184">
        <v>1820</v>
      </c>
      <c r="BD86" s="184">
        <v>1820</v>
      </c>
      <c r="BE86" s="184">
        <v>1820</v>
      </c>
      <c r="BF86" s="184">
        <v>1720</v>
      </c>
      <c r="BG86" s="184">
        <v>1720</v>
      </c>
      <c r="BH86" s="184">
        <v>1720</v>
      </c>
      <c r="BI86" s="184">
        <v>1720</v>
      </c>
      <c r="BJ86" s="184">
        <v>1720</v>
      </c>
      <c r="BK86" s="184">
        <v>1720</v>
      </c>
      <c r="BL86" s="184">
        <v>1800</v>
      </c>
      <c r="BM86" s="184">
        <v>1800</v>
      </c>
      <c r="BN86" s="184">
        <v>1800</v>
      </c>
      <c r="BO86" s="184">
        <v>1880</v>
      </c>
      <c r="BP86" s="184">
        <v>1880</v>
      </c>
      <c r="BQ86" s="184">
        <v>1880</v>
      </c>
      <c r="BR86" s="184"/>
      <c r="BS86" s="184"/>
      <c r="BT86" s="184"/>
      <c r="BU86" s="146" cm="1">
        <f t="array" ref="BU86">LOOKUP(2,1/(Y86:BT86&lt;&gt;""),Y86:BH86)</f>
        <v>1880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46199</v>
      </c>
      <c r="BW86" s="211" cm="1">
        <f t="array" ref="BW86">(LOOKUP(2,1/(BH86:BT86&lt;&gt;""),BH86:BT86))/(INDEX(BH86:BT86,MATCH(TRUE,INDEX((BH86:BT86&lt;&gt;0),0),0)))-1</f>
        <v>9.3023255813953432E-2</v>
      </c>
      <c r="BX86" s="212">
        <f t="shared" si="38"/>
        <v>1.88</v>
      </c>
      <c r="BY86" s="212">
        <f t="shared" si="37"/>
        <v>11.092000000000001</v>
      </c>
      <c r="BZ86" s="212">
        <f ca="1">IF(L86="BR",'Impostos e Frete'!$F$6,IF(L86="EU",'Impostos e Frete'!$I$3,IF(L86="CN",'Impostos e Frete'!$I$4,IF(L86="JP",'Impostos e Frete'!$I$5,IF(L86="RU",'Impostos e Frete'!$I$7,"ERRO")))))</f>
        <v>0.14176320000000001</v>
      </c>
      <c r="CA86" s="212">
        <f>VLOOKUP(L86,'Impostos e Frete'!$A$3:$B$7,2,0)*'Preços e Condições'!BY86</f>
        <v>1.4419600000000001</v>
      </c>
      <c r="CB86" s="147">
        <f t="shared" si="39"/>
        <v>-0.17699999999999999</v>
      </c>
      <c r="CC86" s="147">
        <f>IF(X86="BRL",'Impostos e Frete'!$B$11,'Impostos e Frete'!$B$12)</f>
        <v>9.1999999999999998E-2</v>
      </c>
      <c r="CD86" s="213">
        <f t="shared" ca="1" si="40"/>
        <v>12.590723200000001</v>
      </c>
      <c r="CE86" s="214">
        <f t="shared" ca="1" si="41"/>
        <v>0.88135062400000008</v>
      </c>
      <c r="CF86" s="215">
        <f>VLOOKUP(L86,'Impostos e Frete'!$A$3:$C$7,3,0)</f>
        <v>105</v>
      </c>
      <c r="CG86" s="215">
        <f t="shared" si="42"/>
        <v>120</v>
      </c>
      <c r="CH86" s="215">
        <f t="shared" si="43"/>
        <v>15</v>
      </c>
      <c r="CI86" s="216">
        <f t="shared" ca="1" si="44"/>
        <v>-9.3381189038860057E-2</v>
      </c>
      <c r="CJ86" s="217">
        <f t="shared" ca="1" si="45"/>
        <v>12.497342010961141</v>
      </c>
      <c r="CK86" s="218">
        <f t="shared" ca="1" si="46"/>
        <v>0.87481394076727992</v>
      </c>
    </row>
    <row r="87" spans="1:89">
      <c r="A87" s="176">
        <v>14127</v>
      </c>
      <c r="B87" s="177" t="s">
        <v>480</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70</v>
      </c>
      <c r="X87" s="182" t="s">
        <v>51</v>
      </c>
      <c r="Y87" s="184">
        <v>2190</v>
      </c>
      <c r="Z87" s="184">
        <v>2190</v>
      </c>
      <c r="AA87" s="184">
        <v>2190</v>
      </c>
      <c r="AB87" s="184">
        <v>2100</v>
      </c>
      <c r="AC87" s="184">
        <v>2100</v>
      </c>
      <c r="AD87" s="184">
        <v>2100</v>
      </c>
      <c r="AE87" s="184">
        <v>1890</v>
      </c>
      <c r="AF87" s="184">
        <v>1890</v>
      </c>
      <c r="AG87" s="184">
        <v>1890</v>
      </c>
      <c r="AH87" s="184">
        <v>1780</v>
      </c>
      <c r="AI87" s="184">
        <v>1780</v>
      </c>
      <c r="AJ87" s="184">
        <v>1780</v>
      </c>
      <c r="AK87" s="184">
        <v>1780</v>
      </c>
      <c r="AL87" s="146">
        <f>40+(AL86+20)</f>
        <v>1850</v>
      </c>
      <c r="AM87" s="146">
        <f>40+(AM86+20)</f>
        <v>1850</v>
      </c>
      <c r="AN87" s="146">
        <f>40+(AN86+20)</f>
        <v>1850</v>
      </c>
      <c r="AO87" s="184">
        <v>1890</v>
      </c>
      <c r="AP87" s="184">
        <v>1890</v>
      </c>
      <c r="AQ87" s="184">
        <v>1890</v>
      </c>
      <c r="AR87" s="184">
        <v>1890</v>
      </c>
      <c r="AS87" s="184">
        <v>1890</v>
      </c>
      <c r="AT87" s="184">
        <v>1890</v>
      </c>
      <c r="AU87" s="184">
        <v>1820</v>
      </c>
      <c r="AV87" s="184">
        <v>1820</v>
      </c>
      <c r="AW87" s="146">
        <f>AW86+20</f>
        <v>1760</v>
      </c>
      <c r="AX87" s="146">
        <f>AX86+20</f>
        <v>1760</v>
      </c>
      <c r="AY87" s="146">
        <f>AY86+20</f>
        <v>1760</v>
      </c>
      <c r="AZ87" s="184">
        <v>1840</v>
      </c>
      <c r="BA87" s="184">
        <v>1840</v>
      </c>
      <c r="BB87" s="184">
        <v>1840</v>
      </c>
      <c r="BC87" s="184">
        <v>1840</v>
      </c>
      <c r="BD87" s="184">
        <v>1840</v>
      </c>
      <c r="BE87" s="184">
        <v>1840</v>
      </c>
      <c r="BF87" s="184">
        <v>1740</v>
      </c>
      <c r="BG87" s="184">
        <v>1740</v>
      </c>
      <c r="BH87" s="184">
        <v>1740</v>
      </c>
      <c r="BI87" s="184">
        <v>1740</v>
      </c>
      <c r="BJ87" s="184">
        <v>1740</v>
      </c>
      <c r="BK87" s="184">
        <v>1740</v>
      </c>
      <c r="BL87" s="184">
        <v>1820</v>
      </c>
      <c r="BM87" s="184">
        <v>1820</v>
      </c>
      <c r="BN87" s="184">
        <v>1820</v>
      </c>
      <c r="BO87" s="184">
        <v>1900</v>
      </c>
      <c r="BP87" s="184">
        <v>1900</v>
      </c>
      <c r="BQ87" s="184">
        <v>1900</v>
      </c>
      <c r="BR87" s="184"/>
      <c r="BS87" s="184"/>
      <c r="BT87" s="184"/>
      <c r="BU87" s="146" cm="1">
        <f t="array" ref="BU87">LOOKUP(2,1/(Y87:BT87&lt;&gt;""),Y87:BH87)</f>
        <v>1900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46199</v>
      </c>
      <c r="BW87" s="211" cm="1">
        <f t="array" ref="BW87">(LOOKUP(2,1/(BH87:BT87&lt;&gt;""),BH87:BT87))/(INDEX(BH87:BT87,MATCH(TRUE,INDEX((BH87:BT87&lt;&gt;0),0),0)))-1</f>
        <v>9.1954022988505857E-2</v>
      </c>
      <c r="BX87" s="212">
        <f t="shared" si="38"/>
        <v>1.9</v>
      </c>
      <c r="BY87" s="212">
        <f t="shared" si="37"/>
        <v>11.21</v>
      </c>
      <c r="BZ87" s="212">
        <f ca="1">IF(L87="BR",'Impostos e Frete'!$F$6,IF(L87="EU",'Impostos e Frete'!$I$3,IF(L87="CN",'Impostos e Frete'!$I$4,IF(L87="JP",'Impostos e Frete'!$I$5,IF(L87="RU",'Impostos e Frete'!$I$7,"ERRO")))))</f>
        <v>0.14176320000000001</v>
      </c>
      <c r="CA87" s="212">
        <f>VLOOKUP(L87,'Impostos e Frete'!$A$3:$B$7,2,0)*'Preços e Condições'!BY87</f>
        <v>1.4573000000000003</v>
      </c>
      <c r="CB87" s="147">
        <f t="shared" si="39"/>
        <v>-0.17699999999999999</v>
      </c>
      <c r="CC87" s="147">
        <f>IF(X87="BRL",'Impostos e Frete'!$B$11,'Impostos e Frete'!$B$12)</f>
        <v>9.1999999999999998E-2</v>
      </c>
      <c r="CD87" s="213">
        <f t="shared" ca="1" si="40"/>
        <v>12.724063200000002</v>
      </c>
      <c r="CE87" s="214">
        <f t="shared" ca="1" si="41"/>
        <v>0.89068442400000014</v>
      </c>
      <c r="CF87" s="215">
        <f>VLOOKUP(L87,'Impostos e Frete'!$A$3:$C$7,3,0)</f>
        <v>105</v>
      </c>
      <c r="CG87" s="215">
        <f t="shared" si="42"/>
        <v>120</v>
      </c>
      <c r="CH87" s="215">
        <f t="shared" si="43"/>
        <v>15</v>
      </c>
      <c r="CI87" s="216">
        <f t="shared" ca="1" si="44"/>
        <v>-9.4370127287175976E-2</v>
      </c>
      <c r="CJ87" s="217">
        <f t="shared" ca="1" si="45"/>
        <v>12.629693072712826</v>
      </c>
      <c r="CK87" s="218">
        <f t="shared" ca="1" si="46"/>
        <v>0.88407851508989788</v>
      </c>
    </row>
    <row r="88" spans="1:89">
      <c r="A88" s="176">
        <v>14127</v>
      </c>
      <c r="B88" s="177" t="s">
        <v>480</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50</v>
      </c>
      <c r="X88" s="182" t="s">
        <v>51</v>
      </c>
      <c r="Y88" s="184">
        <v>2220</v>
      </c>
      <c r="Z88" s="184">
        <v>2220</v>
      </c>
      <c r="AA88" s="184">
        <v>2220</v>
      </c>
      <c r="AB88" s="184">
        <v>2130</v>
      </c>
      <c r="AC88" s="184">
        <v>2130</v>
      </c>
      <c r="AD88" s="184">
        <v>2130</v>
      </c>
      <c r="AE88" s="184">
        <v>1920</v>
      </c>
      <c r="AF88" s="184">
        <v>1920</v>
      </c>
      <c r="AG88" s="184">
        <v>1920</v>
      </c>
      <c r="AH88" s="184">
        <v>1810</v>
      </c>
      <c r="AI88" s="184">
        <v>1810</v>
      </c>
      <c r="AJ88" s="184">
        <v>1810</v>
      </c>
      <c r="AK88" s="184">
        <v>1810</v>
      </c>
      <c r="AL88" s="146">
        <f>40+(AL86+50)</f>
        <v>1880</v>
      </c>
      <c r="AM88" s="146">
        <f>40+(AM86+50)</f>
        <v>1880</v>
      </c>
      <c r="AN88" s="146">
        <f>40+(AN86+50)</f>
        <v>1880</v>
      </c>
      <c r="AO88" s="184">
        <v>1920</v>
      </c>
      <c r="AP88" s="184">
        <v>1920</v>
      </c>
      <c r="AQ88" s="184">
        <v>1920</v>
      </c>
      <c r="AR88" s="184">
        <v>1920</v>
      </c>
      <c r="AS88" s="184">
        <v>1920</v>
      </c>
      <c r="AT88" s="184">
        <v>1920</v>
      </c>
      <c r="AU88" s="184">
        <v>1850</v>
      </c>
      <c r="AV88" s="184">
        <v>1850</v>
      </c>
      <c r="AW88" s="146">
        <f>AW86+50</f>
        <v>1790</v>
      </c>
      <c r="AX88" s="146">
        <f>AX86+50</f>
        <v>1790</v>
      </c>
      <c r="AY88" s="146">
        <f>AY86+50</f>
        <v>1790</v>
      </c>
      <c r="AZ88" s="184">
        <v>1870</v>
      </c>
      <c r="BA88" s="184">
        <v>1870</v>
      </c>
      <c r="BB88" s="184">
        <v>1870</v>
      </c>
      <c r="BC88" s="184">
        <v>1870</v>
      </c>
      <c r="BD88" s="184">
        <v>1870</v>
      </c>
      <c r="BE88" s="184">
        <v>1870</v>
      </c>
      <c r="BF88" s="184">
        <v>1770</v>
      </c>
      <c r="BG88" s="184">
        <v>1770</v>
      </c>
      <c r="BH88" s="184">
        <v>1770</v>
      </c>
      <c r="BI88" s="184">
        <v>1770</v>
      </c>
      <c r="BJ88" s="184">
        <v>1770</v>
      </c>
      <c r="BK88" s="184">
        <v>1770</v>
      </c>
      <c r="BL88" s="184">
        <v>1850</v>
      </c>
      <c r="BM88" s="184">
        <v>1850</v>
      </c>
      <c r="BN88" s="184">
        <v>1850</v>
      </c>
      <c r="BO88" s="184">
        <v>1930</v>
      </c>
      <c r="BP88" s="184">
        <v>1930</v>
      </c>
      <c r="BQ88" s="184">
        <v>1930</v>
      </c>
      <c r="BR88" s="184"/>
      <c r="BS88" s="184"/>
      <c r="BT88" s="184"/>
      <c r="BU88" s="146" cm="1">
        <f t="array" ref="BU88">LOOKUP(2,1/(Y88:BT88&lt;&gt;""),Y88:BH88)</f>
        <v>1930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46199</v>
      </c>
      <c r="BW88" s="211" cm="1">
        <f t="array" ref="BW88">(LOOKUP(2,1/(BH88:BT88&lt;&gt;""),BH88:BT88))/(INDEX(BH88:BT88,MATCH(TRUE,INDEX((BH88:BT88&lt;&gt;0),0),0)))-1</f>
        <v>9.0395480225988756E-2</v>
      </c>
      <c r="BX88" s="212">
        <f t="shared" si="38"/>
        <v>1.93</v>
      </c>
      <c r="BY88" s="212">
        <f t="shared" si="37"/>
        <v>11.387</v>
      </c>
      <c r="BZ88" s="212">
        <f ca="1">IF(L88="BR",'Impostos e Frete'!$F$6,IF(L88="EU",'Impostos e Frete'!$I$3,IF(L88="CN",'Impostos e Frete'!$I$4,IF(L88="JP",'Impostos e Frete'!$I$5,IF(L88="RU",'Impostos e Frete'!$I$7,"ERRO")))))</f>
        <v>0.14176320000000001</v>
      </c>
      <c r="CA88" s="212">
        <f>VLOOKUP(L88,'Impostos e Frete'!$A$3:$B$7,2,0)*'Preços e Condições'!BY88</f>
        <v>1.48031</v>
      </c>
      <c r="CB88" s="147">
        <f t="shared" si="39"/>
        <v>-0.17699999999999999</v>
      </c>
      <c r="CC88" s="147">
        <f>IF(X88="BRL",'Impostos e Frete'!$B$11,'Impostos e Frete'!$B$12)</f>
        <v>9.1999999999999998E-2</v>
      </c>
      <c r="CD88" s="213">
        <f t="shared" ca="1" si="40"/>
        <v>12.9240732</v>
      </c>
      <c r="CE88" s="214">
        <f t="shared" ca="1" si="41"/>
        <v>0.90468512400000001</v>
      </c>
      <c r="CF88" s="215">
        <f>VLOOKUP(L88,'Impostos e Frete'!$A$3:$C$7,3,0)</f>
        <v>105</v>
      </c>
      <c r="CG88" s="215">
        <f t="shared" si="42"/>
        <v>120</v>
      </c>
      <c r="CH88" s="215">
        <f t="shared" si="43"/>
        <v>15</v>
      </c>
      <c r="CI88" s="216">
        <f t="shared" ca="1" si="44"/>
        <v>-9.5853534659651629E-2</v>
      </c>
      <c r="CJ88" s="217">
        <f t="shared" ca="1" si="45"/>
        <v>12.828219665340349</v>
      </c>
      <c r="CK88" s="218">
        <f t="shared" ca="1" si="46"/>
        <v>0.89797537657382442</v>
      </c>
    </row>
    <row r="89" spans="1:89">
      <c r="A89" s="176">
        <v>14127</v>
      </c>
      <c r="B89" s="177" t="s">
        <v>480</v>
      </c>
      <c r="C89" s="178">
        <v>70</v>
      </c>
      <c r="D89" s="178">
        <v>1870</v>
      </c>
      <c r="E89" s="178" t="s">
        <v>50</v>
      </c>
      <c r="F89" s="179" t="s">
        <v>2</v>
      </c>
      <c r="G89" s="189" t="s">
        <v>229</v>
      </c>
      <c r="H89" s="178" t="s">
        <v>42</v>
      </c>
      <c r="I89" s="178">
        <v>32129</v>
      </c>
      <c r="J89" s="178"/>
      <c r="K89" s="178"/>
      <c r="L89" s="178" t="s">
        <v>59</v>
      </c>
      <c r="M89" s="178">
        <v>120</v>
      </c>
      <c r="N89" s="178"/>
      <c r="O89" s="178"/>
      <c r="P89" s="178"/>
      <c r="Q89" s="178"/>
      <c r="R89" s="178" t="s">
        <v>126</v>
      </c>
      <c r="S89" s="181"/>
      <c r="T89" s="181"/>
      <c r="U89" s="182"/>
      <c r="V89" s="182" t="s">
        <v>35</v>
      </c>
      <c r="W89" s="183">
        <v>30</v>
      </c>
      <c r="X89" s="182" t="s">
        <v>51</v>
      </c>
      <c r="Y89" s="184">
        <v>2270</v>
      </c>
      <c r="Z89" s="184">
        <v>2270</v>
      </c>
      <c r="AA89" s="184">
        <v>2270</v>
      </c>
      <c r="AB89" s="184">
        <v>2180</v>
      </c>
      <c r="AC89" s="184">
        <v>2180</v>
      </c>
      <c r="AD89" s="184">
        <v>2180</v>
      </c>
      <c r="AE89" s="184">
        <v>1970</v>
      </c>
      <c r="AF89" s="184">
        <v>1970</v>
      </c>
      <c r="AG89" s="184">
        <v>1970</v>
      </c>
      <c r="AH89" s="184">
        <v>1860</v>
      </c>
      <c r="AI89" s="184">
        <v>1860</v>
      </c>
      <c r="AJ89" s="184">
        <v>1860</v>
      </c>
      <c r="AK89" s="184">
        <v>1860</v>
      </c>
      <c r="AL89" s="146">
        <f>40+(AL86+100)</f>
        <v>1930</v>
      </c>
      <c r="AM89" s="146">
        <f>40+(AM86+100)</f>
        <v>1930</v>
      </c>
      <c r="AN89" s="146">
        <f>40+(AN86+100)</f>
        <v>1930</v>
      </c>
      <c r="AO89" s="184">
        <v>1970</v>
      </c>
      <c r="AP89" s="184">
        <v>1970</v>
      </c>
      <c r="AQ89" s="184">
        <v>1970</v>
      </c>
      <c r="AR89" s="184">
        <v>1970</v>
      </c>
      <c r="AS89" s="184">
        <v>1970</v>
      </c>
      <c r="AT89" s="184">
        <v>1970</v>
      </c>
      <c r="AU89" s="184">
        <v>1900</v>
      </c>
      <c r="AV89" s="184">
        <v>1900</v>
      </c>
      <c r="AW89" s="146">
        <f>AW86+100</f>
        <v>1840</v>
      </c>
      <c r="AX89" s="146">
        <f>AX86+100</f>
        <v>1840</v>
      </c>
      <c r="AY89" s="146">
        <f>AY86+100</f>
        <v>1840</v>
      </c>
      <c r="AZ89" s="184">
        <v>1920</v>
      </c>
      <c r="BA89" s="184">
        <v>1920</v>
      </c>
      <c r="BB89" s="184">
        <v>1920</v>
      </c>
      <c r="BC89" s="184">
        <v>1920</v>
      </c>
      <c r="BD89" s="184">
        <v>1920</v>
      </c>
      <c r="BE89" s="184">
        <v>1920</v>
      </c>
      <c r="BF89" s="184">
        <v>1820</v>
      </c>
      <c r="BG89" s="184">
        <v>1820</v>
      </c>
      <c r="BH89" s="184">
        <v>1820</v>
      </c>
      <c r="BI89" s="184">
        <v>1820</v>
      </c>
      <c r="BJ89" s="184">
        <v>1820</v>
      </c>
      <c r="BK89" s="184">
        <v>1820</v>
      </c>
      <c r="BL89" s="184">
        <v>1900</v>
      </c>
      <c r="BM89" s="184">
        <v>1900</v>
      </c>
      <c r="BN89" s="184">
        <v>1900</v>
      </c>
      <c r="BO89" s="184">
        <v>1980</v>
      </c>
      <c r="BP89" s="184">
        <v>1980</v>
      </c>
      <c r="BQ89" s="184">
        <v>1980</v>
      </c>
      <c r="BR89" s="184"/>
      <c r="BS89" s="184"/>
      <c r="BT89" s="184"/>
      <c r="BU89" s="146" cm="1">
        <f t="array" ref="BU89">LOOKUP(2,1/(Y89:BT89&lt;&gt;""),Y89:BH89)</f>
        <v>1980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46199</v>
      </c>
      <c r="BW89" s="211" cm="1">
        <f t="array" ref="BW89">(LOOKUP(2,1/(BH89:BT89&lt;&gt;""),BH89:BT89))/(INDEX(BH89:BT89,MATCH(TRUE,INDEX((BH89:BT89&lt;&gt;0),0),0)))-1</f>
        <v>8.7912087912087822E-2</v>
      </c>
      <c r="BX89" s="212">
        <f t="shared" si="38"/>
        <v>1.98</v>
      </c>
      <c r="BY89" s="212">
        <f t="shared" si="37"/>
        <v>11.682</v>
      </c>
      <c r="BZ89" s="212">
        <f ca="1">IF(L89="BR",'Impostos e Frete'!$F$6,IF(L89="EU",'Impostos e Frete'!$I$3,IF(L89="CN",'Impostos e Frete'!$I$4,IF(L89="JP",'Impostos e Frete'!$I$5,IF(L89="RU",'Impostos e Frete'!$I$7,"ERRO")))))</f>
        <v>0.14176320000000001</v>
      </c>
      <c r="CA89" s="212">
        <f>VLOOKUP(L89,'Impostos e Frete'!$A$3:$B$7,2,0)*'Preços e Condições'!BY89</f>
        <v>1.5186600000000001</v>
      </c>
      <c r="CB89" s="147">
        <f t="shared" si="39"/>
        <v>-0.17699999999999999</v>
      </c>
      <c r="CC89" s="147">
        <f>IF(X89="BRL",'Impostos e Frete'!$B$11,'Impostos e Frete'!$B$12)</f>
        <v>9.1999999999999998E-2</v>
      </c>
      <c r="CD89" s="213">
        <f t="shared" ca="1" si="40"/>
        <v>13.257423200000002</v>
      </c>
      <c r="CE89" s="214">
        <f t="shared" ca="1" si="41"/>
        <v>0.92801962400000015</v>
      </c>
      <c r="CF89" s="215">
        <f>VLOOKUP(L89,'Impostos e Frete'!$A$3:$C$7,3,0)</f>
        <v>105</v>
      </c>
      <c r="CG89" s="215">
        <f t="shared" si="42"/>
        <v>120</v>
      </c>
      <c r="CH89" s="215">
        <f t="shared" si="43"/>
        <v>15</v>
      </c>
      <c r="CI89" s="216">
        <f t="shared" ca="1" si="44"/>
        <v>-9.8325880280441424E-2</v>
      </c>
      <c r="CJ89" s="217">
        <f t="shared" ca="1" si="45"/>
        <v>13.15909731971956</v>
      </c>
      <c r="CK89" s="218">
        <f t="shared" ca="1" si="46"/>
        <v>0.92113681238036915</v>
      </c>
    </row>
    <row r="90" spans="1:89">
      <c r="A90" s="176">
        <v>14139</v>
      </c>
      <c r="B90" s="177">
        <v>689</v>
      </c>
      <c r="C90" s="178">
        <v>68</v>
      </c>
      <c r="D90" s="178">
        <v>1870</v>
      </c>
      <c r="E90" s="178" t="s">
        <v>50</v>
      </c>
      <c r="F90" s="179" t="s">
        <v>2</v>
      </c>
      <c r="G90" s="189" t="s">
        <v>87</v>
      </c>
      <c r="H90" s="178" t="s">
        <v>63</v>
      </c>
      <c r="I90" s="178">
        <v>32166</v>
      </c>
      <c r="J90" s="178"/>
      <c r="K90" s="178"/>
      <c r="L90" s="178" t="s">
        <v>59</v>
      </c>
      <c r="M90" s="178">
        <v>120</v>
      </c>
      <c r="N90" s="178"/>
      <c r="O90" s="178"/>
      <c r="P90" s="178"/>
      <c r="Q90" s="178"/>
      <c r="R90" s="178" t="s">
        <v>126</v>
      </c>
      <c r="S90" s="181"/>
      <c r="T90" s="181"/>
      <c r="U90" s="182"/>
      <c r="V90" s="182" t="s">
        <v>35</v>
      </c>
      <c r="W90" s="183">
        <v>100</v>
      </c>
      <c r="X90" s="182" t="s">
        <v>51</v>
      </c>
      <c r="Y90" s="184">
        <v>2280</v>
      </c>
      <c r="Z90" s="184">
        <v>2280</v>
      </c>
      <c r="AA90" s="184">
        <v>2280</v>
      </c>
      <c r="AB90" s="184">
        <v>2090</v>
      </c>
      <c r="AC90" s="184">
        <v>2090</v>
      </c>
      <c r="AD90" s="184">
        <v>2090</v>
      </c>
      <c r="AE90" s="184">
        <v>1790</v>
      </c>
      <c r="AF90" s="184">
        <v>1790</v>
      </c>
      <c r="AG90" s="184">
        <v>1790</v>
      </c>
      <c r="AH90" s="184">
        <v>1770</v>
      </c>
      <c r="AI90" s="184">
        <v>1770</v>
      </c>
      <c r="AJ90" s="184">
        <v>1770</v>
      </c>
      <c r="AK90" s="184">
        <v>1770</v>
      </c>
      <c r="AL90" s="184">
        <v>1800</v>
      </c>
      <c r="AM90" s="184">
        <v>1800</v>
      </c>
      <c r="AN90" s="184">
        <v>1800</v>
      </c>
      <c r="AO90" s="184">
        <v>1880</v>
      </c>
      <c r="AP90" s="184">
        <v>1880</v>
      </c>
      <c r="AQ90" s="184">
        <v>1880</v>
      </c>
      <c r="AR90" s="184">
        <v>1880</v>
      </c>
      <c r="AS90" s="184">
        <v>1880</v>
      </c>
      <c r="AT90" s="184">
        <v>1880</v>
      </c>
      <c r="AU90" s="184">
        <v>1810</v>
      </c>
      <c r="AV90" s="184">
        <v>1810</v>
      </c>
      <c r="AW90" s="184">
        <v>1770</v>
      </c>
      <c r="AX90" s="184">
        <v>1770</v>
      </c>
      <c r="AY90" s="184">
        <v>1770</v>
      </c>
      <c r="AZ90" s="184">
        <v>1850</v>
      </c>
      <c r="BA90" s="184">
        <v>1850</v>
      </c>
      <c r="BB90" s="184">
        <v>1850</v>
      </c>
      <c r="BC90" s="184">
        <v>1850</v>
      </c>
      <c r="BD90" s="184">
        <v>1850</v>
      </c>
      <c r="BE90" s="184">
        <v>1850</v>
      </c>
      <c r="BF90" s="184">
        <v>1750</v>
      </c>
      <c r="BG90" s="184">
        <v>1750</v>
      </c>
      <c r="BH90" s="184">
        <v>1750</v>
      </c>
      <c r="BI90" s="184">
        <v>1750</v>
      </c>
      <c r="BJ90" s="184">
        <v>1750</v>
      </c>
      <c r="BK90" s="184"/>
      <c r="BL90" s="184"/>
      <c r="BM90" s="184"/>
      <c r="BN90" s="184"/>
      <c r="BO90" s="203">
        <v>1730</v>
      </c>
      <c r="BP90" s="203">
        <v>1730</v>
      </c>
      <c r="BQ90" s="203">
        <v>1730</v>
      </c>
      <c r="BR90" s="184"/>
      <c r="BS90" s="184"/>
      <c r="BT90" s="184"/>
      <c r="BU90" s="146" cm="1">
        <f t="array" ref="BU90">LOOKUP(2,1/(Y90:BT90&lt;&gt;""),Y90:BH90)</f>
        <v>1730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46199</v>
      </c>
      <c r="BW90" s="211" cm="1">
        <f t="array" ref="BW90">(LOOKUP(2,1/(BH90:BT90&lt;&gt;""),BH90:BT90))/(INDEX(BH90:BT90,MATCH(TRUE,INDEX((BH90:BT90&lt;&gt;0),0),0)))-1</f>
        <v>-1.1428571428571455E-2</v>
      </c>
      <c r="BX90" s="212">
        <f t="shared" si="38"/>
        <v>1.73</v>
      </c>
      <c r="BY90" s="212">
        <f t="shared" si="37"/>
        <v>10.207000000000001</v>
      </c>
      <c r="BZ90" s="212">
        <f ca="1">IF(L90="BR",'Impostos e Frete'!$F$6,IF(L90="EU",'Impostos e Frete'!$I$3,IF(L90="CN",'Impostos e Frete'!$I$4,IF(L90="JP",'Impostos e Frete'!$I$5,IF(L90="RU",'Impostos e Frete'!$I$7,"ERRO")))))</f>
        <v>0.14176320000000001</v>
      </c>
      <c r="CA90" s="212">
        <f>VLOOKUP(L90,'Impostos e Frete'!$A$3:$B$7,2,0)*'Preços e Condições'!BY90</f>
        <v>1.32691</v>
      </c>
      <c r="CB90" s="147">
        <f t="shared" si="39"/>
        <v>-0.17699999999999999</v>
      </c>
      <c r="CC90" s="147">
        <f>IF(X90="BRL",'Impostos e Frete'!$B$11,'Impostos e Frete'!$B$12)</f>
        <v>9.1999999999999998E-2</v>
      </c>
      <c r="CD90" s="213">
        <f t="shared" ca="1" si="40"/>
        <v>11.590673200000001</v>
      </c>
      <c r="CE90" s="214">
        <f t="shared" ca="1" si="41"/>
        <v>0.78816577760000017</v>
      </c>
      <c r="CF90" s="215">
        <f>VLOOKUP(L90,'Impostos e Frete'!$A$3:$C$7,3,0)</f>
        <v>105</v>
      </c>
      <c r="CG90" s="215">
        <f t="shared" si="42"/>
        <v>120</v>
      </c>
      <c r="CH90" s="215">
        <f t="shared" si="43"/>
        <v>15</v>
      </c>
      <c r="CI90" s="216">
        <f t="shared" ca="1" si="44"/>
        <v>-8.5964152176488895E-2</v>
      </c>
      <c r="CJ90" s="217">
        <f t="shared" ca="1" si="45"/>
        <v>11.504709047823512</v>
      </c>
      <c r="CK90" s="218">
        <f t="shared" ca="1" si="46"/>
        <v>0.78232021525199891</v>
      </c>
    </row>
    <row r="91" spans="1:89">
      <c r="A91" s="176">
        <v>14139</v>
      </c>
      <c r="B91" s="177">
        <v>689</v>
      </c>
      <c r="C91" s="178">
        <v>68</v>
      </c>
      <c r="D91" s="178">
        <v>1870</v>
      </c>
      <c r="E91" s="178" t="s">
        <v>50</v>
      </c>
      <c r="F91" s="179" t="s">
        <v>2</v>
      </c>
      <c r="G91" s="189" t="s">
        <v>87</v>
      </c>
      <c r="H91" s="178" t="s">
        <v>63</v>
      </c>
      <c r="I91" s="178">
        <v>32166</v>
      </c>
      <c r="J91" s="178"/>
      <c r="K91" s="178"/>
      <c r="L91" s="178" t="s">
        <v>59</v>
      </c>
      <c r="M91" s="178">
        <v>120</v>
      </c>
      <c r="N91" s="178"/>
      <c r="O91" s="178"/>
      <c r="P91" s="178"/>
      <c r="Q91" s="178"/>
      <c r="R91" s="178" t="s">
        <v>126</v>
      </c>
      <c r="S91" s="181"/>
      <c r="T91" s="181"/>
      <c r="U91" s="182"/>
      <c r="V91" s="182" t="s">
        <v>35</v>
      </c>
      <c r="W91" s="183">
        <v>70</v>
      </c>
      <c r="X91" s="182" t="s">
        <v>51</v>
      </c>
      <c r="Y91" s="184">
        <v>2300</v>
      </c>
      <c r="Z91" s="184">
        <v>2300</v>
      </c>
      <c r="AA91" s="184">
        <v>2300</v>
      </c>
      <c r="AB91" s="184">
        <v>2110</v>
      </c>
      <c r="AC91" s="184">
        <v>2110</v>
      </c>
      <c r="AD91" s="184">
        <v>2110</v>
      </c>
      <c r="AE91" s="184">
        <v>1810</v>
      </c>
      <c r="AF91" s="184">
        <v>1810</v>
      </c>
      <c r="AG91" s="184">
        <v>1810</v>
      </c>
      <c r="AH91" s="184">
        <v>1790</v>
      </c>
      <c r="AI91" s="184">
        <v>1790</v>
      </c>
      <c r="AJ91" s="184">
        <v>1790</v>
      </c>
      <c r="AK91" s="184">
        <v>1790</v>
      </c>
      <c r="AL91" s="146">
        <f>40+(AL90+20)</f>
        <v>1860</v>
      </c>
      <c r="AM91" s="146">
        <f>40+(AM90+20)</f>
        <v>1860</v>
      </c>
      <c r="AN91" s="146">
        <f>40+(AN90+20)</f>
        <v>1860</v>
      </c>
      <c r="AO91" s="184">
        <v>1900</v>
      </c>
      <c r="AP91" s="184">
        <v>1900</v>
      </c>
      <c r="AQ91" s="184">
        <v>1900</v>
      </c>
      <c r="AR91" s="184">
        <v>1900</v>
      </c>
      <c r="AS91" s="184">
        <v>1900</v>
      </c>
      <c r="AT91" s="184">
        <v>1900</v>
      </c>
      <c r="AU91" s="184">
        <v>1830</v>
      </c>
      <c r="AV91" s="184">
        <v>1830</v>
      </c>
      <c r="AW91" s="146">
        <f>AW90+20</f>
        <v>1790</v>
      </c>
      <c r="AX91" s="146">
        <f>AX90+20</f>
        <v>1790</v>
      </c>
      <c r="AY91" s="146">
        <f>AY90+20</f>
        <v>1790</v>
      </c>
      <c r="AZ91" s="184">
        <v>1870</v>
      </c>
      <c r="BA91" s="184">
        <v>1870</v>
      </c>
      <c r="BB91" s="184">
        <v>1870</v>
      </c>
      <c r="BC91" s="184">
        <v>1870</v>
      </c>
      <c r="BD91" s="184">
        <v>1870</v>
      </c>
      <c r="BE91" s="184">
        <v>1870</v>
      </c>
      <c r="BF91" s="184">
        <v>1770</v>
      </c>
      <c r="BG91" s="184">
        <v>1770</v>
      </c>
      <c r="BH91" s="184">
        <v>1770</v>
      </c>
      <c r="BI91" s="184">
        <v>1770</v>
      </c>
      <c r="BJ91" s="184">
        <v>1770</v>
      </c>
      <c r="BK91" s="184"/>
      <c r="BL91" s="184"/>
      <c r="BM91" s="184"/>
      <c r="BN91" s="184"/>
      <c r="BO91" s="184">
        <v>1750</v>
      </c>
      <c r="BP91" s="184">
        <v>1750</v>
      </c>
      <c r="BQ91" s="184">
        <v>1750</v>
      </c>
      <c r="BR91" s="184"/>
      <c r="BS91" s="184"/>
      <c r="BT91" s="184"/>
      <c r="BU91" s="146" cm="1">
        <f t="array" ref="BU91">LOOKUP(2,1/(Y91:BT91&lt;&gt;""),Y91:BH91)</f>
        <v>1750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46199</v>
      </c>
      <c r="BW91" s="211" cm="1">
        <f t="array" ref="BW91">(LOOKUP(2,1/(BH91:BT91&lt;&gt;""),BH91:BT91))/(INDEX(BH91:BT91,MATCH(TRUE,INDEX((BH91:BT91&lt;&gt;0),0),0)))-1</f>
        <v>-1.1299435028248594E-2</v>
      </c>
      <c r="BX91" s="212">
        <f t="shared" si="38"/>
        <v>1.75</v>
      </c>
      <c r="BY91" s="212">
        <f t="shared" si="37"/>
        <v>10.325000000000001</v>
      </c>
      <c r="BZ91" s="212">
        <f ca="1">IF(L91="BR",'Impostos e Frete'!$F$6,IF(L91="EU",'Impostos e Frete'!$I$3,IF(L91="CN",'Impostos e Frete'!$I$4,IF(L91="JP",'Impostos e Frete'!$I$5,IF(L91="RU",'Impostos e Frete'!$I$7,"ERRO")))))</f>
        <v>0.14176320000000001</v>
      </c>
      <c r="CA91" s="212">
        <f>VLOOKUP(L91,'Impostos e Frete'!$A$3:$B$7,2,0)*'Preços e Condições'!BY91</f>
        <v>1.3422500000000002</v>
      </c>
      <c r="CB91" s="147">
        <f t="shared" si="39"/>
        <v>-0.17699999999999999</v>
      </c>
      <c r="CC91" s="147">
        <f>IF(X91="BRL",'Impostos e Frete'!$B$11,'Impostos e Frete'!$B$12)</f>
        <v>9.1999999999999998E-2</v>
      </c>
      <c r="CD91" s="213">
        <f t="shared" ca="1" si="40"/>
        <v>11.724013200000002</v>
      </c>
      <c r="CE91" s="214">
        <f t="shared" ca="1" si="41"/>
        <v>0.79723289760000005</v>
      </c>
      <c r="CF91" s="215">
        <f>VLOOKUP(L91,'Impostos e Frete'!$A$3:$C$7,3,0)</f>
        <v>105</v>
      </c>
      <c r="CG91" s="215">
        <f t="shared" si="42"/>
        <v>120</v>
      </c>
      <c r="CH91" s="215">
        <f t="shared" si="43"/>
        <v>15</v>
      </c>
      <c r="CI91" s="216">
        <f t="shared" ca="1" si="44"/>
        <v>-8.6953090424804813E-2</v>
      </c>
      <c r="CJ91" s="217">
        <f t="shared" ca="1" si="45"/>
        <v>11.637060109575197</v>
      </c>
      <c r="CK91" s="218">
        <f t="shared" ca="1" si="46"/>
        <v>0.79132008745111337</v>
      </c>
    </row>
    <row r="92" spans="1:89">
      <c r="A92" s="176">
        <v>14139</v>
      </c>
      <c r="B92" s="177">
        <v>689</v>
      </c>
      <c r="C92" s="178">
        <v>68</v>
      </c>
      <c r="D92" s="178">
        <v>1870</v>
      </c>
      <c r="E92" s="178" t="s">
        <v>50</v>
      </c>
      <c r="F92" s="179" t="s">
        <v>2</v>
      </c>
      <c r="G92" s="189" t="s">
        <v>87</v>
      </c>
      <c r="H92" s="178" t="s">
        <v>63</v>
      </c>
      <c r="I92" s="178">
        <v>32166</v>
      </c>
      <c r="J92" s="178"/>
      <c r="K92" s="178"/>
      <c r="L92" s="178" t="s">
        <v>59</v>
      </c>
      <c r="M92" s="178">
        <v>120</v>
      </c>
      <c r="N92" s="178"/>
      <c r="O92" s="178"/>
      <c r="P92" s="178"/>
      <c r="Q92" s="178"/>
      <c r="R92" s="178" t="s">
        <v>126</v>
      </c>
      <c r="S92" s="181"/>
      <c r="T92" s="181"/>
      <c r="U92" s="182"/>
      <c r="V92" s="182" t="s">
        <v>35</v>
      </c>
      <c r="W92" s="183">
        <v>50</v>
      </c>
      <c r="X92" s="182" t="s">
        <v>51</v>
      </c>
      <c r="Y92" s="184">
        <v>2330</v>
      </c>
      <c r="Z92" s="184">
        <v>2330</v>
      </c>
      <c r="AA92" s="184">
        <v>2330</v>
      </c>
      <c r="AB92" s="184">
        <v>2140</v>
      </c>
      <c r="AC92" s="184">
        <v>2140</v>
      </c>
      <c r="AD92" s="184">
        <v>2140</v>
      </c>
      <c r="AE92" s="184">
        <v>1840</v>
      </c>
      <c r="AF92" s="184">
        <v>1840</v>
      </c>
      <c r="AG92" s="184">
        <v>1840</v>
      </c>
      <c r="AH92" s="184">
        <v>1820</v>
      </c>
      <c r="AI92" s="184">
        <v>1820</v>
      </c>
      <c r="AJ92" s="184">
        <v>1820</v>
      </c>
      <c r="AK92" s="184">
        <v>1820</v>
      </c>
      <c r="AL92" s="146">
        <f>40+(AL90+50)</f>
        <v>1890</v>
      </c>
      <c r="AM92" s="146">
        <f>40+(AM90+50)</f>
        <v>1890</v>
      </c>
      <c r="AN92" s="146">
        <f>40+(AN90+50)</f>
        <v>1890</v>
      </c>
      <c r="AO92" s="184">
        <v>1930</v>
      </c>
      <c r="AP92" s="184">
        <v>1930</v>
      </c>
      <c r="AQ92" s="184">
        <v>1930</v>
      </c>
      <c r="AR92" s="184">
        <v>1930</v>
      </c>
      <c r="AS92" s="184">
        <v>1930</v>
      </c>
      <c r="AT92" s="184">
        <v>1930</v>
      </c>
      <c r="AU92" s="184">
        <v>1860</v>
      </c>
      <c r="AV92" s="184">
        <v>1860</v>
      </c>
      <c r="AW92" s="146">
        <f>AW90+50</f>
        <v>1820</v>
      </c>
      <c r="AX92" s="146">
        <f>AX90+50</f>
        <v>1820</v>
      </c>
      <c r="AY92" s="146">
        <f>AY90+50</f>
        <v>1820</v>
      </c>
      <c r="AZ92" s="184">
        <v>1900</v>
      </c>
      <c r="BA92" s="184">
        <v>1900</v>
      </c>
      <c r="BB92" s="184">
        <v>1900</v>
      </c>
      <c r="BC92" s="184">
        <v>1900</v>
      </c>
      <c r="BD92" s="184">
        <v>1900</v>
      </c>
      <c r="BE92" s="184">
        <v>1900</v>
      </c>
      <c r="BF92" s="184">
        <v>1800</v>
      </c>
      <c r="BG92" s="184">
        <v>1800</v>
      </c>
      <c r="BH92" s="184">
        <v>1800</v>
      </c>
      <c r="BI92" s="184">
        <v>1800</v>
      </c>
      <c r="BJ92" s="184">
        <v>1800</v>
      </c>
      <c r="BK92" s="184"/>
      <c r="BL92" s="184"/>
      <c r="BM92" s="184"/>
      <c r="BN92" s="184"/>
      <c r="BO92" s="184">
        <v>1780</v>
      </c>
      <c r="BP92" s="184">
        <v>1780</v>
      </c>
      <c r="BQ92" s="184">
        <v>1780</v>
      </c>
      <c r="BR92" s="184"/>
      <c r="BS92" s="184"/>
      <c r="BT92" s="184"/>
      <c r="BU92" s="146" cm="1">
        <f t="array" ref="BU92">LOOKUP(2,1/(Y92:BT92&lt;&gt;""),Y92:BH92)</f>
        <v>1780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46199</v>
      </c>
      <c r="BW92" s="211" cm="1">
        <f t="array" ref="BW92">(LOOKUP(2,1/(BH92:BT92&lt;&gt;""),BH92:BT92))/(INDEX(BH92:BT92,MATCH(TRUE,INDEX((BH92:BT92&lt;&gt;0),0),0)))-1</f>
        <v>-1.1111111111111072E-2</v>
      </c>
      <c r="BX92" s="212">
        <f t="shared" si="38"/>
        <v>1.78</v>
      </c>
      <c r="BY92" s="212">
        <f t="shared" si="37"/>
        <v>10.502000000000001</v>
      </c>
      <c r="BZ92" s="212">
        <f ca="1">IF(L92="BR",'Impostos e Frete'!$F$6,IF(L92="EU",'Impostos e Frete'!$I$3,IF(L92="CN",'Impostos e Frete'!$I$4,IF(L92="JP",'Impostos e Frete'!$I$5,IF(L92="RU",'Impostos e Frete'!$I$7,"ERRO")))))</f>
        <v>0.14176320000000001</v>
      </c>
      <c r="CA92" s="212">
        <f>VLOOKUP(L92,'Impostos e Frete'!$A$3:$B$7,2,0)*'Preços e Condições'!BY92</f>
        <v>1.3652600000000001</v>
      </c>
      <c r="CB92" s="147">
        <f t="shared" si="39"/>
        <v>-0.17699999999999999</v>
      </c>
      <c r="CC92" s="147">
        <f>IF(X92="BRL",'Impostos e Frete'!$B$11,'Impostos e Frete'!$B$12)</f>
        <v>9.1999999999999998E-2</v>
      </c>
      <c r="CD92" s="213">
        <f t="shared" ca="1" si="40"/>
        <v>11.924023200000002</v>
      </c>
      <c r="CE92" s="214">
        <f t="shared" ca="1" si="41"/>
        <v>0.81083357760000008</v>
      </c>
      <c r="CF92" s="215">
        <f>VLOOKUP(L92,'Impostos e Frete'!$A$3:$C$7,3,0)</f>
        <v>105</v>
      </c>
      <c r="CG92" s="215">
        <f t="shared" si="42"/>
        <v>120</v>
      </c>
      <c r="CH92" s="215">
        <f t="shared" si="43"/>
        <v>15</v>
      </c>
      <c r="CI92" s="216">
        <f t="shared" ca="1" si="44"/>
        <v>-8.8436497797280467E-2</v>
      </c>
      <c r="CJ92" s="217">
        <f t="shared" ca="1" si="45"/>
        <v>11.835586702202722</v>
      </c>
      <c r="CK92" s="218">
        <f t="shared" ca="1" si="46"/>
        <v>0.80481989574978507</v>
      </c>
    </row>
    <row r="93" spans="1:89">
      <c r="A93" s="176">
        <v>14139</v>
      </c>
      <c r="B93" s="177">
        <v>689</v>
      </c>
      <c r="C93" s="178">
        <v>68</v>
      </c>
      <c r="D93" s="178">
        <v>1870</v>
      </c>
      <c r="E93" s="178" t="s">
        <v>50</v>
      </c>
      <c r="F93" s="179" t="s">
        <v>2</v>
      </c>
      <c r="G93" s="189" t="s">
        <v>87</v>
      </c>
      <c r="H93" s="178" t="s">
        <v>63</v>
      </c>
      <c r="I93" s="178">
        <v>32166</v>
      </c>
      <c r="J93" s="178"/>
      <c r="K93" s="178"/>
      <c r="L93" s="178" t="s">
        <v>59</v>
      </c>
      <c r="M93" s="178">
        <v>120</v>
      </c>
      <c r="N93" s="178"/>
      <c r="O93" s="178"/>
      <c r="P93" s="178"/>
      <c r="Q93" s="178"/>
      <c r="R93" s="178" t="s">
        <v>126</v>
      </c>
      <c r="S93" s="181"/>
      <c r="T93" s="181"/>
      <c r="U93" s="182"/>
      <c r="V93" s="182" t="s">
        <v>35</v>
      </c>
      <c r="W93" s="183">
        <v>30</v>
      </c>
      <c r="X93" s="182" t="s">
        <v>51</v>
      </c>
      <c r="Y93" s="184">
        <v>2380</v>
      </c>
      <c r="Z93" s="184">
        <v>2380</v>
      </c>
      <c r="AA93" s="184">
        <v>2380</v>
      </c>
      <c r="AB93" s="184">
        <v>2190</v>
      </c>
      <c r="AC93" s="184">
        <v>2190</v>
      </c>
      <c r="AD93" s="184">
        <v>2190</v>
      </c>
      <c r="AE93" s="184">
        <v>1890</v>
      </c>
      <c r="AF93" s="184">
        <v>1890</v>
      </c>
      <c r="AG93" s="184">
        <v>1890</v>
      </c>
      <c r="AH93" s="184">
        <v>1870</v>
      </c>
      <c r="AI93" s="184">
        <v>1870</v>
      </c>
      <c r="AJ93" s="184">
        <v>1870</v>
      </c>
      <c r="AK93" s="184">
        <v>1870</v>
      </c>
      <c r="AL93" s="146">
        <f>40+(AL90+100)</f>
        <v>1940</v>
      </c>
      <c r="AM93" s="146">
        <f>40+(AM90+100)</f>
        <v>1940</v>
      </c>
      <c r="AN93" s="146">
        <f>40+(AN90+100)</f>
        <v>1940</v>
      </c>
      <c r="AO93" s="184">
        <v>1980</v>
      </c>
      <c r="AP93" s="184">
        <v>1980</v>
      </c>
      <c r="AQ93" s="184">
        <v>1980</v>
      </c>
      <c r="AR93" s="184">
        <v>1980</v>
      </c>
      <c r="AS93" s="184">
        <v>1980</v>
      </c>
      <c r="AT93" s="184">
        <v>1980</v>
      </c>
      <c r="AU93" s="184">
        <v>1910</v>
      </c>
      <c r="AV93" s="184">
        <v>1910</v>
      </c>
      <c r="AW93" s="146">
        <f>AW90+100</f>
        <v>1870</v>
      </c>
      <c r="AX93" s="146">
        <f>AX90+100</f>
        <v>1870</v>
      </c>
      <c r="AY93" s="146">
        <f>AY90+100</f>
        <v>1870</v>
      </c>
      <c r="AZ93" s="184">
        <v>1950</v>
      </c>
      <c r="BA93" s="184">
        <v>1950</v>
      </c>
      <c r="BB93" s="184">
        <v>1950</v>
      </c>
      <c r="BC93" s="184">
        <v>1950</v>
      </c>
      <c r="BD93" s="184">
        <v>1950</v>
      </c>
      <c r="BE93" s="184">
        <v>1950</v>
      </c>
      <c r="BF93" s="184">
        <v>1850</v>
      </c>
      <c r="BG93" s="184">
        <v>1850</v>
      </c>
      <c r="BH93" s="184">
        <v>1850</v>
      </c>
      <c r="BI93" s="184">
        <v>1850</v>
      </c>
      <c r="BJ93" s="184">
        <v>1850</v>
      </c>
      <c r="BK93" s="184"/>
      <c r="BL93" s="184"/>
      <c r="BM93" s="184"/>
      <c r="BN93" s="184"/>
      <c r="BO93" s="184">
        <v>1830</v>
      </c>
      <c r="BP93" s="184">
        <v>1830</v>
      </c>
      <c r="BQ93" s="184">
        <v>1830</v>
      </c>
      <c r="BR93" s="184"/>
      <c r="BS93" s="184"/>
      <c r="BT93" s="184"/>
      <c r="BU93" s="146" cm="1">
        <f t="array" ref="BU93">LOOKUP(2,1/(Y93:BT93&lt;&gt;""),Y93:BH93)</f>
        <v>1830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46199</v>
      </c>
      <c r="BW93" s="211" cm="1">
        <f t="array" ref="BW93">(LOOKUP(2,1/(BH93:BT93&lt;&gt;""),BH93:BT93))/(INDEX(BH93:BT93,MATCH(TRUE,INDEX((BH93:BT93&lt;&gt;0),0),0)))-1</f>
        <v>-1.0810810810810811E-2</v>
      </c>
      <c r="BX93" s="212">
        <f t="shared" si="38"/>
        <v>1.83</v>
      </c>
      <c r="BY93" s="212">
        <f t="shared" si="37"/>
        <v>10.797000000000001</v>
      </c>
      <c r="BZ93" s="212">
        <f ca="1">IF(L93="BR",'Impostos e Frete'!$F$6,IF(L93="EU",'Impostos e Frete'!$I$3,IF(L93="CN",'Impostos e Frete'!$I$4,IF(L93="JP",'Impostos e Frete'!$I$5,IF(L93="RU",'Impostos e Frete'!$I$7,"ERRO")))))</f>
        <v>0.14176320000000001</v>
      </c>
      <c r="CA93" s="212">
        <f>VLOOKUP(L93,'Impostos e Frete'!$A$3:$B$7,2,0)*'Preços e Condições'!BY93</f>
        <v>1.40361</v>
      </c>
      <c r="CB93" s="147">
        <f t="shared" si="39"/>
        <v>-0.17699999999999999</v>
      </c>
      <c r="CC93" s="147">
        <f>IF(X93="BRL",'Impostos e Frete'!$B$11,'Impostos e Frete'!$B$12)</f>
        <v>9.1999999999999998E-2</v>
      </c>
      <c r="CD93" s="213">
        <f t="shared" ca="1" si="40"/>
        <v>12.257373200000002</v>
      </c>
      <c r="CE93" s="214">
        <f t="shared" ca="1" si="41"/>
        <v>0.83350137760000009</v>
      </c>
      <c r="CF93" s="215">
        <f>VLOOKUP(L93,'Impostos e Frete'!$A$3:$C$7,3,0)</f>
        <v>105</v>
      </c>
      <c r="CG93" s="215">
        <f t="shared" si="42"/>
        <v>120</v>
      </c>
      <c r="CH93" s="215">
        <f t="shared" si="43"/>
        <v>15</v>
      </c>
      <c r="CI93" s="216">
        <f t="shared" ca="1" si="44"/>
        <v>-9.0908843418070262E-2</v>
      </c>
      <c r="CJ93" s="217">
        <f t="shared" ca="1" si="45"/>
        <v>12.166464356581931</v>
      </c>
      <c r="CK93" s="218">
        <f t="shared" ca="1" si="46"/>
        <v>0.82731957624757124</v>
      </c>
    </row>
    <row r="94" spans="1:89">
      <c r="A94" s="176">
        <v>14120</v>
      </c>
      <c r="B94" s="177">
        <v>483</v>
      </c>
      <c r="C94" s="178">
        <v>68</v>
      </c>
      <c r="D94" s="178">
        <v>1870</v>
      </c>
      <c r="E94" s="178" t="s">
        <v>50</v>
      </c>
      <c r="F94" s="179" t="s">
        <v>2</v>
      </c>
      <c r="G94" s="189" t="s">
        <v>88</v>
      </c>
      <c r="H94" s="178" t="s">
        <v>63</v>
      </c>
      <c r="I94" s="178">
        <v>32165</v>
      </c>
      <c r="J94" s="178"/>
      <c r="K94" s="178"/>
      <c r="L94" s="178" t="s">
        <v>59</v>
      </c>
      <c r="M94" s="178">
        <v>120</v>
      </c>
      <c r="N94" s="178"/>
      <c r="O94" s="178"/>
      <c r="P94" s="178"/>
      <c r="Q94" s="178"/>
      <c r="R94" s="178" t="s">
        <v>126</v>
      </c>
      <c r="S94" s="181"/>
      <c r="T94" s="181"/>
      <c r="U94" s="182"/>
      <c r="V94" s="182" t="s">
        <v>35</v>
      </c>
      <c r="W94" s="183">
        <v>200</v>
      </c>
      <c r="X94" s="182" t="s">
        <v>51</v>
      </c>
      <c r="Y94" s="184">
        <v>2280</v>
      </c>
      <c r="Z94" s="184">
        <v>2280</v>
      </c>
      <c r="AA94" s="184">
        <v>2280</v>
      </c>
      <c r="AB94" s="184">
        <v>2180</v>
      </c>
      <c r="AC94" s="184">
        <v>2180</v>
      </c>
      <c r="AD94" s="184">
        <v>2180</v>
      </c>
      <c r="AE94" s="184">
        <v>1890</v>
      </c>
      <c r="AF94" s="184">
        <v>1890</v>
      </c>
      <c r="AG94" s="184">
        <v>1890</v>
      </c>
      <c r="AH94" s="184">
        <v>1860</v>
      </c>
      <c r="AI94" s="184">
        <v>1860</v>
      </c>
      <c r="AJ94" s="184">
        <v>1860</v>
      </c>
      <c r="AK94" s="184">
        <v>1860</v>
      </c>
      <c r="AL94" s="184">
        <v>1890</v>
      </c>
      <c r="AM94" s="184">
        <v>1890</v>
      </c>
      <c r="AN94" s="184">
        <v>1890</v>
      </c>
      <c r="AO94" s="184">
        <v>1940</v>
      </c>
      <c r="AP94" s="184">
        <v>1940</v>
      </c>
      <c r="AQ94" s="184">
        <v>1940</v>
      </c>
      <c r="AR94" s="184">
        <v>1940</v>
      </c>
      <c r="AS94" s="184">
        <v>1940</v>
      </c>
      <c r="AT94" s="184">
        <v>1940</v>
      </c>
      <c r="AU94" s="184">
        <v>1870</v>
      </c>
      <c r="AV94" s="184">
        <v>1870</v>
      </c>
      <c r="AW94" s="184">
        <v>1830</v>
      </c>
      <c r="AX94" s="184">
        <v>1830</v>
      </c>
      <c r="AY94" s="184">
        <v>1830</v>
      </c>
      <c r="AZ94" s="184">
        <v>1910</v>
      </c>
      <c r="BA94" s="184">
        <v>1910</v>
      </c>
      <c r="BB94" s="184">
        <v>1910</v>
      </c>
      <c r="BC94" s="184">
        <v>1910</v>
      </c>
      <c r="BD94" s="184">
        <v>1910</v>
      </c>
      <c r="BE94" s="184">
        <v>1910</v>
      </c>
      <c r="BF94" s="184">
        <v>1810</v>
      </c>
      <c r="BG94" s="184">
        <v>1810</v>
      </c>
      <c r="BH94" s="184">
        <v>1810</v>
      </c>
      <c r="BI94" s="184">
        <v>1810</v>
      </c>
      <c r="BJ94" s="184">
        <v>1810</v>
      </c>
      <c r="BK94" s="184">
        <v>1810</v>
      </c>
      <c r="BL94" s="184">
        <v>1890</v>
      </c>
      <c r="BM94" s="184">
        <v>1890</v>
      </c>
      <c r="BN94" s="184">
        <v>1770</v>
      </c>
      <c r="BO94" s="184">
        <v>1730</v>
      </c>
      <c r="BP94" s="184">
        <v>1730</v>
      </c>
      <c r="BQ94" s="184">
        <v>1730</v>
      </c>
      <c r="BR94" s="184"/>
      <c r="BS94" s="184"/>
      <c r="BT94" s="184"/>
      <c r="BU94" s="146" cm="1">
        <f t="array" ref="BU94">LOOKUP(2,1/(Y94:BT94&lt;&gt;""),Y94:BH94)</f>
        <v>1730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46199</v>
      </c>
      <c r="BW94" s="211" cm="1">
        <f t="array" ref="BW94">(LOOKUP(2,1/(BH94:BT94&lt;&gt;""),BH94:BT94))/(INDEX(BH94:BT94,MATCH(TRUE,INDEX((BH94:BT94&lt;&gt;0),0),0)))-1</f>
        <v>-4.4198895027624308E-2</v>
      </c>
      <c r="BX94" s="212">
        <f t="shared" si="38"/>
        <v>1.73</v>
      </c>
      <c r="BY94" s="212">
        <f t="shared" si="37"/>
        <v>10.207000000000001</v>
      </c>
      <c r="BZ94" s="212">
        <f ca="1">IF(L94="BR",'Impostos e Frete'!$F$6,IF(L94="EU",'Impostos e Frete'!$I$3,IF(L94="CN",'Impostos e Frete'!$I$4,IF(L94="JP",'Impostos e Frete'!$I$5,IF(L94="RU",'Impostos e Frete'!$I$7,"ERRO")))))</f>
        <v>0.14176320000000001</v>
      </c>
      <c r="CA94" s="212">
        <f>VLOOKUP(L94,'Impostos e Frete'!$A$3:$B$7,2,0)*'Preços e Condições'!BY94</f>
        <v>1.32691</v>
      </c>
      <c r="CB94" s="147">
        <f t="shared" si="39"/>
        <v>-0.17699999999999999</v>
      </c>
      <c r="CC94" s="147">
        <f>IF(X94="BRL",'Impostos e Frete'!$B$11,'Impostos e Frete'!$B$12)</f>
        <v>9.1999999999999998E-2</v>
      </c>
      <c r="CD94" s="213">
        <f t="shared" ca="1" si="40"/>
        <v>11.590673200000001</v>
      </c>
      <c r="CE94" s="214">
        <f t="shared" ca="1" si="41"/>
        <v>0.78816577760000017</v>
      </c>
      <c r="CF94" s="215">
        <f>VLOOKUP(L94,'Impostos e Frete'!$A$3:$C$7,3,0)</f>
        <v>105</v>
      </c>
      <c r="CG94" s="215">
        <f t="shared" si="42"/>
        <v>120</v>
      </c>
      <c r="CH94" s="215">
        <f t="shared" si="43"/>
        <v>15</v>
      </c>
      <c r="CI94" s="216">
        <f t="shared" ca="1" si="44"/>
        <v>-8.5964152176488895E-2</v>
      </c>
      <c r="CJ94" s="217">
        <f t="shared" ca="1" si="45"/>
        <v>11.504709047823512</v>
      </c>
      <c r="CK94" s="218">
        <f t="shared" ca="1" si="46"/>
        <v>0.78232021525199891</v>
      </c>
    </row>
    <row r="95" spans="1:89">
      <c r="A95" s="176">
        <v>14145</v>
      </c>
      <c r="B95" s="177">
        <v>244</v>
      </c>
      <c r="C95" s="178">
        <v>65</v>
      </c>
      <c r="D95" s="178">
        <v>1870</v>
      </c>
      <c r="E95" s="178" t="s">
        <v>50</v>
      </c>
      <c r="F95" s="179" t="s">
        <v>2</v>
      </c>
      <c r="G95" s="189" t="s">
        <v>89</v>
      </c>
      <c r="H95" s="178" t="s">
        <v>42</v>
      </c>
      <c r="I95" s="178">
        <v>32150</v>
      </c>
      <c r="J95" s="178"/>
      <c r="K95" s="178"/>
      <c r="L95" s="178" t="s">
        <v>59</v>
      </c>
      <c r="M95" s="178">
        <v>120</v>
      </c>
      <c r="N95" s="178"/>
      <c r="O95" s="178"/>
      <c r="P95" s="178"/>
      <c r="Q95" s="178"/>
      <c r="R95" s="178" t="s">
        <v>126</v>
      </c>
      <c r="S95" s="181"/>
      <c r="T95" s="181"/>
      <c r="U95" s="182"/>
      <c r="V95" s="182" t="s">
        <v>35</v>
      </c>
      <c r="W95" s="183">
        <v>100</v>
      </c>
      <c r="X95" s="182" t="s">
        <v>51</v>
      </c>
      <c r="Y95" s="184">
        <v>2470</v>
      </c>
      <c r="Z95" s="184">
        <v>2470</v>
      </c>
      <c r="AA95" s="184">
        <v>2470</v>
      </c>
      <c r="AB95" s="184">
        <v>2380</v>
      </c>
      <c r="AC95" s="184">
        <v>2380</v>
      </c>
      <c r="AD95" s="184">
        <v>2380</v>
      </c>
      <c r="AE95" s="184">
        <v>2170</v>
      </c>
      <c r="AF95" s="184">
        <v>2170</v>
      </c>
      <c r="AG95" s="184">
        <v>2170</v>
      </c>
      <c r="AH95" s="184">
        <v>2060</v>
      </c>
      <c r="AI95" s="184">
        <v>2060</v>
      </c>
      <c r="AJ95" s="184">
        <v>2060</v>
      </c>
      <c r="AK95" s="184">
        <v>2060</v>
      </c>
      <c r="AL95" s="184">
        <v>2090</v>
      </c>
      <c r="AM95" s="184">
        <v>2090</v>
      </c>
      <c r="AN95" s="184">
        <v>2090</v>
      </c>
      <c r="AO95" s="184">
        <v>2240</v>
      </c>
      <c r="AP95" s="184">
        <v>2240</v>
      </c>
      <c r="AQ95" s="184">
        <v>2240</v>
      </c>
      <c r="AR95" s="184">
        <v>2240</v>
      </c>
      <c r="AS95" s="184">
        <v>2240</v>
      </c>
      <c r="AT95" s="184">
        <v>2240</v>
      </c>
      <c r="AU95" s="184">
        <v>2170</v>
      </c>
      <c r="AV95" s="184">
        <v>2170</v>
      </c>
      <c r="AW95" s="184">
        <v>2130</v>
      </c>
      <c r="AX95" s="184">
        <v>2130</v>
      </c>
      <c r="AY95" s="184">
        <v>2130</v>
      </c>
      <c r="AZ95" s="184">
        <v>2210</v>
      </c>
      <c r="BA95" s="184">
        <v>2210</v>
      </c>
      <c r="BB95" s="184">
        <v>2210</v>
      </c>
      <c r="BC95" s="184">
        <v>2210</v>
      </c>
      <c r="BD95" s="184">
        <v>2210</v>
      </c>
      <c r="BE95" s="184">
        <v>2210</v>
      </c>
      <c r="BF95" s="184">
        <v>2110</v>
      </c>
      <c r="BG95" s="184">
        <v>2110</v>
      </c>
      <c r="BH95" s="184">
        <v>2110</v>
      </c>
      <c r="BI95" s="184">
        <v>2110</v>
      </c>
      <c r="BJ95" s="184">
        <v>2110</v>
      </c>
      <c r="BK95" s="184">
        <v>2110</v>
      </c>
      <c r="BL95" s="184">
        <v>2190</v>
      </c>
      <c r="BM95" s="184">
        <v>2190</v>
      </c>
      <c r="BN95" s="184">
        <v>2190</v>
      </c>
      <c r="BO95" s="184">
        <v>2270</v>
      </c>
      <c r="BP95" s="184">
        <v>2270</v>
      </c>
      <c r="BQ95" s="184">
        <v>2270</v>
      </c>
      <c r="BR95" s="184"/>
      <c r="BS95" s="184"/>
      <c r="BT95" s="184"/>
      <c r="BU95" s="146" cm="1">
        <f t="array" ref="BU95">LOOKUP(2,1/(Y95:BT95&lt;&gt;""),Y95:BH95)</f>
        <v>2270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46199</v>
      </c>
      <c r="BW95" s="211" cm="1">
        <f t="array" ref="BW95">(LOOKUP(2,1/(BH95:BT95&lt;&gt;""),BH95:BT95))/(INDEX(BH95:BT95,MATCH(TRUE,INDEX((BH95:BT95&lt;&gt;0),0),0)))-1</f>
        <v>7.5829383886255819E-2</v>
      </c>
      <c r="BX95" s="212">
        <f t="shared" si="38"/>
        <v>2.27</v>
      </c>
      <c r="BY95" s="212">
        <f t="shared" si="37"/>
        <v>13.393000000000001</v>
      </c>
      <c r="BZ95" s="212">
        <f ca="1">IF(L95="BR",'Impostos e Frete'!$F$6,IF(L95="EU",'Impostos e Frete'!$I$3,IF(L95="CN",'Impostos e Frete'!$I$4,IF(L95="JP",'Impostos e Frete'!$I$5,IF(L95="RU",'Impostos e Frete'!$I$7,"ERRO")))))</f>
        <v>0.14176320000000001</v>
      </c>
      <c r="CA95" s="212">
        <f>VLOOKUP(L95,'Impostos e Frete'!$A$3:$B$7,2,0)*'Preços e Condições'!BY95</f>
        <v>1.7410900000000002</v>
      </c>
      <c r="CB95" s="147">
        <f t="shared" si="39"/>
        <v>-0.17699999999999999</v>
      </c>
      <c r="CC95" s="147">
        <f>IF(X95="BRL",'Impostos e Frete'!$B$11,'Impostos e Frete'!$B$12)</f>
        <v>9.1999999999999998E-2</v>
      </c>
      <c r="CD95" s="213">
        <f t="shared" ca="1" si="40"/>
        <v>15.190853200000001</v>
      </c>
      <c r="CE95" s="214">
        <f t="shared" ca="1" si="41"/>
        <v>0.98740545800000012</v>
      </c>
      <c r="CF95" s="215">
        <f>VLOOKUP(L95,'Impostos e Frete'!$A$3:$C$7,3,0)</f>
        <v>105</v>
      </c>
      <c r="CG95" s="215">
        <f t="shared" si="42"/>
        <v>120</v>
      </c>
      <c r="CH95" s="215">
        <f t="shared" si="43"/>
        <v>15</v>
      </c>
      <c r="CI95" s="216">
        <f t="shared" ca="1" si="44"/>
        <v>-0.11266548488102579</v>
      </c>
      <c r="CJ95" s="217">
        <f t="shared" ca="1" si="45"/>
        <v>15.078187715118975</v>
      </c>
      <c r="CK95" s="218">
        <f t="shared" ca="1" si="46"/>
        <v>0.9800822014827334</v>
      </c>
    </row>
    <row r="96" spans="1:89">
      <c r="A96" s="176">
        <v>14145</v>
      </c>
      <c r="B96" s="177">
        <v>244</v>
      </c>
      <c r="C96" s="178">
        <v>65</v>
      </c>
      <c r="D96" s="178">
        <v>1870</v>
      </c>
      <c r="E96" s="178" t="s">
        <v>50</v>
      </c>
      <c r="F96" s="179" t="s">
        <v>2</v>
      </c>
      <c r="G96" s="189" t="s">
        <v>89</v>
      </c>
      <c r="H96" s="178" t="s">
        <v>42</v>
      </c>
      <c r="I96" s="178">
        <v>32150</v>
      </c>
      <c r="J96" s="178"/>
      <c r="K96" s="178"/>
      <c r="L96" s="178" t="s">
        <v>59</v>
      </c>
      <c r="M96" s="178">
        <v>120</v>
      </c>
      <c r="N96" s="178"/>
      <c r="O96" s="178"/>
      <c r="P96" s="178"/>
      <c r="Q96" s="178"/>
      <c r="R96" s="178" t="s">
        <v>126</v>
      </c>
      <c r="S96" s="181"/>
      <c r="T96" s="181"/>
      <c r="U96" s="182"/>
      <c r="V96" s="182" t="s">
        <v>35</v>
      </c>
      <c r="W96" s="183">
        <v>70</v>
      </c>
      <c r="X96" s="182" t="s">
        <v>51</v>
      </c>
      <c r="Y96" s="184">
        <v>2490</v>
      </c>
      <c r="Z96" s="184">
        <v>2490</v>
      </c>
      <c r="AA96" s="184">
        <v>2490</v>
      </c>
      <c r="AB96" s="184">
        <v>2400</v>
      </c>
      <c r="AC96" s="184">
        <v>2400</v>
      </c>
      <c r="AD96" s="184">
        <v>2400</v>
      </c>
      <c r="AE96" s="184">
        <v>2190</v>
      </c>
      <c r="AF96" s="184">
        <v>2190</v>
      </c>
      <c r="AG96" s="184">
        <v>2190</v>
      </c>
      <c r="AH96" s="184">
        <v>2080</v>
      </c>
      <c r="AI96" s="184">
        <v>2080</v>
      </c>
      <c r="AJ96" s="184">
        <v>2080</v>
      </c>
      <c r="AK96" s="184">
        <v>2080</v>
      </c>
      <c r="AL96" s="146">
        <f>40+(AL95+20)</f>
        <v>2150</v>
      </c>
      <c r="AM96" s="146">
        <f>40+(AM95+20)</f>
        <v>2150</v>
      </c>
      <c r="AN96" s="146">
        <f>40+(AN95+20)</f>
        <v>2150</v>
      </c>
      <c r="AO96" s="184">
        <v>2260</v>
      </c>
      <c r="AP96" s="184">
        <v>2260</v>
      </c>
      <c r="AQ96" s="184">
        <v>2260</v>
      </c>
      <c r="AR96" s="184">
        <v>2260</v>
      </c>
      <c r="AS96" s="184">
        <v>2260</v>
      </c>
      <c r="AT96" s="184">
        <v>2260</v>
      </c>
      <c r="AU96" s="184">
        <v>2190</v>
      </c>
      <c r="AV96" s="184">
        <v>2190</v>
      </c>
      <c r="AW96" s="146">
        <f>AW95+20</f>
        <v>2150</v>
      </c>
      <c r="AX96" s="146">
        <f>AX95+20</f>
        <v>2150</v>
      </c>
      <c r="AY96" s="146">
        <f>AY95+20</f>
        <v>2150</v>
      </c>
      <c r="AZ96" s="184">
        <v>2230</v>
      </c>
      <c r="BA96" s="184">
        <v>2230</v>
      </c>
      <c r="BB96" s="184">
        <v>2230</v>
      </c>
      <c r="BC96" s="184">
        <v>2230</v>
      </c>
      <c r="BD96" s="184">
        <v>2230</v>
      </c>
      <c r="BE96" s="184">
        <v>2230</v>
      </c>
      <c r="BF96" s="184">
        <v>2130</v>
      </c>
      <c r="BG96" s="184">
        <v>2130</v>
      </c>
      <c r="BH96" s="184">
        <v>2130</v>
      </c>
      <c r="BI96" s="184">
        <v>2130</v>
      </c>
      <c r="BJ96" s="184">
        <v>2130</v>
      </c>
      <c r="BK96" s="184">
        <v>2130</v>
      </c>
      <c r="BL96" s="184">
        <v>2210</v>
      </c>
      <c r="BM96" s="184">
        <v>2210</v>
      </c>
      <c r="BN96" s="184">
        <v>2210</v>
      </c>
      <c r="BO96" s="184">
        <v>2290</v>
      </c>
      <c r="BP96" s="184">
        <v>2290</v>
      </c>
      <c r="BQ96" s="184">
        <v>2290</v>
      </c>
      <c r="BR96" s="184"/>
      <c r="BS96" s="184"/>
      <c r="BT96" s="184"/>
      <c r="BU96" s="146" cm="1">
        <f t="array" ref="BU96">LOOKUP(2,1/(Y96:BT96&lt;&gt;""),Y96:BH96)</f>
        <v>2290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46199</v>
      </c>
      <c r="BW96" s="211" cm="1">
        <f t="array" ref="BW96">(LOOKUP(2,1/(BH96:BT96&lt;&gt;""),BH96:BT96))/(INDEX(BH96:BT96,MATCH(TRUE,INDEX((BH96:BT96&lt;&gt;0),0),0)))-1</f>
        <v>7.5117370892018753E-2</v>
      </c>
      <c r="BX96" s="212">
        <f t="shared" si="38"/>
        <v>2.29</v>
      </c>
      <c r="BY96" s="212">
        <f t="shared" si="37"/>
        <v>13.511000000000001</v>
      </c>
      <c r="BZ96" s="212">
        <f ca="1">IF(L96="BR",'Impostos e Frete'!$F$6,IF(L96="EU",'Impostos e Frete'!$I$3,IF(L96="CN",'Impostos e Frete'!$I$4,IF(L96="JP",'Impostos e Frete'!$I$5,IF(L96="RU",'Impostos e Frete'!$I$7,"ERRO")))))</f>
        <v>0.14176320000000001</v>
      </c>
      <c r="CA96" s="212">
        <f>VLOOKUP(L96,'Impostos e Frete'!$A$3:$B$7,2,0)*'Preços e Condições'!BY96</f>
        <v>1.7564300000000002</v>
      </c>
      <c r="CB96" s="147">
        <f t="shared" si="39"/>
        <v>-0.17699999999999999</v>
      </c>
      <c r="CC96" s="147">
        <f>IF(X96="BRL",'Impostos e Frete'!$B$11,'Impostos e Frete'!$B$12)</f>
        <v>9.1999999999999998E-2</v>
      </c>
      <c r="CD96" s="213">
        <f t="shared" ca="1" si="40"/>
        <v>15.324193200000002</v>
      </c>
      <c r="CE96" s="214">
        <f t="shared" ca="1" si="41"/>
        <v>0.99607255800000005</v>
      </c>
      <c r="CF96" s="215">
        <f>VLOOKUP(L96,'Impostos e Frete'!$A$3:$C$7,3,0)</f>
        <v>105</v>
      </c>
      <c r="CG96" s="215">
        <f t="shared" si="42"/>
        <v>120</v>
      </c>
      <c r="CH96" s="215">
        <f t="shared" si="43"/>
        <v>15</v>
      </c>
      <c r="CI96" s="216">
        <f t="shared" ca="1" si="44"/>
        <v>-0.11365442312934171</v>
      </c>
      <c r="CJ96" s="217">
        <f t="shared" ca="1" si="45"/>
        <v>15.21053877687066</v>
      </c>
      <c r="CK96" s="218">
        <f t="shared" ca="1" si="46"/>
        <v>0.9886850204965929</v>
      </c>
    </row>
    <row r="97" spans="1:89">
      <c r="A97" s="176">
        <v>14145</v>
      </c>
      <c r="B97" s="177">
        <v>244</v>
      </c>
      <c r="C97" s="178">
        <v>65</v>
      </c>
      <c r="D97" s="178">
        <v>1870</v>
      </c>
      <c r="E97" s="178" t="s">
        <v>50</v>
      </c>
      <c r="F97" s="179" t="s">
        <v>2</v>
      </c>
      <c r="G97" s="189" t="s">
        <v>89</v>
      </c>
      <c r="H97" s="178" t="s">
        <v>42</v>
      </c>
      <c r="I97" s="178">
        <v>32150</v>
      </c>
      <c r="J97" s="178"/>
      <c r="K97" s="178"/>
      <c r="L97" s="178" t="s">
        <v>59</v>
      </c>
      <c r="M97" s="178">
        <v>120</v>
      </c>
      <c r="N97" s="178"/>
      <c r="O97" s="178"/>
      <c r="P97" s="178"/>
      <c r="Q97" s="178"/>
      <c r="R97" s="178" t="s">
        <v>126</v>
      </c>
      <c r="S97" s="181"/>
      <c r="T97" s="181"/>
      <c r="U97" s="182"/>
      <c r="V97" s="182" t="s">
        <v>35</v>
      </c>
      <c r="W97" s="183">
        <v>50</v>
      </c>
      <c r="X97" s="182" t="s">
        <v>51</v>
      </c>
      <c r="Y97" s="184">
        <v>2520</v>
      </c>
      <c r="Z97" s="184">
        <v>2520</v>
      </c>
      <c r="AA97" s="184">
        <v>2520</v>
      </c>
      <c r="AB97" s="184">
        <v>2430</v>
      </c>
      <c r="AC97" s="184">
        <v>2430</v>
      </c>
      <c r="AD97" s="184">
        <v>2430</v>
      </c>
      <c r="AE97" s="184">
        <v>2220</v>
      </c>
      <c r="AF97" s="184">
        <v>2220</v>
      </c>
      <c r="AG97" s="184">
        <v>2220</v>
      </c>
      <c r="AH97" s="184">
        <v>2110</v>
      </c>
      <c r="AI97" s="184">
        <v>2110</v>
      </c>
      <c r="AJ97" s="184">
        <v>2110</v>
      </c>
      <c r="AK97" s="184">
        <v>2110</v>
      </c>
      <c r="AL97" s="146">
        <f>40+(AL95+50)</f>
        <v>2180</v>
      </c>
      <c r="AM97" s="146">
        <f>40+(AM95+50)</f>
        <v>2180</v>
      </c>
      <c r="AN97" s="146">
        <f>40+(AN95+50)</f>
        <v>2180</v>
      </c>
      <c r="AO97" s="184">
        <v>2290</v>
      </c>
      <c r="AP97" s="184">
        <v>2290</v>
      </c>
      <c r="AQ97" s="184">
        <v>2290</v>
      </c>
      <c r="AR97" s="184">
        <v>2290</v>
      </c>
      <c r="AS97" s="184">
        <v>2290</v>
      </c>
      <c r="AT97" s="184">
        <v>2290</v>
      </c>
      <c r="AU97" s="184">
        <v>2220</v>
      </c>
      <c r="AV97" s="184">
        <v>2220</v>
      </c>
      <c r="AW97" s="146">
        <f>AW95+50</f>
        <v>2180</v>
      </c>
      <c r="AX97" s="146">
        <f>AX95+50</f>
        <v>2180</v>
      </c>
      <c r="AY97" s="146">
        <f>AY95+50</f>
        <v>2180</v>
      </c>
      <c r="AZ97" s="184">
        <v>2260</v>
      </c>
      <c r="BA97" s="184">
        <v>2260</v>
      </c>
      <c r="BB97" s="184">
        <v>2260</v>
      </c>
      <c r="BC97" s="184">
        <v>2260</v>
      </c>
      <c r="BD97" s="184">
        <v>2260</v>
      </c>
      <c r="BE97" s="184">
        <v>2260</v>
      </c>
      <c r="BF97" s="184">
        <v>2160</v>
      </c>
      <c r="BG97" s="184">
        <v>2160</v>
      </c>
      <c r="BH97" s="184">
        <v>2160</v>
      </c>
      <c r="BI97" s="184">
        <v>2160</v>
      </c>
      <c r="BJ97" s="184">
        <v>2160</v>
      </c>
      <c r="BK97" s="184">
        <v>2160</v>
      </c>
      <c r="BL97" s="184">
        <v>2240</v>
      </c>
      <c r="BM97" s="184">
        <v>2240</v>
      </c>
      <c r="BN97" s="184">
        <v>2240</v>
      </c>
      <c r="BO97" s="184">
        <v>2320</v>
      </c>
      <c r="BP97" s="184">
        <v>2320</v>
      </c>
      <c r="BQ97" s="184">
        <v>2320</v>
      </c>
      <c r="BR97" s="184"/>
      <c r="BS97" s="184"/>
      <c r="BT97" s="184"/>
      <c r="BU97" s="146" cm="1">
        <f t="array" ref="BU97">LOOKUP(2,1/(Y97:BT97&lt;&gt;""),Y97:BH97)</f>
        <v>2320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46199</v>
      </c>
      <c r="BW97" s="211" cm="1">
        <f t="array" ref="BW97">(LOOKUP(2,1/(BH97:BT97&lt;&gt;""),BH97:BT97))/(INDEX(BH97:BT97,MATCH(TRUE,INDEX((BH97:BT97&lt;&gt;0),0),0)))-1</f>
        <v>7.4074074074074181E-2</v>
      </c>
      <c r="BX97" s="212">
        <f t="shared" si="38"/>
        <v>2.3199999999999998</v>
      </c>
      <c r="BY97" s="212">
        <f t="shared" si="37"/>
        <v>13.688000000000001</v>
      </c>
      <c r="BZ97" s="212">
        <f ca="1">IF(L97="BR",'Impostos e Frete'!$F$6,IF(L97="EU",'Impostos e Frete'!$I$3,IF(L97="CN",'Impostos e Frete'!$I$4,IF(L97="JP",'Impostos e Frete'!$I$5,IF(L97="RU",'Impostos e Frete'!$I$7,"ERRO")))))</f>
        <v>0.14176320000000001</v>
      </c>
      <c r="CA97" s="212">
        <f>VLOOKUP(L97,'Impostos e Frete'!$A$3:$B$7,2,0)*'Preços e Condições'!BY97</f>
        <v>1.7794400000000001</v>
      </c>
      <c r="CB97" s="147">
        <f t="shared" si="39"/>
        <v>-0.17699999999999999</v>
      </c>
      <c r="CC97" s="147">
        <f>IF(X97="BRL",'Impostos e Frete'!$B$11,'Impostos e Frete'!$B$12)</f>
        <v>9.1999999999999998E-2</v>
      </c>
      <c r="CD97" s="213">
        <f t="shared" ca="1" si="40"/>
        <v>15.524203200000001</v>
      </c>
      <c r="CE97" s="214">
        <f t="shared" ca="1" si="41"/>
        <v>1.009073208</v>
      </c>
      <c r="CF97" s="215">
        <f>VLOOKUP(L97,'Impostos e Frete'!$A$3:$C$7,3,0)</f>
        <v>105</v>
      </c>
      <c r="CG97" s="215">
        <f t="shared" si="42"/>
        <v>120</v>
      </c>
      <c r="CH97" s="215">
        <f t="shared" si="43"/>
        <v>15</v>
      </c>
      <c r="CI97" s="216">
        <f t="shared" ca="1" si="44"/>
        <v>-0.11513783050181559</v>
      </c>
      <c r="CJ97" s="217">
        <f t="shared" ca="1" si="45"/>
        <v>15.409065369498185</v>
      </c>
      <c r="CK97" s="218">
        <f t="shared" ca="1" si="46"/>
        <v>1.0015892490173821</v>
      </c>
    </row>
    <row r="98" spans="1:89">
      <c r="A98" s="176">
        <v>14145</v>
      </c>
      <c r="B98" s="177">
        <v>244</v>
      </c>
      <c r="C98" s="178">
        <v>65</v>
      </c>
      <c r="D98" s="178">
        <v>1870</v>
      </c>
      <c r="E98" s="178" t="s">
        <v>50</v>
      </c>
      <c r="F98" s="179" t="s">
        <v>2</v>
      </c>
      <c r="G98" s="189" t="s">
        <v>89</v>
      </c>
      <c r="H98" s="178" t="s">
        <v>42</v>
      </c>
      <c r="I98" s="178">
        <v>32150</v>
      </c>
      <c r="J98" s="178"/>
      <c r="K98" s="178"/>
      <c r="L98" s="178" t="s">
        <v>59</v>
      </c>
      <c r="M98" s="178">
        <v>120</v>
      </c>
      <c r="N98" s="178"/>
      <c r="O98" s="178"/>
      <c r="P98" s="178"/>
      <c r="Q98" s="178"/>
      <c r="R98" s="178" t="s">
        <v>126</v>
      </c>
      <c r="S98" s="181"/>
      <c r="T98" s="181"/>
      <c r="U98" s="182"/>
      <c r="V98" s="182" t="s">
        <v>35</v>
      </c>
      <c r="W98" s="183">
        <v>30</v>
      </c>
      <c r="X98" s="182" t="s">
        <v>51</v>
      </c>
      <c r="Y98" s="184">
        <v>2570</v>
      </c>
      <c r="Z98" s="184">
        <v>2570</v>
      </c>
      <c r="AA98" s="184">
        <v>2570</v>
      </c>
      <c r="AB98" s="184">
        <v>2480</v>
      </c>
      <c r="AC98" s="184">
        <v>2480</v>
      </c>
      <c r="AD98" s="184">
        <v>2480</v>
      </c>
      <c r="AE98" s="184">
        <v>2270</v>
      </c>
      <c r="AF98" s="184">
        <v>2270</v>
      </c>
      <c r="AG98" s="184">
        <v>2270</v>
      </c>
      <c r="AH98" s="184">
        <v>2160</v>
      </c>
      <c r="AI98" s="184">
        <v>2160</v>
      </c>
      <c r="AJ98" s="184">
        <v>2160</v>
      </c>
      <c r="AK98" s="184">
        <v>2160</v>
      </c>
      <c r="AL98" s="146">
        <f>40+(AL95+100)</f>
        <v>2230</v>
      </c>
      <c r="AM98" s="146">
        <f>40+(AM95+100)</f>
        <v>2230</v>
      </c>
      <c r="AN98" s="146">
        <f>40+(AN95+100)</f>
        <v>2230</v>
      </c>
      <c r="AO98" s="184">
        <v>2340</v>
      </c>
      <c r="AP98" s="184">
        <v>2340</v>
      </c>
      <c r="AQ98" s="184">
        <v>2340</v>
      </c>
      <c r="AR98" s="184">
        <v>2340</v>
      </c>
      <c r="AS98" s="184">
        <v>2340</v>
      </c>
      <c r="AT98" s="184">
        <v>2340</v>
      </c>
      <c r="AU98" s="184">
        <v>2270</v>
      </c>
      <c r="AV98" s="184">
        <v>2270</v>
      </c>
      <c r="AW98" s="146">
        <f>AW95+100</f>
        <v>2230</v>
      </c>
      <c r="AX98" s="146">
        <f>AX95+100</f>
        <v>2230</v>
      </c>
      <c r="AY98" s="146">
        <f>AY95+100</f>
        <v>2230</v>
      </c>
      <c r="AZ98" s="184">
        <v>2310</v>
      </c>
      <c r="BA98" s="184">
        <v>2310</v>
      </c>
      <c r="BB98" s="184">
        <v>2310</v>
      </c>
      <c r="BC98" s="184">
        <v>2310</v>
      </c>
      <c r="BD98" s="184">
        <v>2310</v>
      </c>
      <c r="BE98" s="184">
        <v>2310</v>
      </c>
      <c r="BF98" s="184">
        <v>2210</v>
      </c>
      <c r="BG98" s="184">
        <v>2210</v>
      </c>
      <c r="BH98" s="184">
        <v>2210</v>
      </c>
      <c r="BI98" s="184">
        <v>2210</v>
      </c>
      <c r="BJ98" s="184">
        <v>2210</v>
      </c>
      <c r="BK98" s="184">
        <v>2210</v>
      </c>
      <c r="BL98" s="184">
        <v>2290</v>
      </c>
      <c r="BM98" s="184">
        <v>2290</v>
      </c>
      <c r="BN98" s="184">
        <v>2290</v>
      </c>
      <c r="BO98" s="184">
        <v>2370</v>
      </c>
      <c r="BP98" s="184">
        <v>2370</v>
      </c>
      <c r="BQ98" s="184">
        <v>2370</v>
      </c>
      <c r="BR98" s="184"/>
      <c r="BS98" s="184"/>
      <c r="BT98" s="184"/>
      <c r="BU98" s="146" cm="1">
        <f t="array" ref="BU98">LOOKUP(2,1/(Y98:BT98&lt;&gt;""),Y98:BH98)</f>
        <v>2370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46199</v>
      </c>
      <c r="BW98" s="211" cm="1">
        <f t="array" ref="BW98">(LOOKUP(2,1/(BH98:BT98&lt;&gt;""),BH98:BT98))/(INDEX(BH98:BT98,MATCH(TRUE,INDEX((BH98:BT98&lt;&gt;0),0),0)))-1</f>
        <v>7.2398190045248834E-2</v>
      </c>
      <c r="BX98" s="212">
        <f t="shared" si="38"/>
        <v>2.37</v>
      </c>
      <c r="BY98" s="212">
        <f t="shared" si="37"/>
        <v>13.983000000000002</v>
      </c>
      <c r="BZ98" s="212">
        <f ca="1">IF(L98="BR",'Impostos e Frete'!$F$6,IF(L98="EU",'Impostos e Frete'!$I$3,IF(L98="CN",'Impostos e Frete'!$I$4,IF(L98="JP",'Impostos e Frete'!$I$5,IF(L98="RU",'Impostos e Frete'!$I$7,"ERRO")))))</f>
        <v>0.14176320000000001</v>
      </c>
      <c r="CA98" s="212">
        <f>VLOOKUP(L98,'Impostos e Frete'!$A$3:$B$7,2,0)*'Preços e Condições'!BY98</f>
        <v>1.8177900000000005</v>
      </c>
      <c r="CB98" s="147">
        <f t="shared" si="39"/>
        <v>-0.17699999999999999</v>
      </c>
      <c r="CC98" s="147">
        <f>IF(X98="BRL",'Impostos e Frete'!$B$11,'Impostos e Frete'!$B$12)</f>
        <v>9.1999999999999998E-2</v>
      </c>
      <c r="CD98" s="213">
        <f t="shared" ca="1" si="40"/>
        <v>15.857553200000003</v>
      </c>
      <c r="CE98" s="214">
        <f t="shared" ca="1" si="41"/>
        <v>1.0307409580000002</v>
      </c>
      <c r="CF98" s="215">
        <f>VLOOKUP(L98,'Impostos e Frete'!$A$3:$C$7,3,0)</f>
        <v>105</v>
      </c>
      <c r="CG98" s="215">
        <f t="shared" si="42"/>
        <v>120</v>
      </c>
      <c r="CH98" s="215">
        <f t="shared" si="43"/>
        <v>15</v>
      </c>
      <c r="CI98" s="216">
        <f t="shared" ca="1" si="44"/>
        <v>-0.11761017612260716</v>
      </c>
      <c r="CJ98" s="217">
        <f t="shared" ca="1" si="45"/>
        <v>15.739943023877396</v>
      </c>
      <c r="CK98" s="218">
        <f t="shared" ca="1" si="46"/>
        <v>1.0230962965520307</v>
      </c>
    </row>
    <row r="99" spans="1:89">
      <c r="A99" s="176">
        <v>14144</v>
      </c>
      <c r="B99" s="177">
        <v>248</v>
      </c>
      <c r="C99" s="178">
        <v>65</v>
      </c>
      <c r="D99" s="178">
        <v>1870</v>
      </c>
      <c r="E99" s="178" t="s">
        <v>50</v>
      </c>
      <c r="F99" s="179" t="s">
        <v>2</v>
      </c>
      <c r="G99" s="189" t="s">
        <v>90</v>
      </c>
      <c r="H99" s="178" t="s">
        <v>63</v>
      </c>
      <c r="I99" s="178">
        <v>32153</v>
      </c>
      <c r="J99" s="178"/>
      <c r="K99" s="178"/>
      <c r="L99" s="178" t="s">
        <v>59</v>
      </c>
      <c r="M99" s="178">
        <v>120</v>
      </c>
      <c r="N99" s="178"/>
      <c r="O99" s="178"/>
      <c r="P99" s="178"/>
      <c r="Q99" s="178"/>
      <c r="R99" s="178" t="s">
        <v>126</v>
      </c>
      <c r="S99" s="181"/>
      <c r="T99" s="181"/>
      <c r="U99" s="182"/>
      <c r="V99" s="182" t="s">
        <v>35</v>
      </c>
      <c r="W99" s="183">
        <v>100</v>
      </c>
      <c r="X99" s="182" t="s">
        <v>51</v>
      </c>
      <c r="Y99" s="184">
        <v>2740</v>
      </c>
      <c r="Z99" s="184">
        <v>2740</v>
      </c>
      <c r="AA99" s="184">
        <v>2740</v>
      </c>
      <c r="AB99" s="184">
        <v>2650</v>
      </c>
      <c r="AC99" s="184">
        <v>2650</v>
      </c>
      <c r="AD99" s="184">
        <v>2650</v>
      </c>
      <c r="AE99" s="184">
        <v>2440</v>
      </c>
      <c r="AF99" s="184">
        <v>2440</v>
      </c>
      <c r="AG99" s="184">
        <v>2440</v>
      </c>
      <c r="AH99" s="184">
        <v>2330</v>
      </c>
      <c r="AI99" s="184">
        <v>2330</v>
      </c>
      <c r="AJ99" s="184">
        <v>2330</v>
      </c>
      <c r="AK99" s="184">
        <v>2330</v>
      </c>
      <c r="AL99" s="184">
        <v>2360</v>
      </c>
      <c r="AM99" s="184">
        <v>2360</v>
      </c>
      <c r="AN99" s="184">
        <v>2360</v>
      </c>
      <c r="AO99" s="184">
        <v>2380</v>
      </c>
      <c r="AP99" s="184">
        <v>2380</v>
      </c>
      <c r="AQ99" s="184">
        <v>2380</v>
      </c>
      <c r="AR99" s="184">
        <v>2380</v>
      </c>
      <c r="AS99" s="184">
        <v>2380</v>
      </c>
      <c r="AT99" s="184">
        <v>2380</v>
      </c>
      <c r="AU99" s="184">
        <v>2330</v>
      </c>
      <c r="AV99" s="184">
        <v>2330</v>
      </c>
      <c r="AW99" s="184">
        <v>2290</v>
      </c>
      <c r="AX99" s="184">
        <v>2290</v>
      </c>
      <c r="AY99" s="184">
        <v>2290</v>
      </c>
      <c r="AZ99" s="184">
        <v>2370</v>
      </c>
      <c r="BA99" s="184">
        <v>2370</v>
      </c>
      <c r="BB99" s="184">
        <v>2370</v>
      </c>
      <c r="BC99" s="184">
        <v>2370</v>
      </c>
      <c r="BD99" s="184">
        <v>2370</v>
      </c>
      <c r="BE99" s="184">
        <v>2370</v>
      </c>
      <c r="BF99" s="184">
        <v>2270</v>
      </c>
      <c r="BG99" s="184">
        <v>2270</v>
      </c>
      <c r="BH99" s="184">
        <v>2270</v>
      </c>
      <c r="BI99" s="184">
        <v>2270</v>
      </c>
      <c r="BJ99" s="184">
        <v>2270</v>
      </c>
      <c r="BK99" s="184">
        <v>2270</v>
      </c>
      <c r="BL99" s="184">
        <v>2350</v>
      </c>
      <c r="BM99" s="184">
        <v>2350</v>
      </c>
      <c r="BN99" s="184">
        <v>2350</v>
      </c>
      <c r="BO99" s="184"/>
      <c r="BP99" s="184"/>
      <c r="BQ99" s="184"/>
      <c r="BR99" s="184"/>
      <c r="BS99" s="184"/>
      <c r="BT99" s="184"/>
      <c r="BU99" s="146" cm="1">
        <f t="array" ref="BU99">LOOKUP(2,1/(Y99:BT99&lt;&gt;""),Y99:BH99)</f>
        <v>2350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46174</v>
      </c>
      <c r="BW99" s="211" cm="1">
        <f t="array" ref="BW99">(LOOKUP(2,1/(BH99:BT99&lt;&gt;""),BH99:BT99))/(INDEX(BH99:BT99,MATCH(TRUE,INDEX((BH99:BT99&lt;&gt;0),0),0)))-1</f>
        <v>3.524229074889873E-2</v>
      </c>
      <c r="BX99" s="212">
        <f t="shared" si="38"/>
        <v>2.35</v>
      </c>
      <c r="BY99" s="212">
        <f t="shared" si="37"/>
        <v>13.865000000000002</v>
      </c>
      <c r="BZ99" s="212">
        <f ca="1">IF(L99="BR",'Impostos e Frete'!$F$6,IF(L99="EU",'Impostos e Frete'!$I$3,IF(L99="CN",'Impostos e Frete'!$I$4,IF(L99="JP",'Impostos e Frete'!$I$5,IF(L99="RU",'Impostos e Frete'!$I$7,"ERRO")))))</f>
        <v>0.14176320000000001</v>
      </c>
      <c r="CA99" s="212">
        <f>VLOOKUP(L99,'Impostos e Frete'!$A$3:$B$7,2,0)*'Preços e Condições'!BY99</f>
        <v>1.8024500000000003</v>
      </c>
      <c r="CB99" s="147">
        <f t="shared" si="39"/>
        <v>-0.17699999999999999</v>
      </c>
      <c r="CC99" s="147">
        <f>IF(X99="BRL",'Impostos e Frete'!$B$11,'Impostos e Frete'!$B$12)</f>
        <v>9.1999999999999998E-2</v>
      </c>
      <c r="CD99" s="213">
        <f t="shared" ca="1" si="40"/>
        <v>15.724213200000003</v>
      </c>
      <c r="CE99" s="214">
        <f t="shared" ca="1" si="41"/>
        <v>1.0220738580000002</v>
      </c>
      <c r="CF99" s="215">
        <f>VLOOKUP(L99,'Impostos e Frete'!$A$3:$C$7,3,0)</f>
        <v>105</v>
      </c>
      <c r="CG99" s="215">
        <f t="shared" si="42"/>
        <v>120</v>
      </c>
      <c r="CH99" s="215">
        <f t="shared" si="43"/>
        <v>15</v>
      </c>
      <c r="CI99" s="216">
        <f t="shared" ca="1" si="44"/>
        <v>-0.11662123787429124</v>
      </c>
      <c r="CJ99" s="217">
        <f t="shared" ca="1" si="45"/>
        <v>15.607591962125712</v>
      </c>
      <c r="CK99" s="218">
        <f t="shared" ca="1" si="46"/>
        <v>1.0144934775381713</v>
      </c>
    </row>
    <row r="100" spans="1:89">
      <c r="A100" s="176">
        <v>14144</v>
      </c>
      <c r="B100" s="177">
        <v>248</v>
      </c>
      <c r="C100" s="178">
        <v>65</v>
      </c>
      <c r="D100" s="178">
        <v>1870</v>
      </c>
      <c r="E100" s="178" t="s">
        <v>50</v>
      </c>
      <c r="F100" s="179" t="s">
        <v>2</v>
      </c>
      <c r="G100" s="189" t="s">
        <v>90</v>
      </c>
      <c r="H100" s="178" t="s">
        <v>63</v>
      </c>
      <c r="I100" s="178">
        <v>32153</v>
      </c>
      <c r="J100" s="178"/>
      <c r="K100" s="178"/>
      <c r="L100" s="178" t="s">
        <v>59</v>
      </c>
      <c r="M100" s="178">
        <v>120</v>
      </c>
      <c r="N100" s="178"/>
      <c r="O100" s="178"/>
      <c r="P100" s="178"/>
      <c r="Q100" s="178"/>
      <c r="R100" s="178" t="s">
        <v>126</v>
      </c>
      <c r="S100" s="181"/>
      <c r="T100" s="181"/>
      <c r="U100" s="182"/>
      <c r="V100" s="182" t="s">
        <v>35</v>
      </c>
      <c r="W100" s="183">
        <v>70</v>
      </c>
      <c r="X100" s="182" t="s">
        <v>51</v>
      </c>
      <c r="Y100" s="184">
        <v>2760</v>
      </c>
      <c r="Z100" s="184">
        <v>2760</v>
      </c>
      <c r="AA100" s="184">
        <v>2760</v>
      </c>
      <c r="AB100" s="184">
        <v>2670</v>
      </c>
      <c r="AC100" s="184">
        <v>2670</v>
      </c>
      <c r="AD100" s="184">
        <v>2670</v>
      </c>
      <c r="AE100" s="184">
        <v>2460</v>
      </c>
      <c r="AF100" s="184">
        <v>2460</v>
      </c>
      <c r="AG100" s="184">
        <v>2460</v>
      </c>
      <c r="AH100" s="184">
        <v>2350</v>
      </c>
      <c r="AI100" s="184">
        <v>2350</v>
      </c>
      <c r="AJ100" s="184">
        <v>2350</v>
      </c>
      <c r="AK100" s="184">
        <v>2350</v>
      </c>
      <c r="AL100" s="146">
        <f>40+(AL99+20)</f>
        <v>2420</v>
      </c>
      <c r="AM100" s="146">
        <f>40+(AM99+20)</f>
        <v>2420</v>
      </c>
      <c r="AN100" s="146">
        <f>40+(AN99+20)</f>
        <v>2420</v>
      </c>
      <c r="AO100" s="184">
        <v>2400</v>
      </c>
      <c r="AP100" s="184">
        <v>2400</v>
      </c>
      <c r="AQ100" s="184">
        <v>2400</v>
      </c>
      <c r="AR100" s="184">
        <v>2400</v>
      </c>
      <c r="AS100" s="184">
        <v>2400</v>
      </c>
      <c r="AT100" s="184">
        <v>2400</v>
      </c>
      <c r="AU100" s="184">
        <v>2350</v>
      </c>
      <c r="AV100" s="184">
        <v>2350</v>
      </c>
      <c r="AW100" s="146">
        <f>AW99+20</f>
        <v>2310</v>
      </c>
      <c r="AX100" s="146">
        <f>AX99+20</f>
        <v>2310</v>
      </c>
      <c r="AY100" s="146">
        <f>AY99+20</f>
        <v>2310</v>
      </c>
      <c r="AZ100" s="184">
        <v>2390</v>
      </c>
      <c r="BA100" s="184">
        <v>2390</v>
      </c>
      <c r="BB100" s="184">
        <v>2390</v>
      </c>
      <c r="BC100" s="184">
        <v>2390</v>
      </c>
      <c r="BD100" s="184">
        <v>2390</v>
      </c>
      <c r="BE100" s="184">
        <v>2390</v>
      </c>
      <c r="BF100" s="184">
        <v>2290</v>
      </c>
      <c r="BG100" s="184">
        <v>2290</v>
      </c>
      <c r="BH100" s="184">
        <v>2290</v>
      </c>
      <c r="BI100" s="184">
        <v>2290</v>
      </c>
      <c r="BJ100" s="184">
        <v>2290</v>
      </c>
      <c r="BK100" s="184">
        <v>2290</v>
      </c>
      <c r="BL100" s="184">
        <v>2370</v>
      </c>
      <c r="BM100" s="184">
        <v>2370</v>
      </c>
      <c r="BN100" s="184">
        <v>2370</v>
      </c>
      <c r="BO100" s="184"/>
      <c r="BP100" s="184"/>
      <c r="BQ100" s="184"/>
      <c r="BR100" s="184"/>
      <c r="BS100" s="184"/>
      <c r="BT100" s="184"/>
      <c r="BU100" s="146" cm="1">
        <f t="array" ref="BU100">LOOKUP(2,1/(Y100:BT100&lt;&gt;""),Y100:BH100)</f>
        <v>2370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46174</v>
      </c>
      <c r="BW100" s="211" cm="1">
        <f t="array" ref="BW100">(LOOKUP(2,1/(BH100:BT100&lt;&gt;""),BH100:BT100))/(INDEX(BH100:BT100,MATCH(TRUE,INDEX((BH100:BT100&lt;&gt;0),0),0)))-1</f>
        <v>3.4934497816593968E-2</v>
      </c>
      <c r="BX100" s="212">
        <f t="shared" si="38"/>
        <v>2.37</v>
      </c>
      <c r="BY100" s="212">
        <f t="shared" si="37"/>
        <v>13.983000000000002</v>
      </c>
      <c r="BZ100" s="212">
        <f ca="1">IF(L100="BR",'Impostos e Frete'!$F$6,IF(L100="EU",'Impostos e Frete'!$I$3,IF(L100="CN",'Impostos e Frete'!$I$4,IF(L100="JP",'Impostos e Frete'!$I$5,IF(L100="RU",'Impostos e Frete'!$I$7,"ERRO")))))</f>
        <v>0.14176320000000001</v>
      </c>
      <c r="CA100" s="212">
        <f>VLOOKUP(L100,'Impostos e Frete'!$A$3:$B$7,2,0)*'Preços e Condições'!BY100</f>
        <v>1.8177900000000005</v>
      </c>
      <c r="CB100" s="147">
        <f t="shared" si="39"/>
        <v>-0.17699999999999999</v>
      </c>
      <c r="CC100" s="147">
        <f>IF(X100="BRL",'Impostos e Frete'!$B$11,'Impostos e Frete'!$B$12)</f>
        <v>9.1999999999999998E-2</v>
      </c>
      <c r="CD100" s="213">
        <f t="shared" ca="1" si="40"/>
        <v>15.857553200000003</v>
      </c>
      <c r="CE100" s="214">
        <f t="shared" ca="1" si="41"/>
        <v>1.0307409580000002</v>
      </c>
      <c r="CF100" s="215">
        <f>VLOOKUP(L100,'Impostos e Frete'!$A$3:$C$7,3,0)</f>
        <v>105</v>
      </c>
      <c r="CG100" s="215">
        <f t="shared" si="42"/>
        <v>120</v>
      </c>
      <c r="CH100" s="215">
        <f t="shared" si="43"/>
        <v>15</v>
      </c>
      <c r="CI100" s="216">
        <f t="shared" ca="1" si="44"/>
        <v>-0.11761017612260716</v>
      </c>
      <c r="CJ100" s="217">
        <f t="shared" ca="1" si="45"/>
        <v>15.739943023877396</v>
      </c>
      <c r="CK100" s="218">
        <f t="shared" ca="1" si="46"/>
        <v>1.0230962965520307</v>
      </c>
    </row>
    <row r="101" spans="1:89">
      <c r="A101" s="176">
        <v>14144</v>
      </c>
      <c r="B101" s="177">
        <v>248</v>
      </c>
      <c r="C101" s="178">
        <v>65</v>
      </c>
      <c r="D101" s="178">
        <v>1870</v>
      </c>
      <c r="E101" s="178" t="s">
        <v>50</v>
      </c>
      <c r="F101" s="179" t="s">
        <v>2</v>
      </c>
      <c r="G101" s="189" t="s">
        <v>90</v>
      </c>
      <c r="H101" s="178" t="s">
        <v>63</v>
      </c>
      <c r="I101" s="178">
        <v>32153</v>
      </c>
      <c r="J101" s="178"/>
      <c r="K101" s="178"/>
      <c r="L101" s="178" t="s">
        <v>59</v>
      </c>
      <c r="M101" s="178">
        <v>120</v>
      </c>
      <c r="N101" s="178"/>
      <c r="O101" s="178"/>
      <c r="P101" s="178"/>
      <c r="Q101" s="178"/>
      <c r="R101" s="178" t="s">
        <v>126</v>
      </c>
      <c r="S101" s="181"/>
      <c r="T101" s="181"/>
      <c r="U101" s="182"/>
      <c r="V101" s="182" t="s">
        <v>35</v>
      </c>
      <c r="W101" s="183">
        <v>50</v>
      </c>
      <c r="X101" s="182" t="s">
        <v>51</v>
      </c>
      <c r="Y101" s="184">
        <v>2790</v>
      </c>
      <c r="Z101" s="184">
        <v>2790</v>
      </c>
      <c r="AA101" s="184">
        <v>2790</v>
      </c>
      <c r="AB101" s="184">
        <v>2700</v>
      </c>
      <c r="AC101" s="184">
        <v>2700</v>
      </c>
      <c r="AD101" s="184">
        <v>2700</v>
      </c>
      <c r="AE101" s="184">
        <v>2490</v>
      </c>
      <c r="AF101" s="184">
        <v>2490</v>
      </c>
      <c r="AG101" s="184">
        <v>2490</v>
      </c>
      <c r="AH101" s="184">
        <v>2380</v>
      </c>
      <c r="AI101" s="184">
        <v>2380</v>
      </c>
      <c r="AJ101" s="184">
        <v>2380</v>
      </c>
      <c r="AK101" s="184">
        <v>2380</v>
      </c>
      <c r="AL101" s="146">
        <f>40+(AL99+50)</f>
        <v>2450</v>
      </c>
      <c r="AM101" s="146">
        <f>40+(AM99+50)</f>
        <v>2450</v>
      </c>
      <c r="AN101" s="146">
        <f>40+(AN99+50)</f>
        <v>2450</v>
      </c>
      <c r="AO101" s="184">
        <v>2430</v>
      </c>
      <c r="AP101" s="184">
        <v>2430</v>
      </c>
      <c r="AQ101" s="184">
        <v>2430</v>
      </c>
      <c r="AR101" s="184">
        <v>2430</v>
      </c>
      <c r="AS101" s="184">
        <v>2430</v>
      </c>
      <c r="AT101" s="184">
        <v>2430</v>
      </c>
      <c r="AU101" s="184">
        <v>2380</v>
      </c>
      <c r="AV101" s="184">
        <v>2380</v>
      </c>
      <c r="AW101" s="146">
        <f>AW99+50</f>
        <v>2340</v>
      </c>
      <c r="AX101" s="146">
        <f>AX99+50</f>
        <v>2340</v>
      </c>
      <c r="AY101" s="146">
        <f>AY99+50</f>
        <v>2340</v>
      </c>
      <c r="AZ101" s="184">
        <v>2420</v>
      </c>
      <c r="BA101" s="184">
        <v>2420</v>
      </c>
      <c r="BB101" s="184">
        <v>2420</v>
      </c>
      <c r="BC101" s="184">
        <v>2420</v>
      </c>
      <c r="BD101" s="184">
        <v>2420</v>
      </c>
      <c r="BE101" s="184">
        <v>2420</v>
      </c>
      <c r="BF101" s="184">
        <v>2320</v>
      </c>
      <c r="BG101" s="184">
        <v>2320</v>
      </c>
      <c r="BH101" s="184">
        <v>2320</v>
      </c>
      <c r="BI101" s="184">
        <v>2320</v>
      </c>
      <c r="BJ101" s="184">
        <v>2320</v>
      </c>
      <c r="BK101" s="184">
        <v>2320</v>
      </c>
      <c r="BL101" s="184">
        <v>2400</v>
      </c>
      <c r="BM101" s="184">
        <v>2400</v>
      </c>
      <c r="BN101" s="184">
        <v>2400</v>
      </c>
      <c r="BO101" s="184"/>
      <c r="BP101" s="184"/>
      <c r="BQ101" s="184"/>
      <c r="BR101" s="184"/>
      <c r="BS101" s="184"/>
      <c r="BT101" s="184"/>
      <c r="BU101" s="146" cm="1">
        <f t="array" ref="BU101">LOOKUP(2,1/(Y101:BT101&lt;&gt;""),Y101:BH101)</f>
        <v>2400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46174</v>
      </c>
      <c r="BW101" s="211" cm="1">
        <f t="array" ref="BW101">(LOOKUP(2,1/(BH101:BT101&lt;&gt;""),BH101:BT101))/(INDEX(BH101:BT101,MATCH(TRUE,INDEX((BH101:BT101&lt;&gt;0),0),0)))-1</f>
        <v>3.4482758620689724E-2</v>
      </c>
      <c r="BX101" s="212">
        <f t="shared" si="38"/>
        <v>2.4</v>
      </c>
      <c r="BY101" s="212">
        <f t="shared" si="37"/>
        <v>14.16</v>
      </c>
      <c r="BZ101" s="212">
        <f ca="1">IF(L101="BR",'Impostos e Frete'!$F$6,IF(L101="EU",'Impostos e Frete'!$I$3,IF(L101="CN",'Impostos e Frete'!$I$4,IF(L101="JP",'Impostos e Frete'!$I$5,IF(L101="RU",'Impostos e Frete'!$I$7,"ERRO")))))</f>
        <v>0.14176320000000001</v>
      </c>
      <c r="CA101" s="212">
        <f>VLOOKUP(L101,'Impostos e Frete'!$A$3:$B$7,2,0)*'Preços e Condições'!BY101</f>
        <v>1.8408</v>
      </c>
      <c r="CB101" s="147">
        <f t="shared" si="39"/>
        <v>-0.17699999999999999</v>
      </c>
      <c r="CC101" s="147">
        <f>IF(X101="BRL",'Impostos e Frete'!$B$11,'Impostos e Frete'!$B$12)</f>
        <v>9.1999999999999998E-2</v>
      </c>
      <c r="CD101" s="213">
        <f t="shared" ca="1" si="40"/>
        <v>16.057563200000001</v>
      </c>
      <c r="CE101" s="214">
        <f t="shared" ca="1" si="41"/>
        <v>1.0437416079999999</v>
      </c>
      <c r="CF101" s="215">
        <f>VLOOKUP(L101,'Impostos e Frete'!$A$3:$C$7,3,0)</f>
        <v>105</v>
      </c>
      <c r="CG101" s="215">
        <f t="shared" si="42"/>
        <v>120</v>
      </c>
      <c r="CH101" s="215">
        <f t="shared" si="43"/>
        <v>15</v>
      </c>
      <c r="CI101" s="216">
        <f t="shared" ca="1" si="44"/>
        <v>-0.11909358349508103</v>
      </c>
      <c r="CJ101" s="217">
        <f t="shared" ca="1" si="45"/>
        <v>15.93846961650492</v>
      </c>
      <c r="CK101" s="218">
        <f t="shared" ca="1" si="46"/>
        <v>1.0360005250728199</v>
      </c>
    </row>
    <row r="102" spans="1:89">
      <c r="A102" s="176">
        <v>14144</v>
      </c>
      <c r="B102" s="177">
        <v>248</v>
      </c>
      <c r="C102" s="178">
        <v>65</v>
      </c>
      <c r="D102" s="178">
        <v>1870</v>
      </c>
      <c r="E102" s="178" t="s">
        <v>50</v>
      </c>
      <c r="F102" s="179" t="s">
        <v>2</v>
      </c>
      <c r="G102" s="189" t="s">
        <v>90</v>
      </c>
      <c r="H102" s="178" t="s">
        <v>63</v>
      </c>
      <c r="I102" s="178">
        <v>32153</v>
      </c>
      <c r="J102" s="178"/>
      <c r="K102" s="178"/>
      <c r="L102" s="178" t="s">
        <v>59</v>
      </c>
      <c r="M102" s="178">
        <v>120</v>
      </c>
      <c r="N102" s="178"/>
      <c r="O102" s="178"/>
      <c r="P102" s="178"/>
      <c r="Q102" s="178"/>
      <c r="R102" s="178" t="s">
        <v>126</v>
      </c>
      <c r="S102" s="181"/>
      <c r="T102" s="181"/>
      <c r="U102" s="182"/>
      <c r="V102" s="182" t="s">
        <v>35</v>
      </c>
      <c r="W102" s="183">
        <v>30</v>
      </c>
      <c r="X102" s="182" t="s">
        <v>51</v>
      </c>
      <c r="Y102" s="184">
        <v>2840</v>
      </c>
      <c r="Z102" s="184">
        <v>2840</v>
      </c>
      <c r="AA102" s="184">
        <v>2840</v>
      </c>
      <c r="AB102" s="184">
        <v>2750</v>
      </c>
      <c r="AC102" s="184">
        <v>2750</v>
      </c>
      <c r="AD102" s="184">
        <v>2750</v>
      </c>
      <c r="AE102" s="184">
        <v>2540</v>
      </c>
      <c r="AF102" s="184">
        <v>2540</v>
      </c>
      <c r="AG102" s="184">
        <v>2540</v>
      </c>
      <c r="AH102" s="184">
        <v>2430</v>
      </c>
      <c r="AI102" s="184">
        <v>2430</v>
      </c>
      <c r="AJ102" s="184">
        <v>2430</v>
      </c>
      <c r="AK102" s="184">
        <v>2430</v>
      </c>
      <c r="AL102" s="146">
        <f>40+(AL99+100)</f>
        <v>2500</v>
      </c>
      <c r="AM102" s="146">
        <f>40+(AM99+100)</f>
        <v>2500</v>
      </c>
      <c r="AN102" s="146">
        <f>40+(AN99+100)</f>
        <v>2500</v>
      </c>
      <c r="AO102" s="184">
        <v>2480</v>
      </c>
      <c r="AP102" s="184">
        <v>2480</v>
      </c>
      <c r="AQ102" s="184">
        <v>2480</v>
      </c>
      <c r="AR102" s="184">
        <v>2480</v>
      </c>
      <c r="AS102" s="184">
        <v>2480</v>
      </c>
      <c r="AT102" s="184">
        <v>2480</v>
      </c>
      <c r="AU102" s="184">
        <v>2430</v>
      </c>
      <c r="AV102" s="184">
        <v>2430</v>
      </c>
      <c r="AW102" s="146">
        <f>AW99+100</f>
        <v>2390</v>
      </c>
      <c r="AX102" s="146">
        <f>AX99+100</f>
        <v>2390</v>
      </c>
      <c r="AY102" s="146">
        <f>AY99+100</f>
        <v>2390</v>
      </c>
      <c r="AZ102" s="184">
        <v>2470</v>
      </c>
      <c r="BA102" s="184">
        <v>2470</v>
      </c>
      <c r="BB102" s="184">
        <v>2470</v>
      </c>
      <c r="BC102" s="184">
        <v>2470</v>
      </c>
      <c r="BD102" s="184">
        <v>2470</v>
      </c>
      <c r="BE102" s="184">
        <v>2470</v>
      </c>
      <c r="BF102" s="184">
        <v>2370</v>
      </c>
      <c r="BG102" s="184">
        <v>2370</v>
      </c>
      <c r="BH102" s="184">
        <v>2370</v>
      </c>
      <c r="BI102" s="184">
        <v>2370</v>
      </c>
      <c r="BJ102" s="184">
        <v>2370</v>
      </c>
      <c r="BK102" s="184">
        <v>2370</v>
      </c>
      <c r="BL102" s="184">
        <v>2450</v>
      </c>
      <c r="BM102" s="184">
        <v>2450</v>
      </c>
      <c r="BN102" s="184">
        <v>2450</v>
      </c>
      <c r="BO102" s="184"/>
      <c r="BP102" s="184"/>
      <c r="BQ102" s="184"/>
      <c r="BR102" s="184"/>
      <c r="BS102" s="184"/>
      <c r="BT102" s="184"/>
      <c r="BU102" s="146" cm="1">
        <f t="array" ref="BU102">LOOKUP(2,1/(Y102:BT102&lt;&gt;""),Y102:BH102)</f>
        <v>2450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46174</v>
      </c>
      <c r="BW102" s="211" cm="1">
        <f t="array" ref="BW102">(LOOKUP(2,1/(BH102:BT102&lt;&gt;""),BH102:BT102))/(INDEX(BH102:BT102,MATCH(TRUE,INDEX((BH102:BT102&lt;&gt;0),0),0)))-1</f>
        <v>3.3755274261603407E-2</v>
      </c>
      <c r="BX102" s="212">
        <f t="shared" si="38"/>
        <v>2.4500000000000002</v>
      </c>
      <c r="BY102" s="212">
        <f t="shared" si="37"/>
        <v>14.455000000000002</v>
      </c>
      <c r="BZ102" s="212">
        <f ca="1">IF(L102="BR",'Impostos e Frete'!$F$6,IF(L102="EU",'Impostos e Frete'!$I$3,IF(L102="CN",'Impostos e Frete'!$I$4,IF(L102="JP",'Impostos e Frete'!$I$5,IF(L102="RU",'Impostos e Frete'!$I$7,"ERRO")))))</f>
        <v>0.14176320000000001</v>
      </c>
      <c r="CA102" s="212">
        <f>VLOOKUP(L102,'Impostos e Frete'!$A$3:$B$7,2,0)*'Preços e Condições'!BY102</f>
        <v>1.8791500000000003</v>
      </c>
      <c r="CB102" s="147">
        <f t="shared" si="39"/>
        <v>-0.17699999999999999</v>
      </c>
      <c r="CC102" s="147">
        <f>IF(X102="BRL",'Impostos e Frete'!$B$11,'Impostos e Frete'!$B$12)</f>
        <v>9.1999999999999998E-2</v>
      </c>
      <c r="CD102" s="213">
        <f t="shared" ca="1" si="40"/>
        <v>16.3909132</v>
      </c>
      <c r="CE102" s="214">
        <f t="shared" ca="1" si="41"/>
        <v>1.0654093579999999</v>
      </c>
      <c r="CF102" s="215">
        <f>VLOOKUP(L102,'Impostos e Frete'!$A$3:$C$7,3,0)</f>
        <v>105</v>
      </c>
      <c r="CG102" s="215">
        <f t="shared" si="42"/>
        <v>120</v>
      </c>
      <c r="CH102" s="215">
        <f t="shared" si="43"/>
        <v>15</v>
      </c>
      <c r="CI102" s="216">
        <f t="shared" ca="1" si="44"/>
        <v>-0.12156592911587083</v>
      </c>
      <c r="CJ102" s="217">
        <f t="shared" ca="1" si="45"/>
        <v>16.269347270884129</v>
      </c>
      <c r="CK102" s="218">
        <f t="shared" ca="1" si="46"/>
        <v>1.0575075726074683</v>
      </c>
    </row>
    <row r="103" spans="1:89">
      <c r="A103" s="176">
        <v>14123</v>
      </c>
      <c r="B103" s="177">
        <v>1410</v>
      </c>
      <c r="C103" s="178">
        <v>68</v>
      </c>
      <c r="D103" s="178">
        <v>1860</v>
      </c>
      <c r="E103" s="178" t="s">
        <v>50</v>
      </c>
      <c r="F103" s="179" t="s">
        <v>2</v>
      </c>
      <c r="G103" s="189" t="s">
        <v>127</v>
      </c>
      <c r="H103" s="178" t="s">
        <v>61</v>
      </c>
      <c r="I103" s="178"/>
      <c r="J103" s="178"/>
      <c r="K103" s="178"/>
      <c r="L103" s="178" t="s">
        <v>59</v>
      </c>
      <c r="M103" s="178">
        <v>120</v>
      </c>
      <c r="N103" s="178"/>
      <c r="O103" s="178"/>
      <c r="P103" s="178"/>
      <c r="Q103" s="178"/>
      <c r="R103" s="178" t="s">
        <v>126</v>
      </c>
      <c r="S103" s="181"/>
      <c r="T103" s="181"/>
      <c r="U103" s="182"/>
      <c r="V103" s="182" t="s">
        <v>35</v>
      </c>
      <c r="W103" s="183">
        <v>100</v>
      </c>
      <c r="X103" s="182" t="s">
        <v>51</v>
      </c>
      <c r="Y103" s="184"/>
      <c r="Z103" s="184"/>
      <c r="AA103" s="184"/>
      <c r="AB103" s="184"/>
      <c r="AC103" s="184"/>
      <c r="AD103" s="184"/>
      <c r="AE103" s="184"/>
      <c r="AF103" s="184"/>
      <c r="AG103" s="184">
        <v>2410</v>
      </c>
      <c r="AH103" s="184">
        <v>2410</v>
      </c>
      <c r="AI103" s="184">
        <v>2410</v>
      </c>
      <c r="AJ103" s="184">
        <v>2410</v>
      </c>
      <c r="AK103" s="184"/>
      <c r="AL103" s="184"/>
      <c r="AM103" s="184"/>
      <c r="AN103" s="184"/>
      <c r="AO103" s="184"/>
      <c r="AP103" s="184"/>
      <c r="AQ103" s="184"/>
      <c r="AR103" s="184"/>
      <c r="AS103" s="184"/>
      <c r="AT103" s="184"/>
      <c r="AU103" s="184"/>
      <c r="AV103" s="184"/>
      <c r="AW103" s="184"/>
      <c r="AX103" s="184"/>
      <c r="AY103" s="184"/>
      <c r="AZ103" s="184"/>
      <c r="BA103" s="184"/>
      <c r="BB103" s="184"/>
      <c r="BC103" s="184"/>
      <c r="BD103" s="184"/>
      <c r="BE103" s="184"/>
      <c r="BF103" s="184"/>
      <c r="BG103" s="184"/>
      <c r="BH103" s="184"/>
      <c r="BI103" s="184"/>
      <c r="BJ103" s="184"/>
      <c r="BK103" s="184"/>
      <c r="BL103" s="184"/>
      <c r="BM103" s="184"/>
      <c r="BN103" s="184"/>
      <c r="BO103" s="184"/>
      <c r="BP103" s="184"/>
      <c r="BQ103" s="184"/>
      <c r="BR103" s="184"/>
      <c r="BS103" s="184"/>
      <c r="BT103" s="184"/>
      <c r="BU103" s="146" cm="1">
        <f t="array" ref="BU103">LOOKUP(2,1/(Y103:BT103&lt;&gt;""),Y103:BH103)</f>
        <v>2410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45261</v>
      </c>
      <c r="BW103" s="211" t="e" cm="1">
        <f t="array" ref="BW103">(LOOKUP(2,1/(BH103:BT103&lt;&gt;""),BH103:BT103))/(INDEX(BH103:BT103,MATCH(TRUE,INDEX((BH103:BT103&lt;&gt;0),0),0)))-1</f>
        <v>#N/A</v>
      </c>
      <c r="BX103" s="212">
        <f t="shared" si="38"/>
        <v>2.41</v>
      </c>
      <c r="BY103" s="212">
        <f t="shared" si="37"/>
        <v>14.219000000000001</v>
      </c>
      <c r="BZ103" s="212">
        <f ca="1">IF(L103="BR",'Impostos e Frete'!$F$6,IF(L103="EU",'Impostos e Frete'!$I$3,IF(L103="CN",'Impostos e Frete'!$I$4,IF(L103="JP",'Impostos e Frete'!$I$5,IF(L103="RU",'Impostos e Frete'!$I$7,"ERRO")))))</f>
        <v>0.14176320000000001</v>
      </c>
      <c r="CA103" s="212">
        <f>VLOOKUP(L103,'Impostos e Frete'!$A$3:$B$7,2,0)*'Preços e Condições'!BY103</f>
        <v>1.8484700000000003</v>
      </c>
      <c r="CB103" s="147">
        <f t="shared" si="39"/>
        <v>-0.17699999999999999</v>
      </c>
      <c r="CC103" s="147">
        <f>IF(X103="BRL",'Impostos e Frete'!$B$11,'Impostos e Frete'!$B$12)</f>
        <v>9.1999999999999998E-2</v>
      </c>
      <c r="CD103" s="213">
        <f t="shared" ca="1" si="40"/>
        <v>16.124233199999999</v>
      </c>
      <c r="CE103" s="214">
        <f t="shared" ca="1" si="41"/>
        <v>1.0964478575999999</v>
      </c>
      <c r="CF103" s="215">
        <f>VLOOKUP(L103,'Impostos e Frete'!$A$3:$C$7,3,0)</f>
        <v>105</v>
      </c>
      <c r="CG103" s="215">
        <f t="shared" si="42"/>
        <v>120</v>
      </c>
      <c r="CH103" s="215">
        <f t="shared" si="43"/>
        <v>15</v>
      </c>
      <c r="CI103" s="216">
        <f t="shared" ca="1" si="44"/>
        <v>-0.11958805261923899</v>
      </c>
      <c r="CJ103" s="217">
        <f t="shared" ca="1" si="45"/>
        <v>16.00464514738076</v>
      </c>
      <c r="CK103" s="218">
        <f t="shared" ca="1" si="46"/>
        <v>1.0883158700218918</v>
      </c>
    </row>
    <row r="104" spans="1:89">
      <c r="A104" s="176">
        <v>14125</v>
      </c>
      <c r="B104" s="177">
        <v>1430</v>
      </c>
      <c r="C104" s="178">
        <v>68</v>
      </c>
      <c r="D104" s="178">
        <v>1870</v>
      </c>
      <c r="E104" s="178" t="s">
        <v>50</v>
      </c>
      <c r="F104" s="179" t="s">
        <v>2</v>
      </c>
      <c r="G104" s="189" t="s">
        <v>128</v>
      </c>
      <c r="H104" s="178" t="s">
        <v>61</v>
      </c>
      <c r="I104" s="178"/>
      <c r="J104" s="178"/>
      <c r="K104" s="178"/>
      <c r="L104" s="178" t="s">
        <v>59</v>
      </c>
      <c r="M104" s="178">
        <v>120</v>
      </c>
      <c r="N104" s="178"/>
      <c r="O104" s="178"/>
      <c r="P104" s="178"/>
      <c r="Q104" s="178"/>
      <c r="R104" s="178" t="s">
        <v>126</v>
      </c>
      <c r="S104" s="181"/>
      <c r="T104" s="181"/>
      <c r="U104" s="182"/>
      <c r="V104" s="182" t="s">
        <v>35</v>
      </c>
      <c r="W104" s="183">
        <v>100</v>
      </c>
      <c r="X104" s="182" t="s">
        <v>51</v>
      </c>
      <c r="Y104" s="184"/>
      <c r="Z104" s="184"/>
      <c r="AA104" s="184"/>
      <c r="AB104" s="184"/>
      <c r="AC104" s="184"/>
      <c r="AD104" s="184"/>
      <c r="AE104" s="184"/>
      <c r="AF104" s="184"/>
      <c r="AG104" s="184">
        <v>2410</v>
      </c>
      <c r="AH104" s="184">
        <v>2410</v>
      </c>
      <c r="AI104" s="184">
        <v>2410</v>
      </c>
      <c r="AJ104" s="184">
        <v>2410</v>
      </c>
      <c r="AK104" s="184"/>
      <c r="AL104" s="184"/>
      <c r="AM104" s="184"/>
      <c r="AN104" s="184"/>
      <c r="AO104" s="184"/>
      <c r="AP104" s="184"/>
      <c r="AQ104" s="184"/>
      <c r="AR104" s="184"/>
      <c r="AS104" s="184"/>
      <c r="AT104" s="184"/>
      <c r="AU104" s="184"/>
      <c r="AV104" s="184"/>
      <c r="AW104" s="184"/>
      <c r="AX104" s="184"/>
      <c r="AY104" s="184"/>
      <c r="AZ104" s="184"/>
      <c r="BA104" s="184"/>
      <c r="BB104" s="184"/>
      <c r="BC104" s="184"/>
      <c r="BD104" s="184"/>
      <c r="BE104" s="184"/>
      <c r="BF104" s="184"/>
      <c r="BG104" s="184"/>
      <c r="BH104" s="184"/>
      <c r="BI104" s="184"/>
      <c r="BJ104" s="184"/>
      <c r="BK104" s="184"/>
      <c r="BL104" s="184"/>
      <c r="BM104" s="184"/>
      <c r="BN104" s="184"/>
      <c r="BO104" s="184"/>
      <c r="BP104" s="184"/>
      <c r="BQ104" s="184"/>
      <c r="BR104" s="184"/>
      <c r="BS104" s="184"/>
      <c r="BT104" s="184"/>
      <c r="BU104" s="146" cm="1">
        <f t="array" ref="BU104">LOOKUP(2,1/(Y104:BT104&lt;&gt;""),Y104:BH104)</f>
        <v>2410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45261</v>
      </c>
      <c r="BW104" s="211" t="e" cm="1">
        <f t="array" ref="BW104">(LOOKUP(2,1/(BH104:BT104&lt;&gt;""),BH104:BT104))/(INDEX(BH104:BT104,MATCH(TRUE,INDEX((BH104:BT104&lt;&gt;0),0),0)))-1</f>
        <v>#N/A</v>
      </c>
      <c r="BX104" s="212">
        <f t="shared" si="38"/>
        <v>2.41</v>
      </c>
      <c r="BY104" s="212">
        <f t="shared" si="37"/>
        <v>14.219000000000001</v>
      </c>
      <c r="BZ104" s="212">
        <f ca="1">IF(L104="BR",'Impostos e Frete'!$F$6,IF(L104="EU",'Impostos e Frete'!$I$3,IF(L104="CN",'Impostos e Frete'!$I$4,IF(L104="JP",'Impostos e Frete'!$I$5,IF(L104="RU",'Impostos e Frete'!$I$7,"ERRO")))))</f>
        <v>0.14176320000000001</v>
      </c>
      <c r="CA104" s="212">
        <f>VLOOKUP(L104,'Impostos e Frete'!$A$3:$B$7,2,0)*'Preços e Condições'!BY104</f>
        <v>1.8484700000000003</v>
      </c>
      <c r="CB104" s="147">
        <f t="shared" si="39"/>
        <v>-0.17699999999999999</v>
      </c>
      <c r="CC104" s="147">
        <f>IF(X104="BRL",'Impostos e Frete'!$B$11,'Impostos e Frete'!$B$12)</f>
        <v>9.1999999999999998E-2</v>
      </c>
      <c r="CD104" s="213">
        <f t="shared" ca="1" si="40"/>
        <v>16.124233199999999</v>
      </c>
      <c r="CE104" s="214">
        <f t="shared" ca="1" si="41"/>
        <v>1.0964478575999999</v>
      </c>
      <c r="CF104" s="215">
        <f>VLOOKUP(L104,'Impostos e Frete'!$A$3:$C$7,3,0)</f>
        <v>105</v>
      </c>
      <c r="CG104" s="215">
        <f t="shared" si="42"/>
        <v>120</v>
      </c>
      <c r="CH104" s="215">
        <f t="shared" si="43"/>
        <v>15</v>
      </c>
      <c r="CI104" s="216">
        <f t="shared" ca="1" si="44"/>
        <v>-0.11958805261923899</v>
      </c>
      <c r="CJ104" s="217">
        <f t="shared" ca="1" si="45"/>
        <v>16.00464514738076</v>
      </c>
      <c r="CK104" s="218">
        <f t="shared" ca="1" si="46"/>
        <v>1.0883158700218918</v>
      </c>
    </row>
    <row r="105" spans="1:89">
      <c r="A105" s="176">
        <v>14140</v>
      </c>
      <c r="B105" s="177">
        <v>104</v>
      </c>
      <c r="C105" s="178">
        <v>80</v>
      </c>
      <c r="D105" s="178">
        <v>1870</v>
      </c>
      <c r="E105" s="178" t="s">
        <v>50</v>
      </c>
      <c r="F105" s="179" t="s">
        <v>2</v>
      </c>
      <c r="G105" s="189" t="s">
        <v>146</v>
      </c>
      <c r="H105" s="178" t="s">
        <v>43</v>
      </c>
      <c r="I105" s="178">
        <v>32113</v>
      </c>
      <c r="J105" s="178"/>
      <c r="K105" s="178"/>
      <c r="L105" s="178" t="s">
        <v>59</v>
      </c>
      <c r="M105" s="178">
        <v>120</v>
      </c>
      <c r="N105" s="178"/>
      <c r="O105" s="178"/>
      <c r="P105" s="178"/>
      <c r="Q105" s="178"/>
      <c r="R105" s="178" t="s">
        <v>126</v>
      </c>
      <c r="S105" s="181"/>
      <c r="T105" s="181"/>
      <c r="U105" s="182"/>
      <c r="V105" s="182" t="s">
        <v>35</v>
      </c>
      <c r="W105" s="183">
        <v>100</v>
      </c>
      <c r="X105" s="182" t="s">
        <v>51</v>
      </c>
      <c r="Y105" s="184">
        <v>2570</v>
      </c>
      <c r="Z105" s="184">
        <v>2570</v>
      </c>
      <c r="AA105" s="184">
        <v>2570</v>
      </c>
      <c r="AB105" s="184">
        <v>2470</v>
      </c>
      <c r="AC105" s="184">
        <v>2470</v>
      </c>
      <c r="AD105" s="184">
        <v>2470</v>
      </c>
      <c r="AE105" s="184">
        <v>2250</v>
      </c>
      <c r="AF105" s="184">
        <v>2250</v>
      </c>
      <c r="AG105" s="184">
        <v>2250</v>
      </c>
      <c r="AH105" s="184">
        <v>2130</v>
      </c>
      <c r="AI105" s="184">
        <v>2130</v>
      </c>
      <c r="AJ105" s="184">
        <v>2130</v>
      </c>
      <c r="AK105" s="184">
        <v>2130</v>
      </c>
      <c r="AL105" s="184">
        <v>2160</v>
      </c>
      <c r="AM105" s="184">
        <v>2160</v>
      </c>
      <c r="AN105" s="184">
        <v>2160</v>
      </c>
      <c r="AO105" s="184">
        <v>2280</v>
      </c>
      <c r="AP105" s="184">
        <v>2280</v>
      </c>
      <c r="AQ105" s="184">
        <v>2280</v>
      </c>
      <c r="AR105" s="184">
        <v>2280</v>
      </c>
      <c r="AS105" s="184">
        <v>2280</v>
      </c>
      <c r="AT105" s="184">
        <v>2280</v>
      </c>
      <c r="AU105" s="184">
        <v>2220</v>
      </c>
      <c r="AV105" s="184">
        <v>2220</v>
      </c>
      <c r="AW105" s="184">
        <v>2180</v>
      </c>
      <c r="AX105" s="184">
        <v>2180</v>
      </c>
      <c r="AY105" s="184">
        <v>2180</v>
      </c>
      <c r="AZ105" s="184">
        <v>2260</v>
      </c>
      <c r="BA105" s="184">
        <v>2260</v>
      </c>
      <c r="BB105" s="184">
        <v>2260</v>
      </c>
      <c r="BC105" s="184">
        <v>2260</v>
      </c>
      <c r="BD105" s="184">
        <v>2260</v>
      </c>
      <c r="BE105" s="184">
        <v>2260</v>
      </c>
      <c r="BF105" s="184">
        <v>2160</v>
      </c>
      <c r="BG105" s="184">
        <v>2160</v>
      </c>
      <c r="BH105" s="184">
        <v>2160</v>
      </c>
      <c r="BI105" s="184">
        <v>2160</v>
      </c>
      <c r="BJ105" s="184">
        <v>2160</v>
      </c>
      <c r="BK105" s="184">
        <v>2160</v>
      </c>
      <c r="BL105" s="184">
        <v>2250</v>
      </c>
      <c r="BM105" s="184">
        <v>2250</v>
      </c>
      <c r="BN105" s="184">
        <v>2250</v>
      </c>
      <c r="BO105" s="184">
        <v>2330</v>
      </c>
      <c r="BP105" s="184">
        <v>2330</v>
      </c>
      <c r="BQ105" s="184">
        <v>2330</v>
      </c>
      <c r="BR105" s="184"/>
      <c r="BS105" s="184"/>
      <c r="BT105" s="184"/>
      <c r="BU105" s="146" cm="1">
        <f t="array" ref="BU105">LOOKUP(2,1/(Y105:BT105&lt;&gt;""),Y105:BH105)</f>
        <v>2330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46199</v>
      </c>
      <c r="BW105" s="211" cm="1">
        <f t="array" ref="BW105">(LOOKUP(2,1/(BH105:BT105&lt;&gt;""),BH105:BT105))/(INDEX(BH105:BT105,MATCH(TRUE,INDEX((BH105:BT105&lt;&gt;0),0),0)))-1</f>
        <v>7.870370370370372E-2</v>
      </c>
      <c r="BX105" s="212">
        <f t="shared" si="38"/>
        <v>2.33</v>
      </c>
      <c r="BY105" s="212">
        <f t="shared" si="37"/>
        <v>13.747000000000002</v>
      </c>
      <c r="BZ105" s="212">
        <f ca="1">IF(L105="BR",'Impostos e Frete'!$F$6,IF(L105="EU",'Impostos e Frete'!$I$3,IF(L105="CN",'Impostos e Frete'!$I$4,IF(L105="JP",'Impostos e Frete'!$I$5,IF(L105="RU",'Impostos e Frete'!$I$7,"ERRO")))))</f>
        <v>0.14176320000000001</v>
      </c>
      <c r="CA105" s="212">
        <f>VLOOKUP(L105,'Impostos e Frete'!$A$3:$B$7,2,0)*'Preços e Condições'!BY105</f>
        <v>1.7871100000000002</v>
      </c>
      <c r="CB105" s="147">
        <f t="shared" si="39"/>
        <v>-0.17699999999999999</v>
      </c>
      <c r="CC105" s="147">
        <f>IF(X105="BRL",'Impostos e Frete'!$B$11,'Impostos e Frete'!$B$12)</f>
        <v>9.1999999999999998E-2</v>
      </c>
      <c r="CD105" s="213">
        <f t="shared" ca="1" si="40"/>
        <v>15.590873200000003</v>
      </c>
      <c r="CE105" s="214">
        <f t="shared" ca="1" si="41"/>
        <v>1.2472698560000002</v>
      </c>
      <c r="CF105" s="215">
        <f>VLOOKUP(L105,'Impostos e Frete'!$A$3:$C$7,3,0)</f>
        <v>105</v>
      </c>
      <c r="CG105" s="215">
        <f t="shared" si="42"/>
        <v>120</v>
      </c>
      <c r="CH105" s="215">
        <f t="shared" si="43"/>
        <v>15</v>
      </c>
      <c r="CI105" s="216">
        <f t="shared" ca="1" si="44"/>
        <v>-0.11563229962597354</v>
      </c>
      <c r="CJ105" s="217">
        <f t="shared" ca="1" si="45"/>
        <v>15.475240900374029</v>
      </c>
      <c r="CK105" s="218">
        <f t="shared" ca="1" si="46"/>
        <v>1.2380192720299223</v>
      </c>
    </row>
    <row r="106" spans="1:89">
      <c r="A106" s="176">
        <v>14140</v>
      </c>
      <c r="B106" s="177">
        <v>104</v>
      </c>
      <c r="C106" s="178">
        <v>80</v>
      </c>
      <c r="D106" s="178">
        <v>1870</v>
      </c>
      <c r="E106" s="178" t="s">
        <v>50</v>
      </c>
      <c r="F106" s="179" t="s">
        <v>2</v>
      </c>
      <c r="G106" s="189" t="s">
        <v>146</v>
      </c>
      <c r="H106" s="178" t="s">
        <v>43</v>
      </c>
      <c r="I106" s="178">
        <v>32113</v>
      </c>
      <c r="J106" s="178"/>
      <c r="K106" s="178"/>
      <c r="L106" s="178" t="s">
        <v>59</v>
      </c>
      <c r="M106" s="178">
        <v>120</v>
      </c>
      <c r="N106" s="178"/>
      <c r="O106" s="178"/>
      <c r="P106" s="178"/>
      <c r="Q106" s="178"/>
      <c r="R106" s="178" t="s">
        <v>126</v>
      </c>
      <c r="S106" s="181"/>
      <c r="T106" s="181"/>
      <c r="U106" s="182"/>
      <c r="V106" s="182" t="s">
        <v>35</v>
      </c>
      <c r="W106" s="183">
        <v>600</v>
      </c>
      <c r="X106" s="182" t="s">
        <v>51</v>
      </c>
      <c r="Y106" s="184">
        <v>2510</v>
      </c>
      <c r="Z106" s="184">
        <v>2510</v>
      </c>
      <c r="AA106" s="184">
        <v>2510</v>
      </c>
      <c r="AB106" s="184">
        <v>2410</v>
      </c>
      <c r="AC106" s="184">
        <v>2410</v>
      </c>
      <c r="AD106" s="184">
        <v>2410</v>
      </c>
      <c r="AE106" s="184">
        <v>2190</v>
      </c>
      <c r="AF106" s="184">
        <v>2190</v>
      </c>
      <c r="AG106" s="184">
        <v>2190</v>
      </c>
      <c r="AH106" s="184">
        <v>2070</v>
      </c>
      <c r="AI106" s="184">
        <v>2070</v>
      </c>
      <c r="AJ106" s="184">
        <v>2070</v>
      </c>
      <c r="AK106" s="184">
        <v>2070</v>
      </c>
      <c r="AL106" s="146">
        <f>40+(AL105-60)</f>
        <v>2140</v>
      </c>
      <c r="AM106" s="146">
        <f>40+(AM105-60)</f>
        <v>2140</v>
      </c>
      <c r="AN106" s="146">
        <f>40+(AN105-60)</f>
        <v>2140</v>
      </c>
      <c r="AO106" s="184">
        <v>2220</v>
      </c>
      <c r="AP106" s="184">
        <v>2220</v>
      </c>
      <c r="AQ106" s="184">
        <v>2220</v>
      </c>
      <c r="AR106" s="184">
        <v>2220</v>
      </c>
      <c r="AS106" s="184">
        <v>2220</v>
      </c>
      <c r="AT106" s="184">
        <v>2220</v>
      </c>
      <c r="AU106" s="184">
        <v>2160</v>
      </c>
      <c r="AV106" s="184">
        <v>2160</v>
      </c>
      <c r="AW106" s="146">
        <f>AW105-60</f>
        <v>2120</v>
      </c>
      <c r="AX106" s="146">
        <f>AX105-60</f>
        <v>2120</v>
      </c>
      <c r="AY106" s="146">
        <f>AY105-60</f>
        <v>2120</v>
      </c>
      <c r="AZ106" s="184">
        <v>2200</v>
      </c>
      <c r="BA106" s="184">
        <v>2200</v>
      </c>
      <c r="BB106" s="184">
        <v>2200</v>
      </c>
      <c r="BC106" s="184">
        <v>2200</v>
      </c>
      <c r="BD106" s="184">
        <v>2200</v>
      </c>
      <c r="BE106" s="184">
        <v>2200</v>
      </c>
      <c r="BF106" s="184">
        <v>2100</v>
      </c>
      <c r="BG106" s="184">
        <v>2100</v>
      </c>
      <c r="BH106" s="184">
        <v>2100</v>
      </c>
      <c r="BI106" s="184">
        <v>2100</v>
      </c>
      <c r="BJ106" s="184">
        <v>2100</v>
      </c>
      <c r="BK106" s="184">
        <v>2100</v>
      </c>
      <c r="BL106" s="184">
        <v>2190</v>
      </c>
      <c r="BM106" s="184">
        <v>2190</v>
      </c>
      <c r="BN106" s="184">
        <v>2190</v>
      </c>
      <c r="BO106" s="184">
        <v>2270</v>
      </c>
      <c r="BP106" s="184">
        <v>2270</v>
      </c>
      <c r="BQ106" s="184">
        <v>2270</v>
      </c>
      <c r="BR106" s="184"/>
      <c r="BS106" s="184"/>
      <c r="BT106" s="184"/>
      <c r="BU106" s="146" cm="1">
        <f t="array" ref="BU106">LOOKUP(2,1/(Y106:BT106&lt;&gt;""),Y106:BH106)</f>
        <v>2270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46199</v>
      </c>
      <c r="BW106" s="211" cm="1">
        <f t="array" ref="BW106">(LOOKUP(2,1/(BH106:BT106&lt;&gt;""),BH106:BT106))/(INDEX(BH106:BT106,MATCH(TRUE,INDEX((BH106:BT106&lt;&gt;0),0),0)))-1</f>
        <v>8.0952380952380887E-2</v>
      </c>
      <c r="BX106" s="212">
        <f t="shared" si="38"/>
        <v>2.27</v>
      </c>
      <c r="BY106" s="212">
        <f t="shared" si="37"/>
        <v>13.393000000000001</v>
      </c>
      <c r="BZ106" s="212">
        <f ca="1">IF(L106="BR",'Impostos e Frete'!$F$6,IF(L106="EU",'Impostos e Frete'!$I$3,IF(L106="CN",'Impostos e Frete'!$I$4,IF(L106="JP",'Impostos e Frete'!$I$5,IF(L106="RU",'Impostos e Frete'!$I$7,"ERRO")))))</f>
        <v>0.14176320000000001</v>
      </c>
      <c r="CA106" s="212">
        <f>VLOOKUP(L106,'Impostos e Frete'!$A$3:$B$7,2,0)*'Preços e Condições'!BY106</f>
        <v>1.7410900000000002</v>
      </c>
      <c r="CB106" s="147">
        <f t="shared" si="39"/>
        <v>-0.17699999999999999</v>
      </c>
      <c r="CC106" s="147">
        <f>IF(X106="BRL",'Impostos e Frete'!$B$11,'Impostos e Frete'!$B$12)</f>
        <v>9.1999999999999998E-2</v>
      </c>
      <c r="CD106" s="213">
        <f t="shared" ca="1" si="40"/>
        <v>15.190853200000001</v>
      </c>
      <c r="CE106" s="214">
        <f t="shared" ca="1" si="41"/>
        <v>1.2152682560000001</v>
      </c>
      <c r="CF106" s="215">
        <f>VLOOKUP(L106,'Impostos e Frete'!$A$3:$C$7,3,0)</f>
        <v>105</v>
      </c>
      <c r="CG106" s="215">
        <f t="shared" si="42"/>
        <v>120</v>
      </c>
      <c r="CH106" s="215">
        <f t="shared" si="43"/>
        <v>15</v>
      </c>
      <c r="CI106" s="216">
        <f t="shared" ca="1" si="44"/>
        <v>-0.11266548488102579</v>
      </c>
      <c r="CJ106" s="217">
        <f t="shared" ca="1" si="45"/>
        <v>15.078187715118975</v>
      </c>
      <c r="CK106" s="218">
        <f t="shared" ca="1" si="46"/>
        <v>1.2062550172095181</v>
      </c>
    </row>
    <row r="107" spans="1:89">
      <c r="A107" s="176">
        <v>14140</v>
      </c>
      <c r="B107" s="177">
        <v>104</v>
      </c>
      <c r="C107" s="178">
        <v>80</v>
      </c>
      <c r="D107" s="178">
        <v>1870</v>
      </c>
      <c r="E107" s="178" t="s">
        <v>50</v>
      </c>
      <c r="F107" s="179" t="s">
        <v>2</v>
      </c>
      <c r="G107" s="189" t="s">
        <v>146</v>
      </c>
      <c r="H107" s="178" t="s">
        <v>43</v>
      </c>
      <c r="I107" s="178">
        <v>32113</v>
      </c>
      <c r="J107" s="178"/>
      <c r="K107" s="178"/>
      <c r="L107" s="178" t="s">
        <v>59</v>
      </c>
      <c r="M107" s="178">
        <v>120</v>
      </c>
      <c r="N107" s="178"/>
      <c r="O107" s="178"/>
      <c r="P107" s="178"/>
      <c r="Q107" s="178"/>
      <c r="R107" s="178" t="s">
        <v>126</v>
      </c>
      <c r="S107" s="181"/>
      <c r="T107" s="181"/>
      <c r="U107" s="182"/>
      <c r="V107" s="182" t="s">
        <v>35</v>
      </c>
      <c r="W107" s="183">
        <v>500</v>
      </c>
      <c r="X107" s="182" t="s">
        <v>51</v>
      </c>
      <c r="Y107" s="184">
        <v>2520</v>
      </c>
      <c r="Z107" s="184">
        <v>2520</v>
      </c>
      <c r="AA107" s="184">
        <v>2520</v>
      </c>
      <c r="AB107" s="184">
        <v>2420</v>
      </c>
      <c r="AC107" s="184">
        <v>2420</v>
      </c>
      <c r="AD107" s="184">
        <v>2420</v>
      </c>
      <c r="AE107" s="184">
        <v>2200</v>
      </c>
      <c r="AF107" s="184">
        <v>2200</v>
      </c>
      <c r="AG107" s="184">
        <v>2200</v>
      </c>
      <c r="AH107" s="184">
        <v>2080</v>
      </c>
      <c r="AI107" s="184">
        <v>2080</v>
      </c>
      <c r="AJ107" s="184">
        <v>2080</v>
      </c>
      <c r="AK107" s="184">
        <v>2080</v>
      </c>
      <c r="AL107" s="146">
        <f>40+(AL105-50)</f>
        <v>2150</v>
      </c>
      <c r="AM107" s="146">
        <f>40+(AM105-50)</f>
        <v>2150</v>
      </c>
      <c r="AN107" s="146">
        <f>40+(AN105-50)</f>
        <v>2150</v>
      </c>
      <c r="AO107" s="184">
        <v>2230</v>
      </c>
      <c r="AP107" s="184">
        <v>2230</v>
      </c>
      <c r="AQ107" s="184">
        <v>2230</v>
      </c>
      <c r="AR107" s="184">
        <v>2230</v>
      </c>
      <c r="AS107" s="184">
        <v>2230</v>
      </c>
      <c r="AT107" s="184">
        <v>2230</v>
      </c>
      <c r="AU107" s="184">
        <v>2170</v>
      </c>
      <c r="AV107" s="184">
        <v>2170</v>
      </c>
      <c r="AW107" s="146">
        <f>AW105-50</f>
        <v>2130</v>
      </c>
      <c r="AX107" s="146">
        <f>AX105-50</f>
        <v>2130</v>
      </c>
      <c r="AY107" s="146">
        <f>AY105-50</f>
        <v>2130</v>
      </c>
      <c r="AZ107" s="184">
        <v>2210</v>
      </c>
      <c r="BA107" s="184">
        <v>2210</v>
      </c>
      <c r="BB107" s="184">
        <v>2210</v>
      </c>
      <c r="BC107" s="184">
        <v>2210</v>
      </c>
      <c r="BD107" s="184">
        <v>2210</v>
      </c>
      <c r="BE107" s="184">
        <v>2210</v>
      </c>
      <c r="BF107" s="184">
        <v>2110</v>
      </c>
      <c r="BG107" s="184">
        <v>2110</v>
      </c>
      <c r="BH107" s="184">
        <v>2110</v>
      </c>
      <c r="BI107" s="184">
        <v>2110</v>
      </c>
      <c r="BJ107" s="184">
        <v>2110</v>
      </c>
      <c r="BK107" s="184">
        <v>2110</v>
      </c>
      <c r="BL107" s="184">
        <v>2200</v>
      </c>
      <c r="BM107" s="184">
        <v>2200</v>
      </c>
      <c r="BN107" s="184">
        <v>2200</v>
      </c>
      <c r="BO107" s="184">
        <v>2280</v>
      </c>
      <c r="BP107" s="184">
        <v>2280</v>
      </c>
      <c r="BQ107" s="184">
        <v>2280</v>
      </c>
      <c r="BR107" s="184"/>
      <c r="BS107" s="184"/>
      <c r="BT107" s="184"/>
      <c r="BU107" s="146" cm="1">
        <f t="array" ref="BU107">LOOKUP(2,1/(Y107:BT107&lt;&gt;""),Y107:BH107)</f>
        <v>2280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46199</v>
      </c>
      <c r="BW107" s="211" cm="1">
        <f t="array" ref="BW107">(LOOKUP(2,1/(BH107:BT107&lt;&gt;""),BH107:BT107))/(INDEX(BH107:BT107,MATCH(TRUE,INDEX((BH107:BT107&lt;&gt;0),0),0)))-1</f>
        <v>8.0568720379146974E-2</v>
      </c>
      <c r="BX107" s="212">
        <f t="shared" si="38"/>
        <v>2.2799999999999998</v>
      </c>
      <c r="BY107" s="212">
        <f t="shared" si="37"/>
        <v>13.452</v>
      </c>
      <c r="BZ107" s="212">
        <f ca="1">IF(L107="BR",'Impostos e Frete'!$F$6,IF(L107="EU",'Impostos e Frete'!$I$3,IF(L107="CN",'Impostos e Frete'!$I$4,IF(L107="JP",'Impostos e Frete'!$I$5,IF(L107="RU",'Impostos e Frete'!$I$7,"ERRO")))))</f>
        <v>0.14176320000000001</v>
      </c>
      <c r="CA107" s="212">
        <f>VLOOKUP(L107,'Impostos e Frete'!$A$3:$B$7,2,0)*'Preços e Condições'!BY107</f>
        <v>1.7487600000000001</v>
      </c>
      <c r="CB107" s="147">
        <f t="shared" si="39"/>
        <v>-0.17699999999999999</v>
      </c>
      <c r="CC107" s="147">
        <f>IF(X107="BRL",'Impostos e Frete'!$B$11,'Impostos e Frete'!$B$12)</f>
        <v>9.1999999999999998E-2</v>
      </c>
      <c r="CD107" s="213">
        <f t="shared" ca="1" si="40"/>
        <v>15.257523200000001</v>
      </c>
      <c r="CE107" s="214">
        <f t="shared" ca="1" si="41"/>
        <v>1.220601856</v>
      </c>
      <c r="CF107" s="215">
        <f>VLOOKUP(L107,'Impostos e Frete'!$A$3:$C$7,3,0)</f>
        <v>105</v>
      </c>
      <c r="CG107" s="215">
        <f t="shared" si="42"/>
        <v>120</v>
      </c>
      <c r="CH107" s="215">
        <f t="shared" si="43"/>
        <v>15</v>
      </c>
      <c r="CI107" s="216">
        <f t="shared" ca="1" si="44"/>
        <v>-0.11315995400518375</v>
      </c>
      <c r="CJ107" s="217">
        <f t="shared" ca="1" si="45"/>
        <v>15.144363245994818</v>
      </c>
      <c r="CK107" s="218">
        <f t="shared" ca="1" si="46"/>
        <v>1.2115490596795855</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200</v>
      </c>
      <c r="X108" s="182" t="s">
        <v>51</v>
      </c>
      <c r="Y108" s="184">
        <v>2530</v>
      </c>
      <c r="Z108" s="184">
        <v>2530</v>
      </c>
      <c r="AA108" s="184">
        <v>2530</v>
      </c>
      <c r="AB108" s="184">
        <v>2430</v>
      </c>
      <c r="AC108" s="184">
        <v>2430</v>
      </c>
      <c r="AD108" s="184">
        <v>2430</v>
      </c>
      <c r="AE108" s="184">
        <v>2210</v>
      </c>
      <c r="AF108" s="184">
        <v>2210</v>
      </c>
      <c r="AG108" s="184">
        <v>2210</v>
      </c>
      <c r="AH108" s="184">
        <v>2090</v>
      </c>
      <c r="AI108" s="184">
        <v>2090</v>
      </c>
      <c r="AJ108" s="184">
        <v>2090</v>
      </c>
      <c r="AK108" s="184">
        <v>2090</v>
      </c>
      <c r="AL108" s="146">
        <f>40+(AL105-40)</f>
        <v>2160</v>
      </c>
      <c r="AM108" s="146">
        <f>40+(AM105-40)</f>
        <v>2160</v>
      </c>
      <c r="AN108" s="146">
        <f>40+(AN105-40)</f>
        <v>2160</v>
      </c>
      <c r="AO108" s="184">
        <v>2260</v>
      </c>
      <c r="AP108" s="184">
        <v>2260</v>
      </c>
      <c r="AQ108" s="184">
        <v>2260</v>
      </c>
      <c r="AR108" s="184">
        <v>2260</v>
      </c>
      <c r="AS108" s="184">
        <v>2260</v>
      </c>
      <c r="AT108" s="184">
        <v>2260</v>
      </c>
      <c r="AU108" s="184">
        <v>2180</v>
      </c>
      <c r="AV108" s="184">
        <v>2180</v>
      </c>
      <c r="AW108" s="146">
        <f>AW105-40</f>
        <v>2140</v>
      </c>
      <c r="AX108" s="146">
        <f>AX105-40</f>
        <v>2140</v>
      </c>
      <c r="AY108" s="146">
        <f>AY105-40</f>
        <v>2140</v>
      </c>
      <c r="AZ108" s="184">
        <v>2220</v>
      </c>
      <c r="BA108" s="184">
        <v>2220</v>
      </c>
      <c r="BB108" s="184">
        <v>2220</v>
      </c>
      <c r="BC108" s="184">
        <v>2220</v>
      </c>
      <c r="BD108" s="184">
        <v>2220</v>
      </c>
      <c r="BE108" s="184">
        <v>2220</v>
      </c>
      <c r="BF108" s="184">
        <v>2120</v>
      </c>
      <c r="BG108" s="184">
        <v>2120</v>
      </c>
      <c r="BH108" s="184">
        <v>2120</v>
      </c>
      <c r="BI108" s="184">
        <v>2120</v>
      </c>
      <c r="BJ108" s="184">
        <v>2120</v>
      </c>
      <c r="BK108" s="184">
        <v>2120</v>
      </c>
      <c r="BL108" s="184">
        <v>2210</v>
      </c>
      <c r="BM108" s="184">
        <v>2210</v>
      </c>
      <c r="BN108" s="184">
        <v>2210</v>
      </c>
      <c r="BO108" s="184">
        <v>2290</v>
      </c>
      <c r="BP108" s="184">
        <v>2290</v>
      </c>
      <c r="BQ108" s="184">
        <v>2290</v>
      </c>
      <c r="BR108" s="184"/>
      <c r="BS108" s="184"/>
      <c r="BT108" s="184"/>
      <c r="BU108" s="146" cm="1">
        <f t="array" ref="BU108">LOOKUP(2,1/(Y108:BT108&lt;&gt;""),Y108:BH108)</f>
        <v>2290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46199</v>
      </c>
      <c r="BW108" s="211" cm="1">
        <f t="array" ref="BW108">(LOOKUP(2,1/(BH108:BT108&lt;&gt;""),BH108:BT108))/(INDEX(BH108:BT108,MATCH(TRUE,INDEX((BH108:BT108&lt;&gt;0),0),0)))-1</f>
        <v>8.0188679245283057E-2</v>
      </c>
      <c r="BX108" s="212">
        <f t="shared" si="38"/>
        <v>2.29</v>
      </c>
      <c r="BY108" s="212">
        <f t="shared" si="37"/>
        <v>13.511000000000001</v>
      </c>
      <c r="BZ108" s="212">
        <f ca="1">IF(L108="BR",'Impostos e Frete'!$F$6,IF(L108="EU",'Impostos e Frete'!$I$3,IF(L108="CN",'Impostos e Frete'!$I$4,IF(L108="JP",'Impostos e Frete'!$I$5,IF(L108="RU",'Impostos e Frete'!$I$7,"ERRO")))))</f>
        <v>0.14176320000000001</v>
      </c>
      <c r="CA108" s="212">
        <f>VLOOKUP(L108,'Impostos e Frete'!$A$3:$B$7,2,0)*'Preços e Condições'!BY108</f>
        <v>1.7564300000000002</v>
      </c>
      <c r="CB108" s="147">
        <f t="shared" si="39"/>
        <v>-0.17699999999999999</v>
      </c>
      <c r="CC108" s="147">
        <f>IF(X108="BRL",'Impostos e Frete'!$B$11,'Impostos e Frete'!$B$12)</f>
        <v>9.1999999999999998E-2</v>
      </c>
      <c r="CD108" s="213">
        <f t="shared" ca="1" si="40"/>
        <v>15.324193200000002</v>
      </c>
      <c r="CE108" s="214">
        <f t="shared" ca="1" si="41"/>
        <v>1.225935456</v>
      </c>
      <c r="CF108" s="215">
        <f>VLOOKUP(L108,'Impostos e Frete'!$A$3:$C$7,3,0)</f>
        <v>105</v>
      </c>
      <c r="CG108" s="215">
        <f t="shared" si="42"/>
        <v>120</v>
      </c>
      <c r="CH108" s="215">
        <f t="shared" si="43"/>
        <v>15</v>
      </c>
      <c r="CI108" s="216">
        <f t="shared" ca="1" si="44"/>
        <v>-0.11365442312934171</v>
      </c>
      <c r="CJ108" s="217">
        <f t="shared" ca="1" si="45"/>
        <v>15.21053877687066</v>
      </c>
      <c r="CK108" s="218">
        <f t="shared" ca="1" si="46"/>
        <v>1.2168431021496529</v>
      </c>
    </row>
    <row r="109" spans="1:89">
      <c r="A109" s="176">
        <v>14140</v>
      </c>
      <c r="B109" s="177">
        <v>104</v>
      </c>
      <c r="C109" s="178">
        <v>80</v>
      </c>
      <c r="D109" s="178">
        <v>1870</v>
      </c>
      <c r="E109" s="178" t="s">
        <v>50</v>
      </c>
      <c r="F109" s="179" t="s">
        <v>2</v>
      </c>
      <c r="G109" s="189" t="s">
        <v>146</v>
      </c>
      <c r="H109" s="178" t="s">
        <v>43</v>
      </c>
      <c r="I109" s="178">
        <v>32113</v>
      </c>
      <c r="J109" s="178"/>
      <c r="K109" s="178"/>
      <c r="L109" s="178" t="s">
        <v>59</v>
      </c>
      <c r="M109" s="178">
        <v>120</v>
      </c>
      <c r="N109" s="178"/>
      <c r="O109" s="178"/>
      <c r="P109" s="178"/>
      <c r="Q109" s="178"/>
      <c r="R109" s="178" t="s">
        <v>126</v>
      </c>
      <c r="S109" s="181"/>
      <c r="T109" s="181"/>
      <c r="U109" s="182"/>
      <c r="V109" s="182" t="s">
        <v>35</v>
      </c>
      <c r="W109" s="183">
        <v>150</v>
      </c>
      <c r="X109" s="182" t="s">
        <v>51</v>
      </c>
      <c r="Y109" s="184">
        <v>2550</v>
      </c>
      <c r="Z109" s="184">
        <v>2550</v>
      </c>
      <c r="AA109" s="184">
        <v>2550</v>
      </c>
      <c r="AB109" s="184">
        <v>2450</v>
      </c>
      <c r="AC109" s="184">
        <v>2450</v>
      </c>
      <c r="AD109" s="184">
        <v>2450</v>
      </c>
      <c r="AE109" s="184">
        <v>2230</v>
      </c>
      <c r="AF109" s="184">
        <v>2230</v>
      </c>
      <c r="AG109" s="184">
        <v>2230</v>
      </c>
      <c r="AH109" s="184">
        <v>2110</v>
      </c>
      <c r="AI109" s="184">
        <v>2110</v>
      </c>
      <c r="AJ109" s="184">
        <v>2110</v>
      </c>
      <c r="AK109" s="184">
        <v>2110</v>
      </c>
      <c r="AL109" s="146">
        <f>40+(AL105-20)</f>
        <v>2180</v>
      </c>
      <c r="AM109" s="146">
        <f>40+(AM105-20)</f>
        <v>2180</v>
      </c>
      <c r="AN109" s="146">
        <f>40+(AN105-20)</f>
        <v>2180</v>
      </c>
      <c r="AO109" s="184">
        <v>2260</v>
      </c>
      <c r="AP109" s="184">
        <v>2260</v>
      </c>
      <c r="AQ109" s="184">
        <v>2260</v>
      </c>
      <c r="AR109" s="184">
        <v>2260</v>
      </c>
      <c r="AS109" s="184">
        <v>2260</v>
      </c>
      <c r="AT109" s="184">
        <v>2260</v>
      </c>
      <c r="AU109" s="184">
        <v>2200</v>
      </c>
      <c r="AV109" s="184">
        <v>2200</v>
      </c>
      <c r="AW109" s="146">
        <f>AW105-20</f>
        <v>2160</v>
      </c>
      <c r="AX109" s="146">
        <f>AX105-20</f>
        <v>2160</v>
      </c>
      <c r="AY109" s="146">
        <f>AY105-20</f>
        <v>2160</v>
      </c>
      <c r="AZ109" s="184">
        <v>2240</v>
      </c>
      <c r="BA109" s="184">
        <v>2240</v>
      </c>
      <c r="BB109" s="184">
        <v>2240</v>
      </c>
      <c r="BC109" s="184">
        <v>2240</v>
      </c>
      <c r="BD109" s="184">
        <v>2240</v>
      </c>
      <c r="BE109" s="184">
        <v>2240</v>
      </c>
      <c r="BF109" s="184">
        <v>2140</v>
      </c>
      <c r="BG109" s="184">
        <v>2140</v>
      </c>
      <c r="BH109" s="184">
        <v>2140</v>
      </c>
      <c r="BI109" s="184">
        <v>2140</v>
      </c>
      <c r="BJ109" s="184">
        <v>2140</v>
      </c>
      <c r="BK109" s="184">
        <v>2140</v>
      </c>
      <c r="BL109" s="184">
        <v>2230</v>
      </c>
      <c r="BM109" s="184">
        <v>2230</v>
      </c>
      <c r="BN109" s="184">
        <v>2230</v>
      </c>
      <c r="BO109" s="184">
        <v>2310</v>
      </c>
      <c r="BP109" s="184">
        <v>2310</v>
      </c>
      <c r="BQ109" s="184">
        <v>2310</v>
      </c>
      <c r="BR109" s="184"/>
      <c r="BS109" s="184"/>
      <c r="BT109" s="184"/>
      <c r="BU109" s="146" cm="1">
        <f t="array" ref="BU109">LOOKUP(2,1/(Y109:BT109&lt;&gt;""),Y109:BH109)</f>
        <v>2310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46199</v>
      </c>
      <c r="BW109" s="211" cm="1">
        <f t="array" ref="BW109">(LOOKUP(2,1/(BH109:BT109&lt;&gt;""),BH109:BT109))/(INDEX(BH109:BT109,MATCH(TRUE,INDEX((BH109:BT109&lt;&gt;0),0),0)))-1</f>
        <v>7.9439252336448662E-2</v>
      </c>
      <c r="BX109" s="212">
        <f t="shared" si="38"/>
        <v>2.31</v>
      </c>
      <c r="BY109" s="212">
        <f t="shared" si="37"/>
        <v>13.629000000000001</v>
      </c>
      <c r="BZ109" s="212">
        <f ca="1">IF(L109="BR",'Impostos e Frete'!$F$6,IF(L109="EU",'Impostos e Frete'!$I$3,IF(L109="CN",'Impostos e Frete'!$I$4,IF(L109="JP",'Impostos e Frete'!$I$5,IF(L109="RU",'Impostos e Frete'!$I$7,"ERRO")))))</f>
        <v>0.14176320000000001</v>
      </c>
      <c r="CA109" s="212">
        <f>VLOOKUP(L109,'Impostos e Frete'!$A$3:$B$7,2,0)*'Preços e Condições'!BY109</f>
        <v>1.7717700000000003</v>
      </c>
      <c r="CB109" s="147">
        <f t="shared" si="39"/>
        <v>-0.17699999999999999</v>
      </c>
      <c r="CC109" s="147">
        <f>IF(X109="BRL",'Impostos e Frete'!$B$11,'Impostos e Frete'!$B$12)</f>
        <v>9.1999999999999998E-2</v>
      </c>
      <c r="CD109" s="213">
        <f t="shared" ca="1" si="40"/>
        <v>15.457533200000002</v>
      </c>
      <c r="CE109" s="214">
        <f t="shared" ca="1" si="41"/>
        <v>1.2366026560000001</v>
      </c>
      <c r="CF109" s="215">
        <f>VLOOKUP(L109,'Impostos e Frete'!$A$3:$C$7,3,0)</f>
        <v>105</v>
      </c>
      <c r="CG109" s="215">
        <f t="shared" si="42"/>
        <v>120</v>
      </c>
      <c r="CH109" s="215">
        <f t="shared" si="43"/>
        <v>15</v>
      </c>
      <c r="CI109" s="216">
        <f t="shared" ca="1" si="44"/>
        <v>-0.11464336137765763</v>
      </c>
      <c r="CJ109" s="217">
        <f t="shared" ca="1" si="45"/>
        <v>15.342889838622344</v>
      </c>
      <c r="CK109" s="218">
        <f t="shared" ca="1" si="46"/>
        <v>1.2274311870897874</v>
      </c>
    </row>
    <row r="110" spans="1:89">
      <c r="A110" s="176">
        <v>14140</v>
      </c>
      <c r="B110" s="177">
        <v>104</v>
      </c>
      <c r="C110" s="178">
        <v>80</v>
      </c>
      <c r="D110" s="178">
        <v>1870</v>
      </c>
      <c r="E110" s="178" t="s">
        <v>50</v>
      </c>
      <c r="F110" s="179" t="s">
        <v>2</v>
      </c>
      <c r="G110" s="189" t="s">
        <v>146</v>
      </c>
      <c r="H110" s="178" t="s">
        <v>43</v>
      </c>
      <c r="I110" s="178">
        <v>32113</v>
      </c>
      <c r="J110" s="178"/>
      <c r="K110" s="178"/>
      <c r="L110" s="178" t="s">
        <v>59</v>
      </c>
      <c r="M110" s="178">
        <v>120</v>
      </c>
      <c r="N110" s="178"/>
      <c r="O110" s="178"/>
      <c r="P110" s="178"/>
      <c r="Q110" s="178"/>
      <c r="R110" s="178" t="s">
        <v>126</v>
      </c>
      <c r="S110" s="181"/>
      <c r="T110" s="181"/>
      <c r="U110" s="182"/>
      <c r="V110" s="182" t="s">
        <v>35</v>
      </c>
      <c r="W110" s="183">
        <v>70</v>
      </c>
      <c r="X110" s="182" t="s">
        <v>51</v>
      </c>
      <c r="Y110" s="184">
        <v>2590</v>
      </c>
      <c r="Z110" s="184">
        <v>2590</v>
      </c>
      <c r="AA110" s="184">
        <v>2590</v>
      </c>
      <c r="AB110" s="184">
        <v>2490</v>
      </c>
      <c r="AC110" s="184">
        <v>2490</v>
      </c>
      <c r="AD110" s="184">
        <v>2490</v>
      </c>
      <c r="AE110" s="184">
        <v>2270</v>
      </c>
      <c r="AF110" s="184">
        <v>2270</v>
      </c>
      <c r="AG110" s="184">
        <v>2270</v>
      </c>
      <c r="AH110" s="184">
        <v>2150</v>
      </c>
      <c r="AI110" s="184">
        <v>2150</v>
      </c>
      <c r="AJ110" s="184">
        <v>2150</v>
      </c>
      <c r="AK110" s="184">
        <v>2150</v>
      </c>
      <c r="AL110" s="146">
        <f>40+(AL105+20)</f>
        <v>2220</v>
      </c>
      <c r="AM110" s="146">
        <f>40+(AM105+20)</f>
        <v>2220</v>
      </c>
      <c r="AN110" s="146">
        <f>40+(AN105+20)</f>
        <v>2220</v>
      </c>
      <c r="AO110" s="184">
        <v>2300</v>
      </c>
      <c r="AP110" s="184">
        <v>2300</v>
      </c>
      <c r="AQ110" s="184">
        <v>2300</v>
      </c>
      <c r="AR110" s="184">
        <v>2300</v>
      </c>
      <c r="AS110" s="184">
        <v>2300</v>
      </c>
      <c r="AT110" s="184">
        <v>2300</v>
      </c>
      <c r="AU110" s="184">
        <v>2240</v>
      </c>
      <c r="AV110" s="184">
        <v>2240</v>
      </c>
      <c r="AW110" s="146">
        <f>AW105+20</f>
        <v>2200</v>
      </c>
      <c r="AX110" s="146">
        <f>AX105+20</f>
        <v>2200</v>
      </c>
      <c r="AY110" s="146">
        <f>AY105+20</f>
        <v>2200</v>
      </c>
      <c r="AZ110" s="184">
        <v>2280</v>
      </c>
      <c r="BA110" s="184">
        <v>2280</v>
      </c>
      <c r="BB110" s="184">
        <v>2280</v>
      </c>
      <c r="BC110" s="184">
        <v>2280</v>
      </c>
      <c r="BD110" s="184">
        <v>2280</v>
      </c>
      <c r="BE110" s="184">
        <v>2280</v>
      </c>
      <c r="BF110" s="184">
        <v>2180</v>
      </c>
      <c r="BG110" s="184">
        <v>2180</v>
      </c>
      <c r="BH110" s="184">
        <v>2180</v>
      </c>
      <c r="BI110" s="184">
        <v>2180</v>
      </c>
      <c r="BJ110" s="184">
        <v>2180</v>
      </c>
      <c r="BK110" s="184">
        <v>2180</v>
      </c>
      <c r="BL110" s="184">
        <v>2270</v>
      </c>
      <c r="BM110" s="184">
        <v>2270</v>
      </c>
      <c r="BN110" s="184">
        <v>2270</v>
      </c>
      <c r="BO110" s="184">
        <v>2350</v>
      </c>
      <c r="BP110" s="184">
        <v>2350</v>
      </c>
      <c r="BQ110" s="184">
        <v>2350</v>
      </c>
      <c r="BR110" s="184"/>
      <c r="BS110" s="184"/>
      <c r="BT110" s="184"/>
      <c r="BU110" s="146" cm="1">
        <f t="array" ref="BU110">LOOKUP(2,1/(Y110:BT110&lt;&gt;""),Y110:BH110)</f>
        <v>2350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46199</v>
      </c>
      <c r="BW110" s="211" cm="1">
        <f t="array" ref="BW110">(LOOKUP(2,1/(BH110:BT110&lt;&gt;""),BH110:BT110))/(INDEX(BH110:BT110,MATCH(TRUE,INDEX((BH110:BT110&lt;&gt;0),0),0)))-1</f>
        <v>7.7981651376146877E-2</v>
      </c>
      <c r="BX110" s="212">
        <f t="shared" si="38"/>
        <v>2.35</v>
      </c>
      <c r="BY110" s="212">
        <f t="shared" si="37"/>
        <v>13.865000000000002</v>
      </c>
      <c r="BZ110" s="212">
        <f ca="1">IF(L110="BR",'Impostos e Frete'!$F$6,IF(L110="EU",'Impostos e Frete'!$I$3,IF(L110="CN",'Impostos e Frete'!$I$4,IF(L110="JP",'Impostos e Frete'!$I$5,IF(L110="RU",'Impostos e Frete'!$I$7,"ERRO")))))</f>
        <v>0.14176320000000001</v>
      </c>
      <c r="CA110" s="212">
        <f>VLOOKUP(L110,'Impostos e Frete'!$A$3:$B$7,2,0)*'Preços e Condições'!BY110</f>
        <v>1.8024500000000003</v>
      </c>
      <c r="CB110" s="147">
        <f t="shared" si="39"/>
        <v>-0.17699999999999999</v>
      </c>
      <c r="CC110" s="147">
        <f>IF(X110="BRL",'Impostos e Frete'!$B$11,'Impostos e Frete'!$B$12)</f>
        <v>9.1999999999999998E-2</v>
      </c>
      <c r="CD110" s="213">
        <f t="shared" ca="1" si="40"/>
        <v>15.724213200000003</v>
      </c>
      <c r="CE110" s="214">
        <f t="shared" ca="1" si="41"/>
        <v>1.2579370560000003</v>
      </c>
      <c r="CF110" s="215">
        <f>VLOOKUP(L110,'Impostos e Frete'!$A$3:$C$7,3,0)</f>
        <v>105</v>
      </c>
      <c r="CG110" s="215">
        <f t="shared" si="42"/>
        <v>120</v>
      </c>
      <c r="CH110" s="215">
        <f t="shared" si="43"/>
        <v>15</v>
      </c>
      <c r="CI110" s="216">
        <f t="shared" ca="1" si="44"/>
        <v>-0.11662123787429124</v>
      </c>
      <c r="CJ110" s="217">
        <f t="shared" ca="1" si="45"/>
        <v>15.607591962125712</v>
      </c>
      <c r="CK110" s="218">
        <f t="shared" ca="1" si="46"/>
        <v>1.2486073569700569</v>
      </c>
    </row>
    <row r="111" spans="1:89">
      <c r="A111" s="176">
        <v>14140</v>
      </c>
      <c r="B111" s="177">
        <v>104</v>
      </c>
      <c r="C111" s="178">
        <v>80</v>
      </c>
      <c r="D111" s="178">
        <v>1870</v>
      </c>
      <c r="E111" s="178" t="s">
        <v>50</v>
      </c>
      <c r="F111" s="179" t="s">
        <v>2</v>
      </c>
      <c r="G111" s="189" t="s">
        <v>146</v>
      </c>
      <c r="H111" s="178" t="s">
        <v>43</v>
      </c>
      <c r="I111" s="178">
        <v>32113</v>
      </c>
      <c r="J111" s="178"/>
      <c r="K111" s="178"/>
      <c r="L111" s="178" t="s">
        <v>59</v>
      </c>
      <c r="M111" s="178">
        <v>120</v>
      </c>
      <c r="N111" s="178"/>
      <c r="O111" s="178"/>
      <c r="P111" s="178"/>
      <c r="Q111" s="178"/>
      <c r="R111" s="178" t="s">
        <v>126</v>
      </c>
      <c r="S111" s="181"/>
      <c r="T111" s="181"/>
      <c r="U111" s="182"/>
      <c r="V111" s="182" t="s">
        <v>35</v>
      </c>
      <c r="W111" s="183">
        <v>50</v>
      </c>
      <c r="X111" s="182" t="s">
        <v>51</v>
      </c>
      <c r="Y111" s="184">
        <v>2620</v>
      </c>
      <c r="Z111" s="184">
        <v>2620</v>
      </c>
      <c r="AA111" s="184">
        <v>2620</v>
      </c>
      <c r="AB111" s="184">
        <v>2520</v>
      </c>
      <c r="AC111" s="184">
        <v>2520</v>
      </c>
      <c r="AD111" s="184">
        <v>2520</v>
      </c>
      <c r="AE111" s="184">
        <v>2300</v>
      </c>
      <c r="AF111" s="184">
        <v>2300</v>
      </c>
      <c r="AG111" s="184">
        <v>2300</v>
      </c>
      <c r="AH111" s="184">
        <v>2180</v>
      </c>
      <c r="AI111" s="184">
        <v>2180</v>
      </c>
      <c r="AJ111" s="184">
        <v>2180</v>
      </c>
      <c r="AK111" s="184">
        <v>2180</v>
      </c>
      <c r="AL111" s="146">
        <f>40+(AL105+50)</f>
        <v>2250</v>
      </c>
      <c r="AM111" s="146">
        <f>40+(AM105+50)</f>
        <v>2250</v>
      </c>
      <c r="AN111" s="146">
        <f>40+(AN105+50)</f>
        <v>2250</v>
      </c>
      <c r="AO111" s="184">
        <v>2330</v>
      </c>
      <c r="AP111" s="184">
        <v>2330</v>
      </c>
      <c r="AQ111" s="184">
        <v>2330</v>
      </c>
      <c r="AR111" s="184">
        <v>2330</v>
      </c>
      <c r="AS111" s="184">
        <v>2330</v>
      </c>
      <c r="AT111" s="184">
        <v>2330</v>
      </c>
      <c r="AU111" s="184">
        <v>2270</v>
      </c>
      <c r="AV111" s="184">
        <v>2270</v>
      </c>
      <c r="AW111" s="146">
        <f>AW105+50</f>
        <v>2230</v>
      </c>
      <c r="AX111" s="146">
        <f>AX105+50</f>
        <v>2230</v>
      </c>
      <c r="AY111" s="146">
        <f>AY105+50</f>
        <v>2230</v>
      </c>
      <c r="AZ111" s="184">
        <v>2310</v>
      </c>
      <c r="BA111" s="184">
        <v>2310</v>
      </c>
      <c r="BB111" s="184">
        <v>2310</v>
      </c>
      <c r="BC111" s="184">
        <v>2310</v>
      </c>
      <c r="BD111" s="184">
        <v>2310</v>
      </c>
      <c r="BE111" s="184">
        <v>2310</v>
      </c>
      <c r="BF111" s="184">
        <v>2210</v>
      </c>
      <c r="BG111" s="184">
        <v>2210</v>
      </c>
      <c r="BH111" s="184">
        <v>2210</v>
      </c>
      <c r="BI111" s="184">
        <v>2210</v>
      </c>
      <c r="BJ111" s="184">
        <v>2210</v>
      </c>
      <c r="BK111" s="184">
        <v>2210</v>
      </c>
      <c r="BL111" s="184">
        <v>2300</v>
      </c>
      <c r="BM111" s="184">
        <v>2300</v>
      </c>
      <c r="BN111" s="184">
        <v>2300</v>
      </c>
      <c r="BO111" s="184">
        <v>2380</v>
      </c>
      <c r="BP111" s="184">
        <v>2380</v>
      </c>
      <c r="BQ111" s="184">
        <v>2380</v>
      </c>
      <c r="BR111" s="184"/>
      <c r="BS111" s="184"/>
      <c r="BT111" s="184"/>
      <c r="BU111" s="146" cm="1">
        <f t="array" ref="BU111">LOOKUP(2,1/(Y111:BT111&lt;&gt;""),Y111:BH111)</f>
        <v>2380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46199</v>
      </c>
      <c r="BW111" s="211" cm="1">
        <f t="array" ref="BW111">(LOOKUP(2,1/(BH111:BT111&lt;&gt;""),BH111:BT111))/(INDEX(BH111:BT111,MATCH(TRUE,INDEX((BH111:BT111&lt;&gt;0),0),0)))-1</f>
        <v>7.6923076923076872E-2</v>
      </c>
      <c r="BX111" s="212">
        <f t="shared" si="38"/>
        <v>2.38</v>
      </c>
      <c r="BY111" s="212">
        <f t="shared" si="37"/>
        <v>14.042</v>
      </c>
      <c r="BZ111" s="212">
        <f ca="1">IF(L111="BR",'Impostos e Frete'!$F$6,IF(L111="EU",'Impostos e Frete'!$I$3,IF(L111="CN",'Impostos e Frete'!$I$4,IF(L111="JP",'Impostos e Frete'!$I$5,IF(L111="RU",'Impostos e Frete'!$I$7,"ERRO")))))</f>
        <v>0.14176320000000001</v>
      </c>
      <c r="CA111" s="212">
        <f>VLOOKUP(L111,'Impostos e Frete'!$A$3:$B$7,2,0)*'Preços e Condições'!BY111</f>
        <v>1.8254600000000001</v>
      </c>
      <c r="CB111" s="147">
        <f t="shared" si="39"/>
        <v>-0.17699999999999999</v>
      </c>
      <c r="CC111" s="147">
        <f>IF(X111="BRL",'Impostos e Frete'!$B$11,'Impostos e Frete'!$B$12)</f>
        <v>9.1999999999999998E-2</v>
      </c>
      <c r="CD111" s="213">
        <f t="shared" ca="1" si="40"/>
        <v>15.924223200000002</v>
      </c>
      <c r="CE111" s="214">
        <f t="shared" ca="1" si="41"/>
        <v>1.2739378560000001</v>
      </c>
      <c r="CF111" s="215">
        <f>VLOOKUP(L111,'Impostos e Frete'!$A$3:$C$7,3,0)</f>
        <v>105</v>
      </c>
      <c r="CG111" s="215">
        <f t="shared" si="42"/>
        <v>120</v>
      </c>
      <c r="CH111" s="215">
        <f t="shared" si="43"/>
        <v>15</v>
      </c>
      <c r="CI111" s="216">
        <f t="shared" ca="1" si="44"/>
        <v>-0.11810464524676512</v>
      </c>
      <c r="CJ111" s="217">
        <f t="shared" ca="1" si="45"/>
        <v>15.806118554753237</v>
      </c>
      <c r="CK111" s="218">
        <f t="shared" ca="1" si="46"/>
        <v>1.264489484380259</v>
      </c>
    </row>
    <row r="112" spans="1:89">
      <c r="A112" s="176">
        <v>14140</v>
      </c>
      <c r="B112" s="177">
        <v>104</v>
      </c>
      <c r="C112" s="178">
        <v>80</v>
      </c>
      <c r="D112" s="178">
        <v>1870</v>
      </c>
      <c r="E112" s="178" t="s">
        <v>50</v>
      </c>
      <c r="F112" s="179" t="s">
        <v>2</v>
      </c>
      <c r="G112" s="189" t="s">
        <v>146</v>
      </c>
      <c r="H112" s="178" t="s">
        <v>43</v>
      </c>
      <c r="I112" s="178">
        <v>32113</v>
      </c>
      <c r="J112" s="178"/>
      <c r="K112" s="178"/>
      <c r="L112" s="178" t="s">
        <v>59</v>
      </c>
      <c r="M112" s="178">
        <v>120</v>
      </c>
      <c r="N112" s="178"/>
      <c r="O112" s="178"/>
      <c r="P112" s="178"/>
      <c r="Q112" s="178"/>
      <c r="R112" s="178" t="s">
        <v>126</v>
      </c>
      <c r="S112" s="181"/>
      <c r="T112" s="181"/>
      <c r="U112" s="182"/>
      <c r="V112" s="182" t="s">
        <v>35</v>
      </c>
      <c r="W112" s="183">
        <v>30</v>
      </c>
      <c r="X112" s="182" t="s">
        <v>51</v>
      </c>
      <c r="Y112" s="184">
        <v>2670</v>
      </c>
      <c r="Z112" s="184">
        <v>2670</v>
      </c>
      <c r="AA112" s="184">
        <v>2670</v>
      </c>
      <c r="AB112" s="184">
        <v>2570</v>
      </c>
      <c r="AC112" s="184">
        <v>2570</v>
      </c>
      <c r="AD112" s="184">
        <v>2570</v>
      </c>
      <c r="AE112" s="184">
        <v>2350</v>
      </c>
      <c r="AF112" s="184">
        <v>2350</v>
      </c>
      <c r="AG112" s="184">
        <v>2350</v>
      </c>
      <c r="AH112" s="184">
        <v>2230</v>
      </c>
      <c r="AI112" s="184">
        <v>2230</v>
      </c>
      <c r="AJ112" s="184">
        <v>2230</v>
      </c>
      <c r="AK112" s="184">
        <v>2230</v>
      </c>
      <c r="AL112" s="146">
        <f>40+(AL105+100)</f>
        <v>2300</v>
      </c>
      <c r="AM112" s="146">
        <f>40+(AM105+100)</f>
        <v>2300</v>
      </c>
      <c r="AN112" s="146">
        <f>40+(AN105+100)</f>
        <v>2300</v>
      </c>
      <c r="AO112" s="184">
        <v>2380</v>
      </c>
      <c r="AP112" s="184">
        <v>2380</v>
      </c>
      <c r="AQ112" s="184">
        <v>2380</v>
      </c>
      <c r="AR112" s="184">
        <v>2380</v>
      </c>
      <c r="AS112" s="184">
        <v>2380</v>
      </c>
      <c r="AT112" s="184">
        <v>2380</v>
      </c>
      <c r="AU112" s="184">
        <v>2320</v>
      </c>
      <c r="AV112" s="184">
        <v>2320</v>
      </c>
      <c r="AW112" s="146">
        <f>AW105+100</f>
        <v>2280</v>
      </c>
      <c r="AX112" s="146">
        <f>AX105+100</f>
        <v>2280</v>
      </c>
      <c r="AY112" s="146">
        <f>AY105+100</f>
        <v>2280</v>
      </c>
      <c r="AZ112" s="184">
        <v>2360</v>
      </c>
      <c r="BA112" s="184">
        <v>2360</v>
      </c>
      <c r="BB112" s="184">
        <v>2360</v>
      </c>
      <c r="BC112" s="184">
        <v>2360</v>
      </c>
      <c r="BD112" s="184">
        <v>2360</v>
      </c>
      <c r="BE112" s="184">
        <v>2360</v>
      </c>
      <c r="BF112" s="184">
        <v>2260</v>
      </c>
      <c r="BG112" s="184">
        <v>2260</v>
      </c>
      <c r="BH112" s="184">
        <v>2260</v>
      </c>
      <c r="BI112" s="184">
        <v>2260</v>
      </c>
      <c r="BJ112" s="184">
        <v>2260</v>
      </c>
      <c r="BK112" s="184">
        <v>2260</v>
      </c>
      <c r="BL112" s="184">
        <v>2350</v>
      </c>
      <c r="BM112" s="184">
        <v>2350</v>
      </c>
      <c r="BN112" s="184">
        <v>2350</v>
      </c>
      <c r="BO112" s="184">
        <v>2430</v>
      </c>
      <c r="BP112" s="184">
        <v>2430</v>
      </c>
      <c r="BQ112" s="184">
        <v>2430</v>
      </c>
      <c r="BR112" s="184"/>
      <c r="BS112" s="184"/>
      <c r="BT112" s="184"/>
      <c r="BU112" s="146" cm="1">
        <f t="array" ref="BU112">LOOKUP(2,1/(Y112:BT112&lt;&gt;""),Y112:BH112)</f>
        <v>2430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46199</v>
      </c>
      <c r="BW112" s="211" cm="1">
        <f t="array" ref="BW112">(LOOKUP(2,1/(BH112:BT112&lt;&gt;""),BH112:BT112))/(INDEX(BH112:BT112,MATCH(TRUE,INDEX((BH112:BT112&lt;&gt;0),0),0)))-1</f>
        <v>7.5221238938053103E-2</v>
      </c>
      <c r="BX112" s="212">
        <f t="shared" si="38"/>
        <v>2.4300000000000002</v>
      </c>
      <c r="BY112" s="212">
        <f t="shared" si="37"/>
        <v>14.337000000000002</v>
      </c>
      <c r="BZ112" s="212">
        <f ca="1">IF(L112="BR",'Impostos e Frete'!$F$6,IF(L112="EU",'Impostos e Frete'!$I$3,IF(L112="CN",'Impostos e Frete'!$I$4,IF(L112="JP",'Impostos e Frete'!$I$5,IF(L112="RU",'Impostos e Frete'!$I$7,"ERRO")))))</f>
        <v>0.14176320000000001</v>
      </c>
      <c r="CA112" s="212">
        <f>VLOOKUP(L112,'Impostos e Frete'!$A$3:$B$7,2,0)*'Preços e Condições'!BY112</f>
        <v>1.8638100000000002</v>
      </c>
      <c r="CB112" s="147">
        <f t="shared" si="39"/>
        <v>-0.17699999999999999</v>
      </c>
      <c r="CC112" s="147">
        <f>IF(X112="BRL",'Impostos e Frete'!$B$11,'Impostos e Frete'!$B$12)</f>
        <v>9.1999999999999998E-2</v>
      </c>
      <c r="CD112" s="213">
        <f t="shared" ca="1" si="40"/>
        <v>16.2575732</v>
      </c>
      <c r="CE112" s="214">
        <f t="shared" ca="1" si="41"/>
        <v>1.300605856</v>
      </c>
      <c r="CF112" s="215">
        <f>VLOOKUP(L112,'Impostos e Frete'!$A$3:$C$7,3,0)</f>
        <v>105</v>
      </c>
      <c r="CG112" s="215">
        <f t="shared" si="42"/>
        <v>120</v>
      </c>
      <c r="CH112" s="215">
        <f t="shared" si="43"/>
        <v>15</v>
      </c>
      <c r="CI112" s="216">
        <f t="shared" ca="1" si="44"/>
        <v>-0.12057699086755491</v>
      </c>
      <c r="CJ112" s="217">
        <f t="shared" ca="1" si="45"/>
        <v>16.136996209132445</v>
      </c>
      <c r="CK112" s="218">
        <f t="shared" ca="1" si="46"/>
        <v>1.2909596967305956</v>
      </c>
    </row>
    <row r="113" spans="1:89">
      <c r="A113" s="176">
        <v>14143</v>
      </c>
      <c r="B113" s="177">
        <v>8269</v>
      </c>
      <c r="C113" s="178">
        <v>68</v>
      </c>
      <c r="D113" s="178">
        <v>2120</v>
      </c>
      <c r="E113" s="178" t="s">
        <v>50</v>
      </c>
      <c r="F113" s="179" t="s">
        <v>2</v>
      </c>
      <c r="G113" s="189" t="s">
        <v>85</v>
      </c>
      <c r="H113" s="178" t="s">
        <v>42</v>
      </c>
      <c r="I113" s="178">
        <v>32102</v>
      </c>
      <c r="J113" s="178"/>
      <c r="K113" s="178"/>
      <c r="L113" s="178" t="s">
        <v>59</v>
      </c>
      <c r="M113" s="178">
        <v>120</v>
      </c>
      <c r="N113" s="178"/>
      <c r="O113" s="178"/>
      <c r="P113" s="178"/>
      <c r="Q113" s="178"/>
      <c r="R113" s="178" t="s">
        <v>126</v>
      </c>
      <c r="S113" s="181"/>
      <c r="T113" s="181"/>
      <c r="U113" s="182"/>
      <c r="V113" s="182" t="s">
        <v>35</v>
      </c>
      <c r="W113" s="183">
        <v>100</v>
      </c>
      <c r="X113" s="182" t="s">
        <v>51</v>
      </c>
      <c r="Y113" s="184">
        <v>2470</v>
      </c>
      <c r="Z113" s="184">
        <v>2470</v>
      </c>
      <c r="AA113" s="184">
        <v>2470</v>
      </c>
      <c r="AB113" s="184">
        <v>2380</v>
      </c>
      <c r="AC113" s="184">
        <v>2380</v>
      </c>
      <c r="AD113" s="184">
        <v>2380</v>
      </c>
      <c r="AE113" s="184">
        <v>2170</v>
      </c>
      <c r="AF113" s="184">
        <v>2170</v>
      </c>
      <c r="AG113" s="184">
        <v>2170</v>
      </c>
      <c r="AH113" s="184">
        <v>2060</v>
      </c>
      <c r="AI113" s="184">
        <v>2060</v>
      </c>
      <c r="AJ113" s="184">
        <v>2060</v>
      </c>
      <c r="AK113" s="184">
        <v>2060</v>
      </c>
      <c r="AL113" s="184">
        <v>2090</v>
      </c>
      <c r="AM113" s="184">
        <v>2090</v>
      </c>
      <c r="AN113" s="184">
        <v>2090</v>
      </c>
      <c r="AO113" s="184">
        <v>2150</v>
      </c>
      <c r="AP113" s="184">
        <v>2150</v>
      </c>
      <c r="AQ113" s="184">
        <v>2150</v>
      </c>
      <c r="AR113" s="184">
        <v>2150</v>
      </c>
      <c r="AS113" s="184">
        <v>2150</v>
      </c>
      <c r="AT113" s="184">
        <v>2150</v>
      </c>
      <c r="AU113" s="184">
        <v>2080</v>
      </c>
      <c r="AV113" s="184">
        <v>2080</v>
      </c>
      <c r="AW113" s="184">
        <v>2040</v>
      </c>
      <c r="AX113" s="184">
        <v>2040</v>
      </c>
      <c r="AY113" s="184">
        <v>2040</v>
      </c>
      <c r="AZ113" s="184">
        <v>2120</v>
      </c>
      <c r="BA113" s="184">
        <v>2120</v>
      </c>
      <c r="BB113" s="184">
        <v>2120</v>
      </c>
      <c r="BC113" s="184">
        <v>2120</v>
      </c>
      <c r="BD113" s="184">
        <v>2120</v>
      </c>
      <c r="BE113" s="184">
        <v>2120</v>
      </c>
      <c r="BF113" s="184">
        <v>2020</v>
      </c>
      <c r="BG113" s="184">
        <v>2020</v>
      </c>
      <c r="BH113" s="184">
        <v>2020</v>
      </c>
      <c r="BI113" s="184">
        <v>2020</v>
      </c>
      <c r="BJ113" s="184">
        <v>2020</v>
      </c>
      <c r="BK113" s="184">
        <v>2020</v>
      </c>
      <c r="BL113" s="184">
        <v>2100</v>
      </c>
      <c r="BM113" s="184">
        <v>2100</v>
      </c>
      <c r="BN113" s="184">
        <v>2100</v>
      </c>
      <c r="BO113" s="184">
        <v>2180</v>
      </c>
      <c r="BP113" s="184">
        <v>2180</v>
      </c>
      <c r="BQ113" s="184">
        <v>2180</v>
      </c>
      <c r="BR113" s="184"/>
      <c r="BS113" s="184"/>
      <c r="BT113" s="184"/>
      <c r="BU113" s="146" cm="1">
        <f t="array" ref="BU113">LOOKUP(2,1/(Y113:BT113&lt;&gt;""),Y113:BH113)</f>
        <v>2180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46199</v>
      </c>
      <c r="BW113" s="211" cm="1">
        <f t="array" ref="BW113">(LOOKUP(2,1/(BH113:BT113&lt;&gt;""),BH113:BT113))/(INDEX(BH113:BT113,MATCH(TRUE,INDEX((BH113:BT113&lt;&gt;0),0),0)))-1</f>
        <v>7.9207920792079278E-2</v>
      </c>
      <c r="BX113" s="212">
        <f t="shared" si="38"/>
        <v>2.1800000000000002</v>
      </c>
      <c r="BY113" s="212">
        <f t="shared" si="37"/>
        <v>12.862000000000002</v>
      </c>
      <c r="BZ113" s="212">
        <f ca="1">IF(L113="BR",'Impostos e Frete'!$F$6,IF(L113="EU",'Impostos e Frete'!$I$3,IF(L113="CN",'Impostos e Frete'!$I$4,IF(L113="JP",'Impostos e Frete'!$I$5,IF(L113="RU",'Impostos e Frete'!$I$7,"ERRO")))))</f>
        <v>0.14176320000000001</v>
      </c>
      <c r="CA113" s="212">
        <f>VLOOKUP(L113,'Impostos e Frete'!$A$3:$B$7,2,0)*'Preços e Condições'!BY113</f>
        <v>1.6720600000000003</v>
      </c>
      <c r="CB113" s="147">
        <f t="shared" si="39"/>
        <v>-0.17699999999999999</v>
      </c>
      <c r="CC113" s="147">
        <f>IF(X113="BRL",'Impostos e Frete'!$B$11,'Impostos e Frete'!$B$12)</f>
        <v>9.1999999999999998E-2</v>
      </c>
      <c r="CD113" s="213">
        <f t="shared" ca="1" si="40"/>
        <v>14.590823200000003</v>
      </c>
      <c r="CE113" s="214">
        <f t="shared" ca="1" si="41"/>
        <v>0.99217597760000009</v>
      </c>
      <c r="CF113" s="215">
        <f>VLOOKUP(L113,'Impostos e Frete'!$A$3:$C$7,3,0)</f>
        <v>105</v>
      </c>
      <c r="CG113" s="215">
        <f t="shared" si="42"/>
        <v>120</v>
      </c>
      <c r="CH113" s="215">
        <f t="shared" si="43"/>
        <v>15</v>
      </c>
      <c r="CI113" s="216">
        <f t="shared" ca="1" si="44"/>
        <v>-0.10821526276360238</v>
      </c>
      <c r="CJ113" s="217">
        <f t="shared" ca="1" si="45"/>
        <v>14.4826079372364</v>
      </c>
      <c r="CK113" s="218">
        <f t="shared" ca="1" si="46"/>
        <v>0.9848173397320753</v>
      </c>
    </row>
    <row r="114" spans="1:89">
      <c r="A114" s="176">
        <v>14143</v>
      </c>
      <c r="B114" s="177">
        <v>8269</v>
      </c>
      <c r="C114" s="178">
        <v>68</v>
      </c>
      <c r="D114" s="178">
        <v>2120</v>
      </c>
      <c r="E114" s="178" t="s">
        <v>50</v>
      </c>
      <c r="F114" s="179" t="s">
        <v>2</v>
      </c>
      <c r="G114" s="189" t="s">
        <v>85</v>
      </c>
      <c r="H114" s="178" t="s">
        <v>42</v>
      </c>
      <c r="I114" s="178">
        <v>32102</v>
      </c>
      <c r="J114" s="178"/>
      <c r="K114" s="178"/>
      <c r="L114" s="178" t="s">
        <v>59</v>
      </c>
      <c r="M114" s="178">
        <v>120</v>
      </c>
      <c r="N114" s="178"/>
      <c r="O114" s="178"/>
      <c r="P114" s="178"/>
      <c r="Q114" s="178"/>
      <c r="R114" s="178" t="s">
        <v>126</v>
      </c>
      <c r="S114" s="181"/>
      <c r="T114" s="181"/>
      <c r="U114" s="182"/>
      <c r="V114" s="182" t="s">
        <v>35</v>
      </c>
      <c r="W114" s="183">
        <v>70</v>
      </c>
      <c r="X114" s="182" t="s">
        <v>51</v>
      </c>
      <c r="Y114" s="184">
        <v>2490</v>
      </c>
      <c r="Z114" s="184">
        <v>2490</v>
      </c>
      <c r="AA114" s="184">
        <v>2490</v>
      </c>
      <c r="AB114" s="184">
        <v>2400</v>
      </c>
      <c r="AC114" s="184">
        <v>2400</v>
      </c>
      <c r="AD114" s="184">
        <v>2400</v>
      </c>
      <c r="AE114" s="184">
        <v>2190</v>
      </c>
      <c r="AF114" s="184">
        <v>2190</v>
      </c>
      <c r="AG114" s="184">
        <v>2190</v>
      </c>
      <c r="AH114" s="184">
        <v>2080</v>
      </c>
      <c r="AI114" s="184">
        <v>2080</v>
      </c>
      <c r="AJ114" s="184">
        <v>2080</v>
      </c>
      <c r="AK114" s="184">
        <v>2080</v>
      </c>
      <c r="AL114" s="146">
        <f>40+(AL113+20)</f>
        <v>2150</v>
      </c>
      <c r="AM114" s="146">
        <f>40+(AM113+20)</f>
        <v>2150</v>
      </c>
      <c r="AN114" s="146">
        <f>40+(AN113+20)</f>
        <v>2150</v>
      </c>
      <c r="AO114" s="184">
        <v>2170</v>
      </c>
      <c r="AP114" s="184">
        <v>2170</v>
      </c>
      <c r="AQ114" s="184">
        <v>2170</v>
      </c>
      <c r="AR114" s="184">
        <v>2170</v>
      </c>
      <c r="AS114" s="184">
        <v>2170</v>
      </c>
      <c r="AT114" s="184">
        <v>2170</v>
      </c>
      <c r="AU114" s="184">
        <v>2100</v>
      </c>
      <c r="AV114" s="184">
        <v>2100</v>
      </c>
      <c r="AW114" s="146">
        <f>AW113+20</f>
        <v>2060</v>
      </c>
      <c r="AX114" s="146">
        <f>AX113+20</f>
        <v>2060</v>
      </c>
      <c r="AY114" s="146">
        <f>AY113+20</f>
        <v>2060</v>
      </c>
      <c r="AZ114" s="184">
        <v>2140</v>
      </c>
      <c r="BA114" s="184">
        <v>2140</v>
      </c>
      <c r="BB114" s="184">
        <v>2140</v>
      </c>
      <c r="BC114" s="184">
        <v>2140</v>
      </c>
      <c r="BD114" s="184">
        <v>2140</v>
      </c>
      <c r="BE114" s="184">
        <v>2140</v>
      </c>
      <c r="BF114" s="184">
        <v>2040</v>
      </c>
      <c r="BG114" s="184">
        <v>2040</v>
      </c>
      <c r="BH114" s="184">
        <v>2040</v>
      </c>
      <c r="BI114" s="184">
        <v>2040</v>
      </c>
      <c r="BJ114" s="184">
        <v>2040</v>
      </c>
      <c r="BK114" s="184">
        <v>2040</v>
      </c>
      <c r="BL114" s="184">
        <v>2120</v>
      </c>
      <c r="BM114" s="184">
        <v>2120</v>
      </c>
      <c r="BN114" s="184">
        <v>2120</v>
      </c>
      <c r="BO114" s="184">
        <v>2200</v>
      </c>
      <c r="BP114" s="184">
        <v>2200</v>
      </c>
      <c r="BQ114" s="184">
        <v>2200</v>
      </c>
      <c r="BR114" s="184"/>
      <c r="BS114" s="184"/>
      <c r="BT114" s="184"/>
      <c r="BU114" s="146" cm="1">
        <f t="array" ref="BU114">LOOKUP(2,1/(Y114:BT114&lt;&gt;""),Y114:BH114)</f>
        <v>2200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46199</v>
      </c>
      <c r="BW114" s="211" cm="1">
        <f t="array" ref="BW114">(LOOKUP(2,1/(BH114:BT114&lt;&gt;""),BH114:BT114))/(INDEX(BH114:BT114,MATCH(TRUE,INDEX((BH114:BT114&lt;&gt;0),0),0)))-1</f>
        <v>7.8431372549019551E-2</v>
      </c>
      <c r="BX114" s="212">
        <f t="shared" si="38"/>
        <v>2.2000000000000002</v>
      </c>
      <c r="BY114" s="212">
        <f t="shared" si="37"/>
        <v>12.980000000000002</v>
      </c>
      <c r="BZ114" s="212">
        <f ca="1">IF(L114="BR",'Impostos e Frete'!$F$6,IF(L114="EU",'Impostos e Frete'!$I$3,IF(L114="CN",'Impostos e Frete'!$I$4,IF(L114="JP",'Impostos e Frete'!$I$5,IF(L114="RU",'Impostos e Frete'!$I$7,"ERRO")))))</f>
        <v>0.14176320000000001</v>
      </c>
      <c r="CA114" s="212">
        <f>VLOOKUP(L114,'Impostos e Frete'!$A$3:$B$7,2,0)*'Preços e Condições'!BY114</f>
        <v>1.6874000000000002</v>
      </c>
      <c r="CB114" s="147">
        <f t="shared" si="39"/>
        <v>-0.17699999999999999</v>
      </c>
      <c r="CC114" s="147">
        <f>IF(X114="BRL",'Impostos e Frete'!$B$11,'Impostos e Frete'!$B$12)</f>
        <v>9.1999999999999998E-2</v>
      </c>
      <c r="CD114" s="213">
        <f t="shared" ca="1" si="40"/>
        <v>14.724163200000003</v>
      </c>
      <c r="CE114" s="214">
        <f t="shared" ca="1" si="41"/>
        <v>1.0012430976000002</v>
      </c>
      <c r="CF114" s="215">
        <f>VLOOKUP(L114,'Impostos e Frete'!$A$3:$C$7,3,0)</f>
        <v>105</v>
      </c>
      <c r="CG114" s="215">
        <f t="shared" si="42"/>
        <v>120</v>
      </c>
      <c r="CH114" s="215">
        <f t="shared" si="43"/>
        <v>15</v>
      </c>
      <c r="CI114" s="216">
        <f t="shared" ca="1" si="44"/>
        <v>-0.1092042010119183</v>
      </c>
      <c r="CJ114" s="217">
        <f t="shared" ca="1" si="45"/>
        <v>14.614958998988085</v>
      </c>
      <c r="CK114" s="218">
        <f t="shared" ca="1" si="46"/>
        <v>0.99381721193118966</v>
      </c>
    </row>
    <row r="115" spans="1:89">
      <c r="A115" s="176">
        <v>14143</v>
      </c>
      <c r="B115" s="177">
        <v>8269</v>
      </c>
      <c r="C115" s="178">
        <v>68</v>
      </c>
      <c r="D115" s="178">
        <v>2120</v>
      </c>
      <c r="E115" s="178" t="s">
        <v>50</v>
      </c>
      <c r="F115" s="179" t="s">
        <v>2</v>
      </c>
      <c r="G115" s="189" t="s">
        <v>85</v>
      </c>
      <c r="H115" s="178" t="s">
        <v>42</v>
      </c>
      <c r="I115" s="178">
        <v>32102</v>
      </c>
      <c r="J115" s="178"/>
      <c r="K115" s="178"/>
      <c r="L115" s="178" t="s">
        <v>59</v>
      </c>
      <c r="M115" s="178">
        <v>120</v>
      </c>
      <c r="N115" s="178"/>
      <c r="O115" s="178"/>
      <c r="P115" s="178"/>
      <c r="Q115" s="178"/>
      <c r="R115" s="178" t="s">
        <v>126</v>
      </c>
      <c r="S115" s="181"/>
      <c r="T115" s="181"/>
      <c r="U115" s="182"/>
      <c r="V115" s="182" t="s">
        <v>35</v>
      </c>
      <c r="W115" s="183">
        <v>50</v>
      </c>
      <c r="X115" s="182" t="s">
        <v>51</v>
      </c>
      <c r="Y115" s="184">
        <v>2520</v>
      </c>
      <c r="Z115" s="184">
        <v>2520</v>
      </c>
      <c r="AA115" s="184">
        <v>2520</v>
      </c>
      <c r="AB115" s="184">
        <v>2430</v>
      </c>
      <c r="AC115" s="184">
        <v>2430</v>
      </c>
      <c r="AD115" s="184">
        <v>2430</v>
      </c>
      <c r="AE115" s="184">
        <v>2220</v>
      </c>
      <c r="AF115" s="184">
        <v>2220</v>
      </c>
      <c r="AG115" s="184">
        <v>2220</v>
      </c>
      <c r="AH115" s="184">
        <v>2110</v>
      </c>
      <c r="AI115" s="184">
        <v>2110</v>
      </c>
      <c r="AJ115" s="184">
        <v>2110</v>
      </c>
      <c r="AK115" s="184">
        <v>2110</v>
      </c>
      <c r="AL115" s="146">
        <f>40+(AL113+50)</f>
        <v>2180</v>
      </c>
      <c r="AM115" s="146">
        <f>40+(AM113+50)</f>
        <v>2180</v>
      </c>
      <c r="AN115" s="146">
        <f>40+(AN113+50)</f>
        <v>2180</v>
      </c>
      <c r="AO115" s="184">
        <v>2200</v>
      </c>
      <c r="AP115" s="184">
        <v>2200</v>
      </c>
      <c r="AQ115" s="184">
        <v>2200</v>
      </c>
      <c r="AR115" s="184">
        <v>2200</v>
      </c>
      <c r="AS115" s="184">
        <v>2200</v>
      </c>
      <c r="AT115" s="184">
        <v>2200</v>
      </c>
      <c r="AU115" s="184">
        <v>2130</v>
      </c>
      <c r="AV115" s="184">
        <v>2130</v>
      </c>
      <c r="AW115" s="184">
        <v>2090</v>
      </c>
      <c r="AX115" s="146">
        <f>AX113+50</f>
        <v>2090</v>
      </c>
      <c r="AY115" s="146">
        <f>AY113+50</f>
        <v>2090</v>
      </c>
      <c r="AZ115" s="184">
        <v>2170</v>
      </c>
      <c r="BA115" s="184">
        <v>2170</v>
      </c>
      <c r="BB115" s="184">
        <v>2170</v>
      </c>
      <c r="BC115" s="184">
        <v>2170</v>
      </c>
      <c r="BD115" s="184">
        <v>2170</v>
      </c>
      <c r="BE115" s="184">
        <v>2170</v>
      </c>
      <c r="BF115" s="184">
        <v>2070</v>
      </c>
      <c r="BG115" s="184">
        <v>2070</v>
      </c>
      <c r="BH115" s="184">
        <v>2070</v>
      </c>
      <c r="BI115" s="184">
        <v>2070</v>
      </c>
      <c r="BJ115" s="184">
        <v>2070</v>
      </c>
      <c r="BK115" s="184">
        <v>2070</v>
      </c>
      <c r="BL115" s="184">
        <v>2150</v>
      </c>
      <c r="BM115" s="184">
        <v>2150</v>
      </c>
      <c r="BN115" s="184">
        <v>2150</v>
      </c>
      <c r="BO115" s="184">
        <v>2230</v>
      </c>
      <c r="BP115" s="184">
        <v>2230</v>
      </c>
      <c r="BQ115" s="184">
        <v>2230</v>
      </c>
      <c r="BR115" s="184"/>
      <c r="BS115" s="184"/>
      <c r="BT115" s="184"/>
      <c r="BU115" s="146" cm="1">
        <f t="array" ref="BU115">LOOKUP(2,1/(Y115:BT115&lt;&gt;""),Y115:BH115)</f>
        <v>2230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46199</v>
      </c>
      <c r="BW115" s="211" cm="1">
        <f t="array" ref="BW115">(LOOKUP(2,1/(BH115:BT115&lt;&gt;""),BH115:BT115))/(INDEX(BH115:BT115,MATCH(TRUE,INDEX((BH115:BT115&lt;&gt;0),0),0)))-1</f>
        <v>7.7294685990338063E-2</v>
      </c>
      <c r="BX115" s="212">
        <f t="shared" si="38"/>
        <v>2.23</v>
      </c>
      <c r="BY115" s="212">
        <f t="shared" si="37"/>
        <v>13.157</v>
      </c>
      <c r="BZ115" s="212">
        <f ca="1">IF(L115="BR",'Impostos e Frete'!$F$6,IF(L115="EU",'Impostos e Frete'!$I$3,IF(L115="CN",'Impostos e Frete'!$I$4,IF(L115="JP",'Impostos e Frete'!$I$5,IF(L115="RU",'Impostos e Frete'!$I$7,"ERRO")))))</f>
        <v>0.14176320000000001</v>
      </c>
      <c r="CA115" s="212">
        <f>VLOOKUP(L115,'Impostos e Frete'!$A$3:$B$7,2,0)*'Preços e Condições'!BY115</f>
        <v>1.71041</v>
      </c>
      <c r="CB115" s="147">
        <f t="shared" si="39"/>
        <v>-0.17699999999999999</v>
      </c>
      <c r="CC115" s="147">
        <f>IF(X115="BRL",'Impostos e Frete'!$B$11,'Impostos e Frete'!$B$12)</f>
        <v>9.1999999999999998E-2</v>
      </c>
      <c r="CD115" s="213">
        <f t="shared" ca="1" si="40"/>
        <v>14.9241732</v>
      </c>
      <c r="CE115" s="214">
        <f t="shared" ca="1" si="41"/>
        <v>1.0148437775999999</v>
      </c>
      <c r="CF115" s="215">
        <f>VLOOKUP(L115,'Impostos e Frete'!$A$3:$C$7,3,0)</f>
        <v>105</v>
      </c>
      <c r="CG115" s="215">
        <f t="shared" si="42"/>
        <v>120</v>
      </c>
      <c r="CH115" s="215">
        <f t="shared" si="43"/>
        <v>15</v>
      </c>
      <c r="CI115" s="216">
        <f t="shared" ca="1" si="44"/>
        <v>-0.11068760838439395</v>
      </c>
      <c r="CJ115" s="217">
        <f t="shared" ca="1" si="45"/>
        <v>14.813485591615606</v>
      </c>
      <c r="CK115" s="218">
        <f t="shared" ca="1" si="46"/>
        <v>1.0073170202298614</v>
      </c>
    </row>
    <row r="116" spans="1:89">
      <c r="A116" s="176">
        <v>14143</v>
      </c>
      <c r="B116" s="177">
        <v>8269</v>
      </c>
      <c r="C116" s="178">
        <v>68</v>
      </c>
      <c r="D116" s="178">
        <v>2120</v>
      </c>
      <c r="E116" s="178" t="s">
        <v>50</v>
      </c>
      <c r="F116" s="179" t="s">
        <v>2</v>
      </c>
      <c r="G116" s="189" t="s">
        <v>85</v>
      </c>
      <c r="H116" s="178" t="s">
        <v>42</v>
      </c>
      <c r="I116" s="178">
        <v>32102</v>
      </c>
      <c r="J116" s="178"/>
      <c r="K116" s="178"/>
      <c r="L116" s="178" t="s">
        <v>59</v>
      </c>
      <c r="M116" s="178">
        <v>120</v>
      </c>
      <c r="N116" s="178"/>
      <c r="O116" s="178"/>
      <c r="P116" s="178"/>
      <c r="Q116" s="178"/>
      <c r="R116" s="178" t="s">
        <v>126</v>
      </c>
      <c r="S116" s="181"/>
      <c r="T116" s="181"/>
      <c r="U116" s="182"/>
      <c r="V116" s="182" t="s">
        <v>35</v>
      </c>
      <c r="W116" s="183">
        <v>30</v>
      </c>
      <c r="X116" s="182" t="s">
        <v>51</v>
      </c>
      <c r="Y116" s="184">
        <v>2570</v>
      </c>
      <c r="Z116" s="184">
        <v>2570</v>
      </c>
      <c r="AA116" s="184">
        <v>2570</v>
      </c>
      <c r="AB116" s="184">
        <v>2480</v>
      </c>
      <c r="AC116" s="184">
        <v>2480</v>
      </c>
      <c r="AD116" s="184">
        <v>2480</v>
      </c>
      <c r="AE116" s="184">
        <v>2270</v>
      </c>
      <c r="AF116" s="184">
        <v>2270</v>
      </c>
      <c r="AG116" s="184">
        <v>2270</v>
      </c>
      <c r="AH116" s="184">
        <v>2160</v>
      </c>
      <c r="AI116" s="184">
        <v>2160</v>
      </c>
      <c r="AJ116" s="184">
        <v>2160</v>
      </c>
      <c r="AK116" s="184">
        <v>2160</v>
      </c>
      <c r="AL116" s="146">
        <f>40+(AL113+100)</f>
        <v>2230</v>
      </c>
      <c r="AM116" s="146">
        <f>40+(AM113+100)</f>
        <v>2230</v>
      </c>
      <c r="AN116" s="146">
        <f>40+(AN113+100)</f>
        <v>2230</v>
      </c>
      <c r="AO116" s="184">
        <v>2250</v>
      </c>
      <c r="AP116" s="184">
        <v>2250</v>
      </c>
      <c r="AQ116" s="184">
        <v>2250</v>
      </c>
      <c r="AR116" s="184">
        <v>2250</v>
      </c>
      <c r="AS116" s="184">
        <v>2250</v>
      </c>
      <c r="AT116" s="184">
        <v>2250</v>
      </c>
      <c r="AU116" s="184">
        <v>2180</v>
      </c>
      <c r="AV116" s="184">
        <v>2180</v>
      </c>
      <c r="AW116" s="146">
        <f>AW113+100</f>
        <v>2140</v>
      </c>
      <c r="AX116" s="146">
        <f>AX113+100</f>
        <v>2140</v>
      </c>
      <c r="AY116" s="146">
        <f>AY113+100</f>
        <v>2140</v>
      </c>
      <c r="AZ116" s="184">
        <v>2220</v>
      </c>
      <c r="BA116" s="184">
        <v>2220</v>
      </c>
      <c r="BB116" s="184">
        <v>2220</v>
      </c>
      <c r="BC116" s="184">
        <v>2220</v>
      </c>
      <c r="BD116" s="184">
        <v>2220</v>
      </c>
      <c r="BE116" s="184">
        <v>2220</v>
      </c>
      <c r="BF116" s="184">
        <v>2120</v>
      </c>
      <c r="BG116" s="184">
        <v>2120</v>
      </c>
      <c r="BH116" s="184">
        <v>2120</v>
      </c>
      <c r="BI116" s="184">
        <v>2120</v>
      </c>
      <c r="BJ116" s="184">
        <v>2120</v>
      </c>
      <c r="BK116" s="184">
        <v>2120</v>
      </c>
      <c r="BL116" s="184">
        <v>2200</v>
      </c>
      <c r="BM116" s="184">
        <v>2200</v>
      </c>
      <c r="BN116" s="184">
        <v>2200</v>
      </c>
      <c r="BO116" s="184">
        <v>2280</v>
      </c>
      <c r="BP116" s="184">
        <v>2280</v>
      </c>
      <c r="BQ116" s="184">
        <v>2280</v>
      </c>
      <c r="BR116" s="184"/>
      <c r="BS116" s="184"/>
      <c r="BT116" s="184"/>
      <c r="BU116" s="146" cm="1">
        <f t="array" ref="BU116">LOOKUP(2,1/(Y116:BT116&lt;&gt;""),Y116:BH116)</f>
        <v>2280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46199</v>
      </c>
      <c r="BW116" s="211" cm="1">
        <f t="array" ref="BW116">(LOOKUP(2,1/(BH116:BT116&lt;&gt;""),BH116:BT116))/(INDEX(BH116:BT116,MATCH(TRUE,INDEX((BH116:BT116&lt;&gt;0),0),0)))-1</f>
        <v>7.547169811320753E-2</v>
      </c>
      <c r="BX116" s="212">
        <f t="shared" si="38"/>
        <v>2.2799999999999998</v>
      </c>
      <c r="BY116" s="212">
        <f t="shared" si="37"/>
        <v>13.452</v>
      </c>
      <c r="BZ116" s="212">
        <f ca="1">IF(L116="BR",'Impostos e Frete'!$F$6,IF(L116="EU",'Impostos e Frete'!$I$3,IF(L116="CN",'Impostos e Frete'!$I$4,IF(L116="JP",'Impostos e Frete'!$I$5,IF(L116="RU",'Impostos e Frete'!$I$7,"ERRO")))))</f>
        <v>0.14176320000000001</v>
      </c>
      <c r="CA116" s="212">
        <f>VLOOKUP(L116,'Impostos e Frete'!$A$3:$B$7,2,0)*'Preços e Condições'!BY116</f>
        <v>1.7487600000000001</v>
      </c>
      <c r="CB116" s="147">
        <f t="shared" si="39"/>
        <v>-0.17699999999999999</v>
      </c>
      <c r="CC116" s="147">
        <f>IF(X116="BRL",'Impostos e Frete'!$B$11,'Impostos e Frete'!$B$12)</f>
        <v>9.1999999999999998E-2</v>
      </c>
      <c r="CD116" s="213">
        <f t="shared" ca="1" si="40"/>
        <v>15.257523200000001</v>
      </c>
      <c r="CE116" s="214">
        <f t="shared" ca="1" si="41"/>
        <v>1.0375115776000001</v>
      </c>
      <c r="CF116" s="215">
        <f>VLOOKUP(L116,'Impostos e Frete'!$A$3:$C$7,3,0)</f>
        <v>105</v>
      </c>
      <c r="CG116" s="215">
        <f t="shared" si="42"/>
        <v>120</v>
      </c>
      <c r="CH116" s="215">
        <f t="shared" si="43"/>
        <v>15</v>
      </c>
      <c r="CI116" s="216">
        <f t="shared" ca="1" si="44"/>
        <v>-0.11315995400518375</v>
      </c>
      <c r="CJ116" s="217">
        <f t="shared" ca="1" si="45"/>
        <v>15.144363245994818</v>
      </c>
      <c r="CK116" s="218">
        <f t="shared" ca="1" si="46"/>
        <v>1.0298167007276475</v>
      </c>
    </row>
    <row r="117" spans="1:89">
      <c r="A117" s="176">
        <v>19519</v>
      </c>
      <c r="B117" s="177">
        <v>248</v>
      </c>
      <c r="C117" s="178">
        <v>65</v>
      </c>
      <c r="D117" s="178">
        <v>1870</v>
      </c>
      <c r="E117" s="178" t="s">
        <v>50</v>
      </c>
      <c r="F117" s="179" t="s">
        <v>108</v>
      </c>
      <c r="G117" s="189" t="s">
        <v>109</v>
      </c>
      <c r="H117" s="178" t="s">
        <v>63</v>
      </c>
      <c r="I117" s="178" t="s">
        <v>112</v>
      </c>
      <c r="J117" s="178"/>
      <c r="K117" s="178"/>
      <c r="L117" s="178" t="s">
        <v>59</v>
      </c>
      <c r="M117" s="178">
        <v>30</v>
      </c>
      <c r="N117" s="178">
        <v>500</v>
      </c>
      <c r="O117" s="178"/>
      <c r="P117" s="178"/>
      <c r="Q117" s="178"/>
      <c r="R117" s="178" t="s">
        <v>19</v>
      </c>
      <c r="S117" s="181"/>
      <c r="T117" s="181"/>
      <c r="U117" s="182"/>
      <c r="V117" s="182" t="s">
        <v>35</v>
      </c>
      <c r="W117" s="183">
        <v>80</v>
      </c>
      <c r="X117" s="182" t="s">
        <v>51</v>
      </c>
      <c r="Y117" s="184">
        <v>2840</v>
      </c>
      <c r="Z117" s="184">
        <v>2840</v>
      </c>
      <c r="AA117" s="184">
        <v>2840</v>
      </c>
      <c r="AB117" s="184">
        <v>2740</v>
      </c>
      <c r="AC117" s="184">
        <v>2740</v>
      </c>
      <c r="AD117" s="184">
        <v>2740</v>
      </c>
      <c r="AE117" s="184">
        <v>2540</v>
      </c>
      <c r="AF117" s="184">
        <v>2540</v>
      </c>
      <c r="AG117" s="184">
        <v>2540</v>
      </c>
      <c r="AH117" s="184">
        <v>2400</v>
      </c>
      <c r="AI117" s="184">
        <v>1800</v>
      </c>
      <c r="AJ117" s="184">
        <v>1800</v>
      </c>
      <c r="AK117" s="184">
        <v>1800</v>
      </c>
      <c r="AL117" s="184">
        <v>1800</v>
      </c>
      <c r="AM117" s="184">
        <v>1800</v>
      </c>
      <c r="AN117" s="184">
        <v>1800</v>
      </c>
      <c r="AO117" s="184">
        <v>1800</v>
      </c>
      <c r="AP117" s="184">
        <v>1800</v>
      </c>
      <c r="AQ117" s="184">
        <v>1960</v>
      </c>
      <c r="AR117" s="184">
        <v>2650</v>
      </c>
      <c r="AS117" s="184">
        <v>2650</v>
      </c>
      <c r="AT117" s="184">
        <v>2650</v>
      </c>
      <c r="AU117" s="184">
        <v>2650</v>
      </c>
      <c r="AV117" s="184">
        <v>2650</v>
      </c>
      <c r="AW117" s="184">
        <v>3000</v>
      </c>
      <c r="AX117" s="184">
        <v>3000</v>
      </c>
      <c r="AY117" s="146">
        <f t="shared" ref="AY117:AY151" si="47">AX117-500</f>
        <v>2500</v>
      </c>
      <c r="AZ117" s="146">
        <f t="shared" ref="AZ117:BA136" si="48">AY117</f>
        <v>2500</v>
      </c>
      <c r="BA117" s="146">
        <f t="shared" si="48"/>
        <v>2500</v>
      </c>
      <c r="BB117" s="184">
        <v>2630</v>
      </c>
      <c r="BC117" s="184">
        <v>2630</v>
      </c>
      <c r="BD117" s="184">
        <v>2630</v>
      </c>
      <c r="BE117" s="184">
        <v>2630</v>
      </c>
      <c r="BF117" s="184">
        <v>2480</v>
      </c>
      <c r="BG117" s="184">
        <v>2480</v>
      </c>
      <c r="BH117" s="184">
        <v>2480</v>
      </c>
      <c r="BI117" s="184"/>
      <c r="BJ117" s="184"/>
      <c r="BK117" s="184"/>
      <c r="BL117" s="184">
        <v>2450</v>
      </c>
      <c r="BM117" s="184">
        <v>2450</v>
      </c>
      <c r="BN117" s="184">
        <v>2450</v>
      </c>
      <c r="BO117" s="184">
        <v>2530</v>
      </c>
      <c r="BP117" s="184">
        <v>2530</v>
      </c>
      <c r="BQ117" s="184">
        <v>2530</v>
      </c>
      <c r="BR117" s="184"/>
      <c r="BS117" s="184"/>
      <c r="BT117" s="184"/>
      <c r="BU117" s="146" cm="1">
        <f t="array" ref="BU117">LOOKUP(2,1/(Y117:BT117&lt;&gt;""),Y117:BH117)</f>
        <v>2530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46199</v>
      </c>
      <c r="BW117" s="211" cm="1">
        <f t="array" ref="BW117">(LOOKUP(2,1/(BH117:BT117&lt;&gt;""),BH117:BT117))/(INDEX(BH117:BT117,MATCH(TRUE,INDEX((BH117:BT117&lt;&gt;0),0),0)))-1</f>
        <v>2.0161290322580738E-2</v>
      </c>
      <c r="BX117" s="212">
        <f t="shared" si="38"/>
        <v>2.5299999999999998</v>
      </c>
      <c r="BY117" s="212">
        <f t="shared" si="37"/>
        <v>14.927</v>
      </c>
      <c r="BZ117" s="212">
        <f ca="1">IF(L117="BR",'Impostos e Frete'!$F$6,IF(L117="EU",'Impostos e Frete'!$I$3,IF(L117="CN",'Impostos e Frete'!$I$4,IF(L117="JP",'Impostos e Frete'!$I$5,IF(L117="RU",'Impostos e Frete'!$I$7,"ERRO")))))</f>
        <v>0.14176320000000001</v>
      </c>
      <c r="CA117" s="212">
        <f>VLOOKUP(L117,'Impostos e Frete'!$A$3:$B$7,2,0)*'Preços e Condições'!BY117</f>
        <v>1.94051</v>
      </c>
      <c r="CB117" s="147">
        <f t="shared" si="39"/>
        <v>0</v>
      </c>
      <c r="CC117" s="147">
        <f>IF(X117="BRL",'Impostos e Frete'!$B$11,'Impostos e Frete'!$B$12)</f>
        <v>9.1999999999999998E-2</v>
      </c>
      <c r="CD117" s="213">
        <f t="shared" ca="1" si="40"/>
        <v>17.101273199999998</v>
      </c>
      <c r="CE117" s="214">
        <f t="shared" ca="1" si="41"/>
        <v>1.1115827579999999</v>
      </c>
      <c r="CF117" s="215">
        <f>VLOOKUP(L117,'Impostos e Frete'!$A$3:$C$7,3,0)</f>
        <v>105</v>
      </c>
      <c r="CG117" s="215">
        <f t="shared" si="42"/>
        <v>30</v>
      </c>
      <c r="CH117" s="215">
        <f t="shared" si="43"/>
        <v>-75</v>
      </c>
      <c r="CI117" s="216">
        <f t="shared" ca="1" si="44"/>
        <v>0.64853034746312943</v>
      </c>
      <c r="CJ117" s="217">
        <f t="shared" ca="1" si="45"/>
        <v>17.749803547463127</v>
      </c>
      <c r="CK117" s="218">
        <f t="shared" ca="1" si="46"/>
        <v>1.1537372305851032</v>
      </c>
    </row>
    <row r="118" spans="1:89">
      <c r="A118" s="176">
        <v>19519</v>
      </c>
      <c r="B118" s="177">
        <v>248</v>
      </c>
      <c r="C118" s="178">
        <v>65</v>
      </c>
      <c r="D118" s="178">
        <v>1870</v>
      </c>
      <c r="E118" s="178" t="s">
        <v>50</v>
      </c>
      <c r="F118" s="179" t="s">
        <v>108</v>
      </c>
      <c r="G118" s="189" t="s">
        <v>109</v>
      </c>
      <c r="H118" s="178" t="s">
        <v>63</v>
      </c>
      <c r="I118" s="178" t="s">
        <v>112</v>
      </c>
      <c r="J118" s="178"/>
      <c r="K118" s="178"/>
      <c r="L118" s="178" t="s">
        <v>59</v>
      </c>
      <c r="M118" s="178">
        <v>30</v>
      </c>
      <c r="N118" s="178">
        <v>500</v>
      </c>
      <c r="O118" s="178"/>
      <c r="P118" s="178"/>
      <c r="Q118" s="178"/>
      <c r="R118" s="178" t="s">
        <v>19</v>
      </c>
      <c r="S118" s="181"/>
      <c r="T118" s="181"/>
      <c r="U118" s="182"/>
      <c r="V118" s="182" t="s">
        <v>35</v>
      </c>
      <c r="W118" s="183">
        <v>50</v>
      </c>
      <c r="X118" s="182" t="s">
        <v>51</v>
      </c>
      <c r="Y118" s="184">
        <v>3040</v>
      </c>
      <c r="Z118" s="184">
        <v>3040</v>
      </c>
      <c r="AA118" s="184">
        <v>3040</v>
      </c>
      <c r="AB118" s="184">
        <v>2940</v>
      </c>
      <c r="AC118" s="184">
        <v>2940</v>
      </c>
      <c r="AD118" s="184">
        <v>2940</v>
      </c>
      <c r="AE118" s="184">
        <v>2740</v>
      </c>
      <c r="AF118" s="184">
        <v>2740</v>
      </c>
      <c r="AG118" s="184">
        <v>2740</v>
      </c>
      <c r="AH118" s="184">
        <v>2600</v>
      </c>
      <c r="AI118" s="184">
        <v>2600</v>
      </c>
      <c r="AJ118" s="184">
        <v>2600</v>
      </c>
      <c r="AK118" s="184">
        <v>2600</v>
      </c>
      <c r="AL118" s="184">
        <v>2600</v>
      </c>
      <c r="AM118" s="184">
        <v>2600</v>
      </c>
      <c r="AN118" s="184">
        <v>2600</v>
      </c>
      <c r="AO118" s="184">
        <v>2600</v>
      </c>
      <c r="AP118" s="184">
        <v>2600</v>
      </c>
      <c r="AQ118" s="184">
        <v>2160</v>
      </c>
      <c r="AR118" s="184">
        <v>2850</v>
      </c>
      <c r="AS118" s="184">
        <v>2850</v>
      </c>
      <c r="AT118" s="184">
        <v>2850</v>
      </c>
      <c r="AU118" s="184">
        <v>2850</v>
      </c>
      <c r="AV118" s="184">
        <v>2850</v>
      </c>
      <c r="AW118" s="184">
        <v>3020</v>
      </c>
      <c r="AX118" s="184">
        <v>3020</v>
      </c>
      <c r="AY118" s="146">
        <f t="shared" si="47"/>
        <v>2520</v>
      </c>
      <c r="AZ118" s="146">
        <f t="shared" si="48"/>
        <v>2520</v>
      </c>
      <c r="BA118" s="146">
        <f t="shared" si="48"/>
        <v>2520</v>
      </c>
      <c r="BB118" s="184">
        <v>2650</v>
      </c>
      <c r="BC118" s="184">
        <v>2650</v>
      </c>
      <c r="BD118" s="184">
        <v>2650</v>
      </c>
      <c r="BE118" s="184">
        <v>2650</v>
      </c>
      <c r="BF118" s="184">
        <v>2500</v>
      </c>
      <c r="BG118" s="184">
        <v>2500</v>
      </c>
      <c r="BH118" s="184">
        <v>2500</v>
      </c>
      <c r="BI118" s="184"/>
      <c r="BJ118" s="184"/>
      <c r="BK118" s="184"/>
      <c r="BL118" s="184">
        <v>2470</v>
      </c>
      <c r="BM118" s="184">
        <v>2470</v>
      </c>
      <c r="BN118" s="184">
        <v>2470</v>
      </c>
      <c r="BO118" s="184">
        <v>2730</v>
      </c>
      <c r="BP118" s="184">
        <v>2730</v>
      </c>
      <c r="BQ118" s="184">
        <v>2730</v>
      </c>
      <c r="BR118" s="184"/>
      <c r="BS118" s="184"/>
      <c r="BT118" s="184"/>
      <c r="BU118" s="146" cm="1">
        <f t="array" ref="BU118">LOOKUP(2,1/(Y118:BT118&lt;&gt;""),Y118:BH118)</f>
        <v>2730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46199</v>
      </c>
      <c r="BW118" s="211" cm="1">
        <f t="array" ref="BW118">(LOOKUP(2,1/(BH118:BT118&lt;&gt;""),BH118:BT118))/(INDEX(BH118:BT118,MATCH(TRUE,INDEX((BH118:BT118&lt;&gt;0),0),0)))-1</f>
        <v>9.2000000000000082E-2</v>
      </c>
      <c r="BX118" s="212">
        <f t="shared" si="38"/>
        <v>2.73</v>
      </c>
      <c r="BY118" s="212">
        <f t="shared" si="37"/>
        <v>16.106999999999999</v>
      </c>
      <c r="BZ118" s="212">
        <f ca="1">IF(L118="BR",'Impostos e Frete'!$F$6,IF(L118="EU",'Impostos e Frete'!$I$3,IF(L118="CN",'Impostos e Frete'!$I$4,IF(L118="JP",'Impostos e Frete'!$I$5,IF(L118="RU",'Impostos e Frete'!$I$7,"ERRO")))))</f>
        <v>0.14176320000000001</v>
      </c>
      <c r="CA118" s="212">
        <f>VLOOKUP(L118,'Impostos e Frete'!$A$3:$B$7,2,0)*'Preços e Condições'!BY118</f>
        <v>2.0939100000000002</v>
      </c>
      <c r="CB118" s="147">
        <f t="shared" si="39"/>
        <v>0</v>
      </c>
      <c r="CC118" s="147">
        <f>IF(X118="BRL",'Impostos e Frete'!$B$11,'Impostos e Frete'!$B$12)</f>
        <v>9.1999999999999998E-2</v>
      </c>
      <c r="CD118" s="213">
        <f t="shared" ca="1" si="40"/>
        <v>18.434673199999999</v>
      </c>
      <c r="CE118" s="214">
        <f t="shared" ca="1" si="41"/>
        <v>1.1982537579999999</v>
      </c>
      <c r="CF118" s="215">
        <f>VLOOKUP(L118,'Impostos e Frete'!$A$3:$C$7,3,0)</f>
        <v>105</v>
      </c>
      <c r="CG118" s="215">
        <f t="shared" si="42"/>
        <v>30</v>
      </c>
      <c r="CH118" s="215">
        <f t="shared" si="43"/>
        <v>-75</v>
      </c>
      <c r="CI118" s="216">
        <f t="shared" ca="1" si="44"/>
        <v>0.69909677928337999</v>
      </c>
      <c r="CJ118" s="217">
        <f t="shared" ca="1" si="45"/>
        <v>19.133769979283379</v>
      </c>
      <c r="CK118" s="218">
        <f t="shared" ca="1" si="46"/>
        <v>1.2436950486534195</v>
      </c>
    </row>
    <row r="119" spans="1:89">
      <c r="A119" s="176">
        <v>19519</v>
      </c>
      <c r="B119" s="177">
        <v>248</v>
      </c>
      <c r="C119" s="178">
        <v>65</v>
      </c>
      <c r="D119" s="178">
        <v>1870</v>
      </c>
      <c r="E119" s="178" t="s">
        <v>50</v>
      </c>
      <c r="F119" s="179" t="s">
        <v>108</v>
      </c>
      <c r="G119" s="189" t="s">
        <v>109</v>
      </c>
      <c r="H119" s="178" t="s">
        <v>63</v>
      </c>
      <c r="I119" s="178" t="s">
        <v>112</v>
      </c>
      <c r="J119" s="178"/>
      <c r="K119" s="178"/>
      <c r="L119" s="178" t="s">
        <v>59</v>
      </c>
      <c r="M119" s="178">
        <v>30</v>
      </c>
      <c r="N119" s="178">
        <v>500</v>
      </c>
      <c r="O119" s="178"/>
      <c r="P119" s="178"/>
      <c r="Q119" s="178"/>
      <c r="R119" s="178" t="s">
        <v>19</v>
      </c>
      <c r="S119" s="181"/>
      <c r="T119" s="181"/>
      <c r="U119" s="182"/>
      <c r="V119" s="182" t="s">
        <v>35</v>
      </c>
      <c r="W119" s="183">
        <v>20</v>
      </c>
      <c r="X119" s="182" t="s">
        <v>51</v>
      </c>
      <c r="Y119" s="184">
        <v>3540</v>
      </c>
      <c r="Z119" s="184">
        <v>3540</v>
      </c>
      <c r="AA119" s="184">
        <v>3540</v>
      </c>
      <c r="AB119" s="184">
        <v>3440</v>
      </c>
      <c r="AC119" s="184">
        <v>3440</v>
      </c>
      <c r="AD119" s="184">
        <v>3440</v>
      </c>
      <c r="AE119" s="184">
        <v>3240</v>
      </c>
      <c r="AF119" s="184">
        <v>3240</v>
      </c>
      <c r="AG119" s="184">
        <v>3240</v>
      </c>
      <c r="AH119" s="184">
        <v>3100</v>
      </c>
      <c r="AI119" s="184">
        <v>3100</v>
      </c>
      <c r="AJ119" s="184">
        <v>3100</v>
      </c>
      <c r="AK119" s="184">
        <v>3100</v>
      </c>
      <c r="AL119" s="184">
        <v>3100</v>
      </c>
      <c r="AM119" s="184">
        <v>3100</v>
      </c>
      <c r="AN119" s="184">
        <v>3100</v>
      </c>
      <c r="AO119" s="184">
        <v>3100</v>
      </c>
      <c r="AP119" s="184">
        <v>3100</v>
      </c>
      <c r="AQ119" s="184">
        <v>2660</v>
      </c>
      <c r="AR119" s="184">
        <v>3350</v>
      </c>
      <c r="AS119" s="184">
        <v>3350</v>
      </c>
      <c r="AT119" s="184">
        <v>3350</v>
      </c>
      <c r="AU119" s="184">
        <v>3350</v>
      </c>
      <c r="AV119" s="184">
        <v>3350</v>
      </c>
      <c r="AW119" s="184">
        <v>3070</v>
      </c>
      <c r="AX119" s="184">
        <v>3070</v>
      </c>
      <c r="AY119" s="146">
        <f t="shared" si="47"/>
        <v>2570</v>
      </c>
      <c r="AZ119" s="146">
        <f t="shared" si="48"/>
        <v>2570</v>
      </c>
      <c r="BA119" s="146">
        <f t="shared" si="48"/>
        <v>2570</v>
      </c>
      <c r="BB119" s="184">
        <v>2700</v>
      </c>
      <c r="BC119" s="184">
        <v>2700</v>
      </c>
      <c r="BD119" s="184">
        <v>2700</v>
      </c>
      <c r="BE119" s="184">
        <v>2700</v>
      </c>
      <c r="BF119" s="184">
        <v>2550</v>
      </c>
      <c r="BG119" s="184">
        <v>2550</v>
      </c>
      <c r="BH119" s="184">
        <v>2550</v>
      </c>
      <c r="BI119" s="184"/>
      <c r="BJ119" s="184"/>
      <c r="BK119" s="184"/>
      <c r="BL119" s="184">
        <v>2500</v>
      </c>
      <c r="BM119" s="184">
        <v>2500</v>
      </c>
      <c r="BN119" s="184">
        <v>2500</v>
      </c>
      <c r="BO119" s="184">
        <v>3230</v>
      </c>
      <c r="BP119" s="184">
        <v>3230</v>
      </c>
      <c r="BQ119" s="184">
        <v>3230</v>
      </c>
      <c r="BR119" s="184"/>
      <c r="BS119" s="184"/>
      <c r="BT119" s="184"/>
      <c r="BU119" s="146" cm="1">
        <f t="array" ref="BU119">LOOKUP(2,1/(Y119:BT119&lt;&gt;""),Y119:BH119)</f>
        <v>3230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46199</v>
      </c>
      <c r="BW119" s="211" cm="1">
        <f t="array" ref="BW119">(LOOKUP(2,1/(BH119:BT119&lt;&gt;""),BH119:BT119))/(INDEX(BH119:BT119,MATCH(TRUE,INDEX((BH119:BT119&lt;&gt;0),0),0)))-1</f>
        <v>0.26666666666666661</v>
      </c>
      <c r="BX119" s="212">
        <f t="shared" si="38"/>
        <v>3.23</v>
      </c>
      <c r="BY119" s="212">
        <f t="shared" si="37"/>
        <v>19.057000000000002</v>
      </c>
      <c r="BZ119" s="212">
        <f ca="1">IF(L119="BR",'Impostos e Frete'!$F$6,IF(L119="EU",'Impostos e Frete'!$I$3,IF(L119="CN",'Impostos e Frete'!$I$4,IF(L119="JP",'Impostos e Frete'!$I$5,IF(L119="RU",'Impostos e Frete'!$I$7,"ERRO")))))</f>
        <v>0.14176320000000001</v>
      </c>
      <c r="CA119" s="212">
        <f>VLOOKUP(L119,'Impostos e Frete'!$A$3:$B$7,2,0)*'Preços e Condições'!BY119</f>
        <v>2.4774100000000003</v>
      </c>
      <c r="CB119" s="147">
        <f t="shared" si="39"/>
        <v>0</v>
      </c>
      <c r="CC119" s="147">
        <f>IF(X119="BRL",'Impostos e Frete'!$B$11,'Impostos e Frete'!$B$12)</f>
        <v>9.1999999999999998E-2</v>
      </c>
      <c r="CD119" s="213">
        <f t="shared" ca="1" si="40"/>
        <v>21.7681732</v>
      </c>
      <c r="CE119" s="214">
        <f t="shared" ca="1" si="41"/>
        <v>1.414931258</v>
      </c>
      <c r="CF119" s="215">
        <f>VLOOKUP(L119,'Impostos e Frete'!$A$3:$C$7,3,0)</f>
        <v>105</v>
      </c>
      <c r="CG119" s="215">
        <f t="shared" si="42"/>
        <v>30</v>
      </c>
      <c r="CH119" s="215">
        <f t="shared" si="43"/>
        <v>-75</v>
      </c>
      <c r="CI119" s="216">
        <f t="shared" ca="1" si="44"/>
        <v>0.82551285883401704</v>
      </c>
      <c r="CJ119" s="217">
        <f t="shared" ca="1" si="45"/>
        <v>22.593686058834017</v>
      </c>
      <c r="CK119" s="218">
        <f t="shared" ca="1" si="46"/>
        <v>1.4685895938242111</v>
      </c>
    </row>
    <row r="120" spans="1:89">
      <c r="A120" s="176">
        <v>19527</v>
      </c>
      <c r="B120" s="177">
        <v>248</v>
      </c>
      <c r="C120" s="178">
        <v>65</v>
      </c>
      <c r="D120" s="178">
        <v>1270</v>
      </c>
      <c r="E120" s="178" t="s">
        <v>50</v>
      </c>
      <c r="F120" s="179" t="s">
        <v>108</v>
      </c>
      <c r="G120" s="189" t="s">
        <v>109</v>
      </c>
      <c r="H120" s="178" t="s">
        <v>63</v>
      </c>
      <c r="I120" s="178" t="s">
        <v>112</v>
      </c>
      <c r="J120" s="178"/>
      <c r="K120" s="178"/>
      <c r="L120" s="178" t="s">
        <v>59</v>
      </c>
      <c r="M120" s="178">
        <v>30</v>
      </c>
      <c r="N120" s="178">
        <v>500</v>
      </c>
      <c r="O120" s="178"/>
      <c r="P120" s="178"/>
      <c r="Q120" s="178"/>
      <c r="R120" s="178" t="s">
        <v>19</v>
      </c>
      <c r="S120" s="181"/>
      <c r="T120" s="181"/>
      <c r="U120" s="182"/>
      <c r="V120" s="182" t="s">
        <v>35</v>
      </c>
      <c r="W120" s="183">
        <v>80</v>
      </c>
      <c r="X120" s="182" t="s">
        <v>51</v>
      </c>
      <c r="Y120" s="184">
        <v>2840</v>
      </c>
      <c r="Z120" s="184">
        <v>2840</v>
      </c>
      <c r="AA120" s="184">
        <v>2840</v>
      </c>
      <c r="AB120" s="184">
        <v>2740</v>
      </c>
      <c r="AC120" s="184">
        <v>2740</v>
      </c>
      <c r="AD120" s="184">
        <v>2740</v>
      </c>
      <c r="AE120" s="184">
        <v>2540</v>
      </c>
      <c r="AF120" s="184">
        <v>2540</v>
      </c>
      <c r="AG120" s="184">
        <v>2540</v>
      </c>
      <c r="AH120" s="184">
        <v>2400</v>
      </c>
      <c r="AI120" s="184">
        <v>1800</v>
      </c>
      <c r="AJ120" s="184">
        <v>1800</v>
      </c>
      <c r="AK120" s="184">
        <v>1800</v>
      </c>
      <c r="AL120" s="184">
        <v>1800</v>
      </c>
      <c r="AM120" s="184">
        <v>1800</v>
      </c>
      <c r="AN120" s="184">
        <v>1800</v>
      </c>
      <c r="AO120" s="184">
        <v>1800</v>
      </c>
      <c r="AP120" s="184">
        <v>1800</v>
      </c>
      <c r="AQ120" s="184">
        <v>1960</v>
      </c>
      <c r="AR120" s="184">
        <v>2650</v>
      </c>
      <c r="AS120" s="184">
        <v>2650</v>
      </c>
      <c r="AT120" s="184">
        <v>2650</v>
      </c>
      <c r="AU120" s="184">
        <v>2650</v>
      </c>
      <c r="AV120" s="184">
        <v>2650</v>
      </c>
      <c r="AW120" s="184">
        <v>3000</v>
      </c>
      <c r="AX120" s="184">
        <v>3000</v>
      </c>
      <c r="AY120" s="146">
        <f t="shared" si="47"/>
        <v>2500</v>
      </c>
      <c r="AZ120" s="146">
        <f t="shared" si="48"/>
        <v>2500</v>
      </c>
      <c r="BA120" s="146">
        <f t="shared" si="48"/>
        <v>2500</v>
      </c>
      <c r="BB120" s="184">
        <v>2830</v>
      </c>
      <c r="BC120" s="184">
        <v>2830</v>
      </c>
      <c r="BD120" s="184">
        <v>2830</v>
      </c>
      <c r="BE120" s="184">
        <v>2830</v>
      </c>
      <c r="BF120" s="184">
        <v>2680</v>
      </c>
      <c r="BG120" s="184">
        <v>2680</v>
      </c>
      <c r="BH120" s="184">
        <v>2680</v>
      </c>
      <c r="BI120" s="184"/>
      <c r="BJ120" s="184"/>
      <c r="BK120" s="184"/>
      <c r="BL120" s="184">
        <v>2650</v>
      </c>
      <c r="BM120" s="184">
        <v>2650</v>
      </c>
      <c r="BN120" s="184">
        <v>2650</v>
      </c>
      <c r="BO120" s="184">
        <v>2730</v>
      </c>
      <c r="BP120" s="184">
        <v>2730</v>
      </c>
      <c r="BQ120" s="184">
        <v>2730</v>
      </c>
      <c r="BR120" s="184"/>
      <c r="BS120" s="184"/>
      <c r="BT120" s="184"/>
      <c r="BU120" s="146" cm="1">
        <f t="array" ref="BU120">LOOKUP(2,1/(Y120:BT120&lt;&gt;""),Y120:BH120)</f>
        <v>2730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46199</v>
      </c>
      <c r="BW120" s="211" cm="1">
        <f t="array" ref="BW120">(LOOKUP(2,1/(BH120:BT120&lt;&gt;""),BH120:BT120))/(INDEX(BH120:BT120,MATCH(TRUE,INDEX((BH120:BT120&lt;&gt;0),0),0)))-1</f>
        <v>1.8656716417910557E-2</v>
      </c>
      <c r="BX120" s="212">
        <f t="shared" si="38"/>
        <v>2.73</v>
      </c>
      <c r="BY120" s="212">
        <f t="shared" si="37"/>
        <v>16.106999999999999</v>
      </c>
      <c r="BZ120" s="212">
        <f ca="1">IF(L120="BR",'Impostos e Frete'!$F$6,IF(L120="EU",'Impostos e Frete'!$I$3,IF(L120="CN",'Impostos e Frete'!$I$4,IF(L120="JP",'Impostos e Frete'!$I$5,IF(L120="RU",'Impostos e Frete'!$I$7,"ERRO")))))</f>
        <v>0.14176320000000001</v>
      </c>
      <c r="CA120" s="212">
        <f>VLOOKUP(L120,'Impostos e Frete'!$A$3:$B$7,2,0)*'Preços e Condições'!BY120</f>
        <v>2.0939100000000002</v>
      </c>
      <c r="CB120" s="147">
        <f t="shared" si="39"/>
        <v>0</v>
      </c>
      <c r="CC120" s="147">
        <f>IF(X120="BRL",'Impostos e Frete'!$B$11,'Impostos e Frete'!$B$12)</f>
        <v>9.1999999999999998E-2</v>
      </c>
      <c r="CD120" s="213">
        <f t="shared" ca="1" si="40"/>
        <v>18.434673199999999</v>
      </c>
      <c r="CE120" s="214">
        <f t="shared" ca="1" si="41"/>
        <v>1.1982537579999999</v>
      </c>
      <c r="CF120" s="215">
        <f>VLOOKUP(L120,'Impostos e Frete'!$A$3:$C$7,3,0)</f>
        <v>105</v>
      </c>
      <c r="CG120" s="215">
        <f t="shared" si="42"/>
        <v>30</v>
      </c>
      <c r="CH120" s="215">
        <f t="shared" si="43"/>
        <v>-75</v>
      </c>
      <c r="CI120" s="216">
        <f t="shared" ca="1" si="44"/>
        <v>0.69909677928337999</v>
      </c>
      <c r="CJ120" s="217">
        <f t="shared" ca="1" si="45"/>
        <v>19.133769979283379</v>
      </c>
      <c r="CK120" s="218">
        <f t="shared" ca="1" si="46"/>
        <v>1.2436950486534195</v>
      </c>
    </row>
    <row r="121" spans="1:89">
      <c r="A121" s="176">
        <v>19527</v>
      </c>
      <c r="B121" s="177">
        <v>248</v>
      </c>
      <c r="C121" s="178">
        <v>65</v>
      </c>
      <c r="D121" s="178">
        <v>1270</v>
      </c>
      <c r="E121" s="178" t="s">
        <v>50</v>
      </c>
      <c r="F121" s="179" t="s">
        <v>108</v>
      </c>
      <c r="G121" s="189" t="s">
        <v>109</v>
      </c>
      <c r="H121" s="178" t="s">
        <v>63</v>
      </c>
      <c r="I121" s="178" t="s">
        <v>112</v>
      </c>
      <c r="J121" s="178"/>
      <c r="K121" s="178"/>
      <c r="L121" s="178" t="s">
        <v>59</v>
      </c>
      <c r="M121" s="178">
        <v>30</v>
      </c>
      <c r="N121" s="178">
        <v>500</v>
      </c>
      <c r="O121" s="178"/>
      <c r="P121" s="178"/>
      <c r="Q121" s="178"/>
      <c r="R121" s="178" t="s">
        <v>19</v>
      </c>
      <c r="S121" s="181"/>
      <c r="T121" s="181"/>
      <c r="U121" s="182"/>
      <c r="V121" s="182" t="s">
        <v>35</v>
      </c>
      <c r="W121" s="183">
        <v>50</v>
      </c>
      <c r="X121" s="182" t="s">
        <v>51</v>
      </c>
      <c r="Y121" s="184">
        <v>3040</v>
      </c>
      <c r="Z121" s="184">
        <v>3040</v>
      </c>
      <c r="AA121" s="184">
        <v>3040</v>
      </c>
      <c r="AB121" s="184">
        <v>2940</v>
      </c>
      <c r="AC121" s="184">
        <v>2940</v>
      </c>
      <c r="AD121" s="184">
        <v>2940</v>
      </c>
      <c r="AE121" s="184">
        <v>2740</v>
      </c>
      <c r="AF121" s="184">
        <v>2740</v>
      </c>
      <c r="AG121" s="184">
        <v>2740</v>
      </c>
      <c r="AH121" s="184">
        <v>2600</v>
      </c>
      <c r="AI121" s="184">
        <v>2600</v>
      </c>
      <c r="AJ121" s="184">
        <v>2600</v>
      </c>
      <c r="AK121" s="184">
        <v>2600</v>
      </c>
      <c r="AL121" s="184">
        <v>2600</v>
      </c>
      <c r="AM121" s="184">
        <v>2600</v>
      </c>
      <c r="AN121" s="184">
        <v>2600</v>
      </c>
      <c r="AO121" s="184">
        <v>2600</v>
      </c>
      <c r="AP121" s="184">
        <v>2600</v>
      </c>
      <c r="AQ121" s="184">
        <v>2160</v>
      </c>
      <c r="AR121" s="184">
        <v>2850</v>
      </c>
      <c r="AS121" s="184">
        <v>2850</v>
      </c>
      <c r="AT121" s="184">
        <v>2850</v>
      </c>
      <c r="AU121" s="184">
        <v>2850</v>
      </c>
      <c r="AV121" s="184">
        <v>2850</v>
      </c>
      <c r="AW121" s="184">
        <v>3020</v>
      </c>
      <c r="AX121" s="184">
        <v>3020</v>
      </c>
      <c r="AY121" s="146">
        <f t="shared" si="47"/>
        <v>2520</v>
      </c>
      <c r="AZ121" s="146">
        <f t="shared" si="48"/>
        <v>2520</v>
      </c>
      <c r="BA121" s="146">
        <f t="shared" si="48"/>
        <v>2520</v>
      </c>
      <c r="BB121" s="184">
        <v>2850</v>
      </c>
      <c r="BC121" s="184">
        <v>2850</v>
      </c>
      <c r="BD121" s="184">
        <v>2850</v>
      </c>
      <c r="BE121" s="184">
        <v>2850</v>
      </c>
      <c r="BF121" s="184">
        <v>2700</v>
      </c>
      <c r="BG121" s="184">
        <v>2700</v>
      </c>
      <c r="BH121" s="184">
        <v>2700</v>
      </c>
      <c r="BI121" s="184"/>
      <c r="BJ121" s="184"/>
      <c r="BK121" s="184"/>
      <c r="BL121" s="184">
        <v>2670</v>
      </c>
      <c r="BM121" s="184">
        <v>2670</v>
      </c>
      <c r="BN121" s="184">
        <v>2670</v>
      </c>
      <c r="BO121" s="184">
        <v>2930</v>
      </c>
      <c r="BP121" s="184">
        <v>2930</v>
      </c>
      <c r="BQ121" s="184">
        <v>2930</v>
      </c>
      <c r="BR121" s="184"/>
      <c r="BS121" s="184"/>
      <c r="BT121" s="184"/>
      <c r="BU121" s="146" cm="1">
        <f t="array" ref="BU121">LOOKUP(2,1/(Y121:BT121&lt;&gt;""),Y121:BH121)</f>
        <v>2930</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46199</v>
      </c>
      <c r="BW121" s="211" cm="1">
        <f t="array" ref="BW121">(LOOKUP(2,1/(BH121:BT121&lt;&gt;""),BH121:BT121))/(INDEX(BH121:BT121,MATCH(TRUE,INDEX((BH121:BT121&lt;&gt;0),0),0)))-1</f>
        <v>8.5185185185185253E-2</v>
      </c>
      <c r="BX121" s="212">
        <f t="shared" si="38"/>
        <v>2.93</v>
      </c>
      <c r="BY121" s="212">
        <f t="shared" si="37"/>
        <v>17.287000000000003</v>
      </c>
      <c r="BZ121" s="212">
        <f ca="1">IF(L121="BR",'Impostos e Frete'!$F$6,IF(L121="EU",'Impostos e Frete'!$I$3,IF(L121="CN",'Impostos e Frete'!$I$4,IF(L121="JP",'Impostos e Frete'!$I$5,IF(L121="RU",'Impostos e Frete'!$I$7,"ERRO")))))</f>
        <v>0.14176320000000001</v>
      </c>
      <c r="CA121" s="212">
        <f>VLOOKUP(L121,'Impostos e Frete'!$A$3:$B$7,2,0)*'Preços e Condições'!BY121</f>
        <v>2.2473100000000006</v>
      </c>
      <c r="CB121" s="147">
        <f t="shared" si="39"/>
        <v>0</v>
      </c>
      <c r="CC121" s="147">
        <f>IF(X121="BRL",'Impostos e Frete'!$B$11,'Impostos e Frete'!$B$12)</f>
        <v>9.1999999999999998E-2</v>
      </c>
      <c r="CD121" s="213">
        <f t="shared" ca="1" si="40"/>
        <v>19.768073200000003</v>
      </c>
      <c r="CE121" s="214">
        <f t="shared" ca="1" si="41"/>
        <v>1.2849247580000003</v>
      </c>
      <c r="CF121" s="215">
        <f>VLOOKUP(L121,'Impostos e Frete'!$A$3:$C$7,3,0)</f>
        <v>105</v>
      </c>
      <c r="CG121" s="215">
        <f t="shared" si="42"/>
        <v>30</v>
      </c>
      <c r="CH121" s="215">
        <f t="shared" si="43"/>
        <v>-75</v>
      </c>
      <c r="CI121" s="216">
        <f t="shared" ca="1" si="44"/>
        <v>0.7496632111036341</v>
      </c>
      <c r="CJ121" s="217">
        <f t="shared" ca="1" si="45"/>
        <v>20.517736411103638</v>
      </c>
      <c r="CK121" s="218">
        <f t="shared" ca="1" si="46"/>
        <v>1.3336528667217364</v>
      </c>
    </row>
    <row r="122" spans="1:89">
      <c r="A122" s="176">
        <v>19527</v>
      </c>
      <c r="B122" s="177">
        <v>248</v>
      </c>
      <c r="C122" s="178">
        <v>65</v>
      </c>
      <c r="D122" s="178">
        <v>1270</v>
      </c>
      <c r="E122" s="178" t="s">
        <v>50</v>
      </c>
      <c r="F122" s="179" t="s">
        <v>108</v>
      </c>
      <c r="G122" s="189" t="s">
        <v>109</v>
      </c>
      <c r="H122" s="178" t="s">
        <v>63</v>
      </c>
      <c r="I122" s="178" t="s">
        <v>112</v>
      </c>
      <c r="J122" s="178"/>
      <c r="K122" s="178"/>
      <c r="L122" s="178" t="s">
        <v>59</v>
      </c>
      <c r="M122" s="178">
        <v>30</v>
      </c>
      <c r="N122" s="178">
        <v>500</v>
      </c>
      <c r="O122" s="178"/>
      <c r="P122" s="178"/>
      <c r="Q122" s="178"/>
      <c r="R122" s="178" t="s">
        <v>19</v>
      </c>
      <c r="S122" s="181"/>
      <c r="T122" s="181"/>
      <c r="U122" s="182"/>
      <c r="V122" s="182" t="s">
        <v>35</v>
      </c>
      <c r="W122" s="183">
        <v>20</v>
      </c>
      <c r="X122" s="182" t="s">
        <v>51</v>
      </c>
      <c r="Y122" s="184">
        <v>3540</v>
      </c>
      <c r="Z122" s="184">
        <v>3540</v>
      </c>
      <c r="AA122" s="184">
        <v>3540</v>
      </c>
      <c r="AB122" s="184">
        <v>3440</v>
      </c>
      <c r="AC122" s="184">
        <v>3440</v>
      </c>
      <c r="AD122" s="184">
        <v>3440</v>
      </c>
      <c r="AE122" s="184">
        <v>3240</v>
      </c>
      <c r="AF122" s="184">
        <v>3240</v>
      </c>
      <c r="AG122" s="184">
        <v>3240</v>
      </c>
      <c r="AH122" s="184">
        <v>3100</v>
      </c>
      <c r="AI122" s="184">
        <v>3100</v>
      </c>
      <c r="AJ122" s="184">
        <v>3100</v>
      </c>
      <c r="AK122" s="184">
        <v>3100</v>
      </c>
      <c r="AL122" s="184">
        <v>3100</v>
      </c>
      <c r="AM122" s="184">
        <v>3100</v>
      </c>
      <c r="AN122" s="184">
        <v>3100</v>
      </c>
      <c r="AO122" s="184">
        <v>3100</v>
      </c>
      <c r="AP122" s="184">
        <v>3100</v>
      </c>
      <c r="AQ122" s="184">
        <v>2660</v>
      </c>
      <c r="AR122" s="184">
        <v>3350</v>
      </c>
      <c r="AS122" s="184">
        <v>3350</v>
      </c>
      <c r="AT122" s="184">
        <v>3350</v>
      </c>
      <c r="AU122" s="184">
        <v>3350</v>
      </c>
      <c r="AV122" s="184">
        <v>3350</v>
      </c>
      <c r="AW122" s="184">
        <v>3070</v>
      </c>
      <c r="AX122" s="184">
        <v>3070</v>
      </c>
      <c r="AY122" s="146">
        <f t="shared" si="47"/>
        <v>2570</v>
      </c>
      <c r="AZ122" s="146">
        <f t="shared" si="48"/>
        <v>2570</v>
      </c>
      <c r="BA122" s="146">
        <f t="shared" si="48"/>
        <v>2570</v>
      </c>
      <c r="BB122" s="184">
        <v>2900</v>
      </c>
      <c r="BC122" s="184">
        <v>2900</v>
      </c>
      <c r="BD122" s="184">
        <v>2900</v>
      </c>
      <c r="BE122" s="184">
        <v>2900</v>
      </c>
      <c r="BF122" s="184">
        <v>2750</v>
      </c>
      <c r="BG122" s="184">
        <v>2750</v>
      </c>
      <c r="BH122" s="184">
        <v>2750</v>
      </c>
      <c r="BI122" s="184"/>
      <c r="BJ122" s="184"/>
      <c r="BK122" s="184"/>
      <c r="BL122" s="184">
        <v>2700</v>
      </c>
      <c r="BM122" s="184">
        <v>2700</v>
      </c>
      <c r="BN122" s="184">
        <v>2700</v>
      </c>
      <c r="BO122" s="184">
        <v>3430</v>
      </c>
      <c r="BP122" s="184">
        <v>3430</v>
      </c>
      <c r="BQ122" s="184">
        <v>3430</v>
      </c>
      <c r="BR122" s="184"/>
      <c r="BS122" s="184"/>
      <c r="BT122" s="184"/>
      <c r="BU122" s="146" cm="1">
        <f t="array" ref="BU122">LOOKUP(2,1/(Y122:BT122&lt;&gt;""),Y122:BH122)</f>
        <v>3430</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46199</v>
      </c>
      <c r="BW122" s="211" cm="1">
        <f t="array" ref="BW122">(LOOKUP(2,1/(BH122:BT122&lt;&gt;""),BH122:BT122))/(INDEX(BH122:BT122,MATCH(TRUE,INDEX((BH122:BT122&lt;&gt;0),0),0)))-1</f>
        <v>0.24727272727272731</v>
      </c>
      <c r="BX122" s="212">
        <f t="shared" si="38"/>
        <v>3.43</v>
      </c>
      <c r="BY122" s="212">
        <f t="shared" si="37"/>
        <v>20.237000000000002</v>
      </c>
      <c r="BZ122" s="212">
        <f ca="1">IF(L122="BR",'Impostos e Frete'!$F$6,IF(L122="EU",'Impostos e Frete'!$I$3,IF(L122="CN",'Impostos e Frete'!$I$4,IF(L122="JP",'Impostos e Frete'!$I$5,IF(L122="RU",'Impostos e Frete'!$I$7,"ERRO")))))</f>
        <v>0.14176320000000001</v>
      </c>
      <c r="CA122" s="212">
        <f>VLOOKUP(L122,'Impostos e Frete'!$A$3:$B$7,2,0)*'Preços e Condições'!BY122</f>
        <v>2.6308100000000003</v>
      </c>
      <c r="CB122" s="147">
        <f t="shared" si="39"/>
        <v>0</v>
      </c>
      <c r="CC122" s="147">
        <f>IF(X122="BRL",'Impostos e Frete'!$B$11,'Impostos e Frete'!$B$12)</f>
        <v>9.1999999999999998E-2</v>
      </c>
      <c r="CD122" s="213">
        <f t="shared" ca="1" si="40"/>
        <v>23.101573200000001</v>
      </c>
      <c r="CE122" s="214">
        <f t="shared" ca="1" si="41"/>
        <v>1.5016022579999999</v>
      </c>
      <c r="CF122" s="215">
        <f>VLOOKUP(L122,'Impostos e Frete'!$A$3:$C$7,3,0)</f>
        <v>105</v>
      </c>
      <c r="CG122" s="215">
        <f t="shared" si="42"/>
        <v>30</v>
      </c>
      <c r="CH122" s="215">
        <f t="shared" si="43"/>
        <v>-75</v>
      </c>
      <c r="CI122" s="216">
        <f t="shared" ca="1" si="44"/>
        <v>0.87607929065427115</v>
      </c>
      <c r="CJ122" s="217">
        <f t="shared" ca="1" si="45"/>
        <v>23.977652490654272</v>
      </c>
      <c r="CK122" s="218">
        <f t="shared" ca="1" si="46"/>
        <v>1.5585474118925278</v>
      </c>
    </row>
    <row r="123" spans="1:89">
      <c r="A123" s="176">
        <v>19536</v>
      </c>
      <c r="B123" s="177">
        <v>301</v>
      </c>
      <c r="C123" s="178">
        <v>65</v>
      </c>
      <c r="D123" s="178">
        <v>1270</v>
      </c>
      <c r="E123" s="178" t="s">
        <v>50</v>
      </c>
      <c r="F123" s="179" t="s">
        <v>108</v>
      </c>
      <c r="G123" s="189" t="s">
        <v>111</v>
      </c>
      <c r="H123" s="178" t="s">
        <v>347</v>
      </c>
      <c r="I123" s="178" t="s">
        <v>113</v>
      </c>
      <c r="J123" s="178"/>
      <c r="K123" s="178"/>
      <c r="L123" s="178" t="s">
        <v>59</v>
      </c>
      <c r="M123" s="178">
        <v>30</v>
      </c>
      <c r="N123" s="178">
        <v>500</v>
      </c>
      <c r="O123" s="178"/>
      <c r="P123" s="178"/>
      <c r="Q123" s="178"/>
      <c r="R123" s="178" t="s">
        <v>19</v>
      </c>
      <c r="S123" s="181"/>
      <c r="T123" s="181"/>
      <c r="U123" s="182"/>
      <c r="V123" s="182" t="s">
        <v>35</v>
      </c>
      <c r="W123" s="183">
        <v>80</v>
      </c>
      <c r="X123" s="182" t="s">
        <v>51</v>
      </c>
      <c r="Y123" s="184">
        <v>2650</v>
      </c>
      <c r="Z123" s="184">
        <v>2650</v>
      </c>
      <c r="AA123" s="184">
        <v>2650</v>
      </c>
      <c r="AB123" s="184">
        <v>2550</v>
      </c>
      <c r="AC123" s="184">
        <v>2550</v>
      </c>
      <c r="AD123" s="184">
        <v>2550</v>
      </c>
      <c r="AE123" s="184">
        <v>2350</v>
      </c>
      <c r="AF123" s="184">
        <v>2350</v>
      </c>
      <c r="AG123" s="184">
        <v>2350</v>
      </c>
      <c r="AH123" s="184">
        <v>2200</v>
      </c>
      <c r="AI123" s="184">
        <v>1900</v>
      </c>
      <c r="AJ123" s="184">
        <v>1900</v>
      </c>
      <c r="AK123" s="184">
        <v>1900</v>
      </c>
      <c r="AL123" s="184">
        <v>1900</v>
      </c>
      <c r="AM123" s="184">
        <v>1900</v>
      </c>
      <c r="AN123" s="184">
        <v>1900</v>
      </c>
      <c r="AO123" s="184">
        <v>1900</v>
      </c>
      <c r="AP123" s="184">
        <v>1900</v>
      </c>
      <c r="AQ123" s="184">
        <v>2010</v>
      </c>
      <c r="AR123" s="184">
        <v>2400</v>
      </c>
      <c r="AS123" s="184">
        <v>2400</v>
      </c>
      <c r="AT123" s="184">
        <v>2400</v>
      </c>
      <c r="AU123" s="184">
        <v>2400</v>
      </c>
      <c r="AV123" s="184">
        <v>2400</v>
      </c>
      <c r="AW123" s="184">
        <v>2800</v>
      </c>
      <c r="AX123" s="184">
        <v>2800</v>
      </c>
      <c r="AY123" s="146">
        <f t="shared" si="47"/>
        <v>2300</v>
      </c>
      <c r="AZ123" s="146">
        <f t="shared" si="48"/>
        <v>2300</v>
      </c>
      <c r="BA123" s="146">
        <f t="shared" si="48"/>
        <v>2300</v>
      </c>
      <c r="BB123" s="184">
        <v>2630</v>
      </c>
      <c r="BC123" s="184">
        <v>2630</v>
      </c>
      <c r="BD123" s="184">
        <v>2630</v>
      </c>
      <c r="BE123" s="184">
        <v>2630</v>
      </c>
      <c r="BF123" s="184">
        <v>2480</v>
      </c>
      <c r="BG123" s="184">
        <v>2480</v>
      </c>
      <c r="BH123" s="184">
        <v>2480</v>
      </c>
      <c r="BI123" s="184"/>
      <c r="BJ123" s="184"/>
      <c r="BK123" s="184"/>
      <c r="BL123" s="184">
        <v>2450</v>
      </c>
      <c r="BM123" s="184">
        <v>2450</v>
      </c>
      <c r="BN123" s="184">
        <v>2450</v>
      </c>
      <c r="BO123" s="184">
        <v>2530</v>
      </c>
      <c r="BP123" s="184">
        <v>2530</v>
      </c>
      <c r="BQ123" s="184">
        <v>2530</v>
      </c>
      <c r="BR123" s="184"/>
      <c r="BS123" s="184"/>
      <c r="BT123" s="184"/>
      <c r="BU123" s="146" cm="1">
        <f t="array" ref="BU123">LOOKUP(2,1/(Y123:BT123&lt;&gt;""),Y123:BH123)</f>
        <v>2530</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46199</v>
      </c>
      <c r="BW123" s="211" cm="1">
        <f t="array" ref="BW123">(LOOKUP(2,1/(BH123:BT123&lt;&gt;""),BH123:BT123))/(INDEX(BH123:BT123,MATCH(TRUE,INDEX((BH123:BT123&lt;&gt;0),0),0)))-1</f>
        <v>2.0161290322580738E-2</v>
      </c>
      <c r="BX123" s="212">
        <f t="shared" si="38"/>
        <v>2.5299999999999998</v>
      </c>
      <c r="BY123" s="212">
        <f t="shared" si="37"/>
        <v>14.927</v>
      </c>
      <c r="BZ123" s="212">
        <f ca="1">IF(L123="BR",'Impostos e Frete'!$F$6,IF(L123="EU",'Impostos e Frete'!$I$3,IF(L123="CN",'Impostos e Frete'!$I$4,IF(L123="JP",'Impostos e Frete'!$I$5,IF(L123="RU",'Impostos e Frete'!$I$7,"ERRO")))))</f>
        <v>0.14176320000000001</v>
      </c>
      <c r="CA123" s="212">
        <f>VLOOKUP(L123,'Impostos e Frete'!$A$3:$B$7,2,0)*'Preços e Condições'!BY123</f>
        <v>1.94051</v>
      </c>
      <c r="CB123" s="147">
        <f t="shared" si="39"/>
        <v>0</v>
      </c>
      <c r="CC123" s="147">
        <f>IF(X123="BRL",'Impostos e Frete'!$B$11,'Impostos e Frete'!$B$12)</f>
        <v>9.1999999999999998E-2</v>
      </c>
      <c r="CD123" s="213">
        <f t="shared" ca="1" si="40"/>
        <v>17.101273199999998</v>
      </c>
      <c r="CE123" s="214">
        <f t="shared" ca="1" si="41"/>
        <v>1.1115827579999999</v>
      </c>
      <c r="CF123" s="215">
        <f>VLOOKUP(L123,'Impostos e Frete'!$A$3:$C$7,3,0)</f>
        <v>105</v>
      </c>
      <c r="CG123" s="215">
        <f t="shared" si="42"/>
        <v>30</v>
      </c>
      <c r="CH123" s="215">
        <f t="shared" si="43"/>
        <v>-75</v>
      </c>
      <c r="CI123" s="216">
        <f t="shared" ca="1" si="44"/>
        <v>0.64853034746312943</v>
      </c>
      <c r="CJ123" s="217">
        <f t="shared" ca="1" si="45"/>
        <v>17.749803547463127</v>
      </c>
      <c r="CK123" s="218">
        <f t="shared" ca="1" si="46"/>
        <v>1.1537372305851032</v>
      </c>
    </row>
    <row r="124" spans="1:89">
      <c r="A124" s="176">
        <v>19536</v>
      </c>
      <c r="B124" s="177">
        <v>301</v>
      </c>
      <c r="C124" s="178">
        <v>65</v>
      </c>
      <c r="D124" s="178">
        <v>1270</v>
      </c>
      <c r="E124" s="178" t="s">
        <v>50</v>
      </c>
      <c r="F124" s="179" t="s">
        <v>108</v>
      </c>
      <c r="G124" s="189" t="s">
        <v>111</v>
      </c>
      <c r="H124" s="178" t="s">
        <v>347</v>
      </c>
      <c r="I124" s="178" t="s">
        <v>113</v>
      </c>
      <c r="J124" s="178"/>
      <c r="K124" s="178"/>
      <c r="L124" s="178" t="s">
        <v>59</v>
      </c>
      <c r="M124" s="178">
        <v>30</v>
      </c>
      <c r="N124" s="178">
        <v>500</v>
      </c>
      <c r="O124" s="178"/>
      <c r="P124" s="178"/>
      <c r="Q124" s="178"/>
      <c r="R124" s="178" t="s">
        <v>19</v>
      </c>
      <c r="S124" s="181"/>
      <c r="T124" s="181"/>
      <c r="U124" s="182"/>
      <c r="V124" s="182" t="s">
        <v>35</v>
      </c>
      <c r="W124" s="183">
        <v>50</v>
      </c>
      <c r="X124" s="182" t="s">
        <v>51</v>
      </c>
      <c r="Y124" s="184">
        <v>2850</v>
      </c>
      <c r="Z124" s="184">
        <v>2850</v>
      </c>
      <c r="AA124" s="184">
        <v>2850</v>
      </c>
      <c r="AB124" s="184">
        <v>2750</v>
      </c>
      <c r="AC124" s="184">
        <v>2750</v>
      </c>
      <c r="AD124" s="184">
        <v>2750</v>
      </c>
      <c r="AE124" s="184">
        <v>2550</v>
      </c>
      <c r="AF124" s="184">
        <v>2550</v>
      </c>
      <c r="AG124" s="184">
        <v>2550</v>
      </c>
      <c r="AH124" s="184">
        <v>2400</v>
      </c>
      <c r="AI124" s="184">
        <v>2400</v>
      </c>
      <c r="AJ124" s="184">
        <v>2400</v>
      </c>
      <c r="AK124" s="184">
        <v>2400</v>
      </c>
      <c r="AL124" s="184">
        <v>2400</v>
      </c>
      <c r="AM124" s="184">
        <v>2400</v>
      </c>
      <c r="AN124" s="184">
        <v>2400</v>
      </c>
      <c r="AO124" s="184">
        <v>2400</v>
      </c>
      <c r="AP124" s="184">
        <v>2400</v>
      </c>
      <c r="AQ124" s="184">
        <v>2210</v>
      </c>
      <c r="AR124" s="184">
        <v>2600</v>
      </c>
      <c r="AS124" s="184">
        <v>2600</v>
      </c>
      <c r="AT124" s="184">
        <v>2600</v>
      </c>
      <c r="AU124" s="184">
        <v>2600</v>
      </c>
      <c r="AV124" s="184">
        <v>2600</v>
      </c>
      <c r="AW124" s="184">
        <v>2820</v>
      </c>
      <c r="AX124" s="184">
        <v>2820</v>
      </c>
      <c r="AY124" s="146">
        <f t="shared" si="47"/>
        <v>2320</v>
      </c>
      <c r="AZ124" s="146">
        <f t="shared" si="48"/>
        <v>2320</v>
      </c>
      <c r="BA124" s="146">
        <f t="shared" si="48"/>
        <v>2320</v>
      </c>
      <c r="BB124" s="184">
        <v>2650</v>
      </c>
      <c r="BC124" s="184">
        <v>2650</v>
      </c>
      <c r="BD124" s="184">
        <v>2650</v>
      </c>
      <c r="BE124" s="184">
        <v>2650</v>
      </c>
      <c r="BF124" s="184">
        <v>2500</v>
      </c>
      <c r="BG124" s="184">
        <v>2500</v>
      </c>
      <c r="BH124" s="184">
        <v>2500</v>
      </c>
      <c r="BI124" s="184"/>
      <c r="BJ124" s="184"/>
      <c r="BK124" s="184"/>
      <c r="BL124" s="184">
        <v>2470</v>
      </c>
      <c r="BM124" s="184">
        <v>2470</v>
      </c>
      <c r="BN124" s="184">
        <v>2470</v>
      </c>
      <c r="BO124" s="184">
        <v>2730</v>
      </c>
      <c r="BP124" s="184">
        <v>2730</v>
      </c>
      <c r="BQ124" s="184">
        <v>2730</v>
      </c>
      <c r="BR124" s="184"/>
      <c r="BS124" s="184"/>
      <c r="BT124" s="184"/>
      <c r="BU124" s="146" cm="1">
        <f t="array" ref="BU124">LOOKUP(2,1/(Y124:BT124&lt;&gt;""),Y124:BH124)</f>
        <v>2730</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46199</v>
      </c>
      <c r="BW124" s="211" cm="1">
        <f t="array" ref="BW124">(LOOKUP(2,1/(BH124:BT124&lt;&gt;""),BH124:BT124))/(INDEX(BH124:BT124,MATCH(TRUE,INDEX((BH124:BT124&lt;&gt;0),0),0)))-1</f>
        <v>9.2000000000000082E-2</v>
      </c>
      <c r="BX124" s="212">
        <f t="shared" si="38"/>
        <v>2.73</v>
      </c>
      <c r="BY124" s="212">
        <f t="shared" si="37"/>
        <v>16.106999999999999</v>
      </c>
      <c r="BZ124" s="212">
        <f ca="1">IF(L124="BR",'Impostos e Frete'!$F$6,IF(L124="EU",'Impostos e Frete'!$I$3,IF(L124="CN",'Impostos e Frete'!$I$4,IF(L124="JP",'Impostos e Frete'!$I$5,IF(L124="RU",'Impostos e Frete'!$I$7,"ERRO")))))</f>
        <v>0.14176320000000001</v>
      </c>
      <c r="CA124" s="212">
        <f>VLOOKUP(L124,'Impostos e Frete'!$A$3:$B$7,2,0)*'Preços e Condições'!BY124</f>
        <v>2.0939100000000002</v>
      </c>
      <c r="CB124" s="147">
        <f t="shared" si="39"/>
        <v>0</v>
      </c>
      <c r="CC124" s="147">
        <f>IF(X124="BRL",'Impostos e Frete'!$B$11,'Impostos e Frete'!$B$12)</f>
        <v>9.1999999999999998E-2</v>
      </c>
      <c r="CD124" s="213">
        <f t="shared" ca="1" si="40"/>
        <v>18.434673199999999</v>
      </c>
      <c r="CE124" s="214">
        <f t="shared" ca="1" si="41"/>
        <v>1.1982537579999999</v>
      </c>
      <c r="CF124" s="215">
        <f>VLOOKUP(L124,'Impostos e Frete'!$A$3:$C$7,3,0)</f>
        <v>105</v>
      </c>
      <c r="CG124" s="215">
        <f t="shared" si="42"/>
        <v>30</v>
      </c>
      <c r="CH124" s="215">
        <f t="shared" si="43"/>
        <v>-75</v>
      </c>
      <c r="CI124" s="216">
        <f t="shared" ca="1" si="44"/>
        <v>0.69909677928337999</v>
      </c>
      <c r="CJ124" s="217">
        <f t="shared" ca="1" si="45"/>
        <v>19.133769979283379</v>
      </c>
      <c r="CK124" s="218">
        <f t="shared" ca="1" si="46"/>
        <v>1.2436950486534195</v>
      </c>
    </row>
    <row r="125" spans="1:89">
      <c r="A125" s="176">
        <v>19536</v>
      </c>
      <c r="B125" s="177">
        <v>301</v>
      </c>
      <c r="C125" s="178">
        <v>65</v>
      </c>
      <c r="D125" s="178">
        <v>1270</v>
      </c>
      <c r="E125" s="178" t="s">
        <v>50</v>
      </c>
      <c r="F125" s="179" t="s">
        <v>108</v>
      </c>
      <c r="G125" s="189" t="s">
        <v>111</v>
      </c>
      <c r="H125" s="178" t="s">
        <v>347</v>
      </c>
      <c r="I125" s="178" t="s">
        <v>113</v>
      </c>
      <c r="J125" s="178"/>
      <c r="K125" s="178"/>
      <c r="L125" s="178" t="s">
        <v>59</v>
      </c>
      <c r="M125" s="178">
        <v>30</v>
      </c>
      <c r="N125" s="178">
        <v>500</v>
      </c>
      <c r="O125" s="178"/>
      <c r="P125" s="178"/>
      <c r="Q125" s="178"/>
      <c r="R125" s="178" t="s">
        <v>19</v>
      </c>
      <c r="S125" s="181"/>
      <c r="T125" s="181"/>
      <c r="U125" s="182"/>
      <c r="V125" s="182" t="s">
        <v>35</v>
      </c>
      <c r="W125" s="183">
        <v>20</v>
      </c>
      <c r="X125" s="182" t="s">
        <v>51</v>
      </c>
      <c r="Y125" s="184">
        <v>3350</v>
      </c>
      <c r="Z125" s="184">
        <v>3350</v>
      </c>
      <c r="AA125" s="184">
        <v>3350</v>
      </c>
      <c r="AB125" s="184">
        <v>3250</v>
      </c>
      <c r="AC125" s="184">
        <v>3250</v>
      </c>
      <c r="AD125" s="184">
        <v>3250</v>
      </c>
      <c r="AE125" s="184">
        <v>3050</v>
      </c>
      <c r="AF125" s="184">
        <v>3050</v>
      </c>
      <c r="AG125" s="184">
        <v>3050</v>
      </c>
      <c r="AH125" s="184">
        <v>2900</v>
      </c>
      <c r="AI125" s="184">
        <v>2900</v>
      </c>
      <c r="AJ125" s="184">
        <v>2900</v>
      </c>
      <c r="AK125" s="184">
        <v>2900</v>
      </c>
      <c r="AL125" s="184">
        <v>2900</v>
      </c>
      <c r="AM125" s="184">
        <v>2900</v>
      </c>
      <c r="AN125" s="184">
        <v>2900</v>
      </c>
      <c r="AO125" s="184">
        <v>2900</v>
      </c>
      <c r="AP125" s="184">
        <v>2900</v>
      </c>
      <c r="AQ125" s="184">
        <v>2710</v>
      </c>
      <c r="AR125" s="184">
        <v>3100</v>
      </c>
      <c r="AS125" s="184">
        <v>3100</v>
      </c>
      <c r="AT125" s="184">
        <v>3100</v>
      </c>
      <c r="AU125" s="184">
        <v>3100</v>
      </c>
      <c r="AV125" s="184">
        <v>3100</v>
      </c>
      <c r="AW125" s="184">
        <v>2870</v>
      </c>
      <c r="AX125" s="184">
        <v>2870</v>
      </c>
      <c r="AY125" s="146">
        <f t="shared" si="47"/>
        <v>2370</v>
      </c>
      <c r="AZ125" s="146">
        <f t="shared" si="48"/>
        <v>2370</v>
      </c>
      <c r="BA125" s="146">
        <f t="shared" si="48"/>
        <v>2370</v>
      </c>
      <c r="BB125" s="184">
        <v>2700</v>
      </c>
      <c r="BC125" s="184">
        <v>2700</v>
      </c>
      <c r="BD125" s="184">
        <v>2700</v>
      </c>
      <c r="BE125" s="184">
        <v>2700</v>
      </c>
      <c r="BF125" s="184">
        <v>2550</v>
      </c>
      <c r="BG125" s="184">
        <v>2550</v>
      </c>
      <c r="BH125" s="184">
        <v>2550</v>
      </c>
      <c r="BI125" s="184"/>
      <c r="BJ125" s="184"/>
      <c r="BK125" s="184"/>
      <c r="BL125" s="184">
        <v>2500</v>
      </c>
      <c r="BM125" s="184">
        <v>2500</v>
      </c>
      <c r="BN125" s="184">
        <v>2500</v>
      </c>
      <c r="BO125" s="184">
        <v>3230</v>
      </c>
      <c r="BP125" s="184">
        <v>3230</v>
      </c>
      <c r="BQ125" s="184">
        <v>3230</v>
      </c>
      <c r="BR125" s="184"/>
      <c r="BS125" s="184"/>
      <c r="BT125" s="184"/>
      <c r="BU125" s="146" cm="1">
        <f t="array" ref="BU125">LOOKUP(2,1/(Y125:BT125&lt;&gt;""),Y125:BH125)</f>
        <v>3230</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46199</v>
      </c>
      <c r="BW125" s="211" cm="1">
        <f t="array" ref="BW125">(LOOKUP(2,1/(BH125:BT125&lt;&gt;""),BH125:BT125))/(INDEX(BH125:BT125,MATCH(TRUE,INDEX((BH125:BT125&lt;&gt;0),0),0)))-1</f>
        <v>0.26666666666666661</v>
      </c>
      <c r="BX125" s="212">
        <f t="shared" si="38"/>
        <v>3.23</v>
      </c>
      <c r="BY125" s="212">
        <f t="shared" si="37"/>
        <v>19.057000000000002</v>
      </c>
      <c r="BZ125" s="212">
        <f ca="1">IF(L125="BR",'Impostos e Frete'!$F$6,IF(L125="EU",'Impostos e Frete'!$I$3,IF(L125="CN",'Impostos e Frete'!$I$4,IF(L125="JP",'Impostos e Frete'!$I$5,IF(L125="RU",'Impostos e Frete'!$I$7,"ERRO")))))</f>
        <v>0.14176320000000001</v>
      </c>
      <c r="CA125" s="212">
        <f>VLOOKUP(L125,'Impostos e Frete'!$A$3:$B$7,2,0)*'Preços e Condições'!BY125</f>
        <v>2.4774100000000003</v>
      </c>
      <c r="CB125" s="147">
        <f t="shared" si="39"/>
        <v>0</v>
      </c>
      <c r="CC125" s="147">
        <f>IF(X125="BRL",'Impostos e Frete'!$B$11,'Impostos e Frete'!$B$12)</f>
        <v>9.1999999999999998E-2</v>
      </c>
      <c r="CD125" s="213">
        <f t="shared" ca="1" si="40"/>
        <v>21.7681732</v>
      </c>
      <c r="CE125" s="214">
        <f t="shared" ca="1" si="41"/>
        <v>1.414931258</v>
      </c>
      <c r="CF125" s="215">
        <f>VLOOKUP(L125,'Impostos e Frete'!$A$3:$C$7,3,0)</f>
        <v>105</v>
      </c>
      <c r="CG125" s="215">
        <f t="shared" si="42"/>
        <v>30</v>
      </c>
      <c r="CH125" s="215">
        <f t="shared" si="43"/>
        <v>-75</v>
      </c>
      <c r="CI125" s="216">
        <f t="shared" ca="1" si="44"/>
        <v>0.82551285883401704</v>
      </c>
      <c r="CJ125" s="217">
        <f t="shared" ca="1" si="45"/>
        <v>22.593686058834017</v>
      </c>
      <c r="CK125" s="218">
        <f t="shared" ca="1" si="46"/>
        <v>1.4685895938242111</v>
      </c>
    </row>
    <row r="126" spans="1:89">
      <c r="A126" s="176">
        <v>19508</v>
      </c>
      <c r="B126" s="177">
        <v>301</v>
      </c>
      <c r="C126" s="178">
        <v>65</v>
      </c>
      <c r="D126" s="178">
        <v>1870</v>
      </c>
      <c r="E126" s="178" t="s">
        <v>50</v>
      </c>
      <c r="F126" s="179" t="s">
        <v>108</v>
      </c>
      <c r="G126" s="189" t="s">
        <v>111</v>
      </c>
      <c r="H126" s="178" t="s">
        <v>347</v>
      </c>
      <c r="I126" s="178" t="s">
        <v>113</v>
      </c>
      <c r="J126" s="178"/>
      <c r="K126" s="178"/>
      <c r="L126" s="178" t="s">
        <v>59</v>
      </c>
      <c r="M126" s="178">
        <v>30</v>
      </c>
      <c r="N126" s="178">
        <v>500</v>
      </c>
      <c r="O126" s="178"/>
      <c r="P126" s="178"/>
      <c r="Q126" s="178"/>
      <c r="R126" s="178" t="s">
        <v>19</v>
      </c>
      <c r="S126" s="181"/>
      <c r="T126" s="181"/>
      <c r="U126" s="182"/>
      <c r="V126" s="182" t="s">
        <v>35</v>
      </c>
      <c r="W126" s="183">
        <v>80</v>
      </c>
      <c r="X126" s="182" t="s">
        <v>51</v>
      </c>
      <c r="Y126" s="184">
        <v>2650</v>
      </c>
      <c r="Z126" s="184">
        <v>2650</v>
      </c>
      <c r="AA126" s="184">
        <v>2650</v>
      </c>
      <c r="AB126" s="184">
        <v>2550</v>
      </c>
      <c r="AC126" s="184">
        <v>2550</v>
      </c>
      <c r="AD126" s="184">
        <v>2550</v>
      </c>
      <c r="AE126" s="184">
        <v>2350</v>
      </c>
      <c r="AF126" s="184">
        <v>2350</v>
      </c>
      <c r="AG126" s="184">
        <v>2350</v>
      </c>
      <c r="AH126" s="184">
        <v>2200</v>
      </c>
      <c r="AI126" s="184">
        <v>1900</v>
      </c>
      <c r="AJ126" s="184">
        <v>1900</v>
      </c>
      <c r="AK126" s="184">
        <v>1900</v>
      </c>
      <c r="AL126" s="184">
        <v>1900</v>
      </c>
      <c r="AM126" s="184">
        <v>1900</v>
      </c>
      <c r="AN126" s="184">
        <v>1900</v>
      </c>
      <c r="AO126" s="184">
        <v>1900</v>
      </c>
      <c r="AP126" s="184">
        <v>1900</v>
      </c>
      <c r="AQ126" s="184">
        <v>2010</v>
      </c>
      <c r="AR126" s="184">
        <v>2400</v>
      </c>
      <c r="AS126" s="184">
        <v>2400</v>
      </c>
      <c r="AT126" s="184">
        <v>2400</v>
      </c>
      <c r="AU126" s="184">
        <v>2400</v>
      </c>
      <c r="AV126" s="184">
        <v>2400</v>
      </c>
      <c r="AW126" s="184">
        <v>2800</v>
      </c>
      <c r="AX126" s="184">
        <v>2800</v>
      </c>
      <c r="AY126" s="146">
        <f t="shared" si="47"/>
        <v>2300</v>
      </c>
      <c r="AZ126" s="146">
        <f t="shared" si="48"/>
        <v>2300</v>
      </c>
      <c r="BA126" s="146">
        <f t="shared" si="48"/>
        <v>2300</v>
      </c>
      <c r="BB126" s="184">
        <v>2430</v>
      </c>
      <c r="BC126" s="184">
        <v>2430</v>
      </c>
      <c r="BD126" s="184">
        <v>2430</v>
      </c>
      <c r="BE126" s="184">
        <v>2430</v>
      </c>
      <c r="BF126" s="184">
        <v>2280</v>
      </c>
      <c r="BG126" s="184">
        <v>2280</v>
      </c>
      <c r="BH126" s="184">
        <v>2280</v>
      </c>
      <c r="BI126" s="184"/>
      <c r="BJ126" s="184"/>
      <c r="BK126" s="184"/>
      <c r="BL126" s="184">
        <v>2250</v>
      </c>
      <c r="BM126" s="184">
        <v>2250</v>
      </c>
      <c r="BN126" s="184">
        <v>2250</v>
      </c>
      <c r="BO126" s="184">
        <v>2330</v>
      </c>
      <c r="BP126" s="184">
        <v>2330</v>
      </c>
      <c r="BQ126" s="184">
        <v>2330</v>
      </c>
      <c r="BR126" s="184"/>
      <c r="BS126" s="184"/>
      <c r="BT126" s="184"/>
      <c r="BU126" s="146" cm="1">
        <f t="array" ref="BU126">LOOKUP(2,1/(Y126:BT126&lt;&gt;""),Y126:BH126)</f>
        <v>2330</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46199</v>
      </c>
      <c r="BW126" s="211" cm="1">
        <f t="array" ref="BW126">(LOOKUP(2,1/(BH126:BT126&lt;&gt;""),BH126:BT126))/(INDEX(BH126:BT126,MATCH(TRUE,INDEX((BH126:BT126&lt;&gt;0),0),0)))-1</f>
        <v>2.1929824561403466E-2</v>
      </c>
      <c r="BX126" s="212">
        <f t="shared" si="38"/>
        <v>2.33</v>
      </c>
      <c r="BY126" s="212">
        <f t="shared" si="37"/>
        <v>13.747000000000002</v>
      </c>
      <c r="BZ126" s="212">
        <f ca="1">IF(L126="BR",'Impostos e Frete'!$F$6,IF(L126="EU",'Impostos e Frete'!$I$3,IF(L126="CN",'Impostos e Frete'!$I$4,IF(L126="JP",'Impostos e Frete'!$I$5,IF(L126="RU",'Impostos e Frete'!$I$7,"ERRO")))))</f>
        <v>0.14176320000000001</v>
      </c>
      <c r="CA126" s="212">
        <f>VLOOKUP(L126,'Impostos e Frete'!$A$3:$B$7,2,0)*'Preços e Condições'!BY126</f>
        <v>1.7871100000000002</v>
      </c>
      <c r="CB126" s="147">
        <f t="shared" si="39"/>
        <v>0</v>
      </c>
      <c r="CC126" s="147">
        <f>IF(X126="BRL",'Impostos e Frete'!$B$11,'Impostos e Frete'!$B$12)</f>
        <v>9.1999999999999998E-2</v>
      </c>
      <c r="CD126" s="213">
        <f t="shared" ca="1" si="40"/>
        <v>15.767873200000002</v>
      </c>
      <c r="CE126" s="214">
        <f t="shared" ca="1" si="41"/>
        <v>1.024911758</v>
      </c>
      <c r="CF126" s="215">
        <f>VLOOKUP(L126,'Impostos e Frete'!$A$3:$C$7,3,0)</f>
        <v>105</v>
      </c>
      <c r="CG126" s="215">
        <f t="shared" si="42"/>
        <v>30</v>
      </c>
      <c r="CH126" s="215">
        <f t="shared" si="43"/>
        <v>-75</v>
      </c>
      <c r="CI126" s="216">
        <f t="shared" ca="1" si="44"/>
        <v>0.59796391564287354</v>
      </c>
      <c r="CJ126" s="217">
        <f t="shared" ca="1" si="45"/>
        <v>16.365837115642876</v>
      </c>
      <c r="CK126" s="218">
        <f t="shared" ca="1" si="46"/>
        <v>1.0637794125167868</v>
      </c>
    </row>
    <row r="127" spans="1:89">
      <c r="A127" s="176">
        <v>19508</v>
      </c>
      <c r="B127" s="177">
        <v>301</v>
      </c>
      <c r="C127" s="178">
        <v>65</v>
      </c>
      <c r="D127" s="178">
        <v>1870</v>
      </c>
      <c r="E127" s="178" t="s">
        <v>50</v>
      </c>
      <c r="F127" s="179" t="s">
        <v>108</v>
      </c>
      <c r="G127" s="189" t="s">
        <v>111</v>
      </c>
      <c r="H127" s="178" t="s">
        <v>347</v>
      </c>
      <c r="I127" s="178" t="s">
        <v>113</v>
      </c>
      <c r="J127" s="178"/>
      <c r="K127" s="178"/>
      <c r="L127" s="178" t="s">
        <v>59</v>
      </c>
      <c r="M127" s="178">
        <v>30</v>
      </c>
      <c r="N127" s="178">
        <v>500</v>
      </c>
      <c r="O127" s="178"/>
      <c r="P127" s="178"/>
      <c r="Q127" s="178"/>
      <c r="R127" s="178" t="s">
        <v>19</v>
      </c>
      <c r="S127" s="181"/>
      <c r="T127" s="181"/>
      <c r="U127" s="182"/>
      <c r="V127" s="182" t="s">
        <v>35</v>
      </c>
      <c r="W127" s="183">
        <v>50</v>
      </c>
      <c r="X127" s="182" t="s">
        <v>51</v>
      </c>
      <c r="Y127" s="184">
        <v>2850</v>
      </c>
      <c r="Z127" s="184">
        <v>2850</v>
      </c>
      <c r="AA127" s="184">
        <v>2850</v>
      </c>
      <c r="AB127" s="184">
        <v>2750</v>
      </c>
      <c r="AC127" s="184">
        <v>2750</v>
      </c>
      <c r="AD127" s="184">
        <v>2750</v>
      </c>
      <c r="AE127" s="184">
        <v>2550</v>
      </c>
      <c r="AF127" s="184">
        <v>2550</v>
      </c>
      <c r="AG127" s="184">
        <v>2550</v>
      </c>
      <c r="AH127" s="184">
        <v>2400</v>
      </c>
      <c r="AI127" s="184">
        <v>2400</v>
      </c>
      <c r="AJ127" s="184">
        <v>2400</v>
      </c>
      <c r="AK127" s="184">
        <v>2400</v>
      </c>
      <c r="AL127" s="184">
        <v>2400</v>
      </c>
      <c r="AM127" s="184">
        <v>2400</v>
      </c>
      <c r="AN127" s="184">
        <v>2400</v>
      </c>
      <c r="AO127" s="184">
        <v>2400</v>
      </c>
      <c r="AP127" s="184">
        <v>2400</v>
      </c>
      <c r="AQ127" s="184">
        <v>2210</v>
      </c>
      <c r="AR127" s="184">
        <v>2600</v>
      </c>
      <c r="AS127" s="184">
        <v>2600</v>
      </c>
      <c r="AT127" s="184">
        <v>2600</v>
      </c>
      <c r="AU127" s="184">
        <v>2600</v>
      </c>
      <c r="AV127" s="184">
        <v>2600</v>
      </c>
      <c r="AW127" s="184">
        <v>2820</v>
      </c>
      <c r="AX127" s="184">
        <v>2820</v>
      </c>
      <c r="AY127" s="146">
        <f t="shared" si="47"/>
        <v>2320</v>
      </c>
      <c r="AZ127" s="146">
        <f t="shared" si="48"/>
        <v>2320</v>
      </c>
      <c r="BA127" s="146">
        <f t="shared" si="48"/>
        <v>2320</v>
      </c>
      <c r="BB127" s="184">
        <v>2450</v>
      </c>
      <c r="BC127" s="184">
        <v>2450</v>
      </c>
      <c r="BD127" s="184">
        <v>2450</v>
      </c>
      <c r="BE127" s="184">
        <v>2450</v>
      </c>
      <c r="BF127" s="184">
        <v>2300</v>
      </c>
      <c r="BG127" s="184">
        <v>2300</v>
      </c>
      <c r="BH127" s="184">
        <v>2300</v>
      </c>
      <c r="BI127" s="184"/>
      <c r="BJ127" s="184"/>
      <c r="BK127" s="184"/>
      <c r="BL127" s="184">
        <v>2270</v>
      </c>
      <c r="BM127" s="184">
        <v>2270</v>
      </c>
      <c r="BN127" s="184">
        <v>2270</v>
      </c>
      <c r="BO127" s="184">
        <v>2530</v>
      </c>
      <c r="BP127" s="184">
        <v>2530</v>
      </c>
      <c r="BQ127" s="184">
        <v>2530</v>
      </c>
      <c r="BR127" s="184"/>
      <c r="BS127" s="184"/>
      <c r="BT127" s="184"/>
      <c r="BU127" s="146" cm="1">
        <f t="array" ref="BU127">LOOKUP(2,1/(Y127:BT127&lt;&gt;""),Y127:BH127)</f>
        <v>2530</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46199</v>
      </c>
      <c r="BW127" s="211" cm="1">
        <f t="array" ref="BW127">(LOOKUP(2,1/(BH127:BT127&lt;&gt;""),BH127:BT127))/(INDEX(BH127:BT127,MATCH(TRUE,INDEX((BH127:BT127&lt;&gt;0),0),0)))-1</f>
        <v>0.10000000000000009</v>
      </c>
      <c r="BX127" s="212">
        <f t="shared" si="38"/>
        <v>2.5299999999999998</v>
      </c>
      <c r="BY127" s="212">
        <f t="shared" si="37"/>
        <v>14.927</v>
      </c>
      <c r="BZ127" s="212">
        <f ca="1">IF(L127="BR",'Impostos e Frete'!$F$6,IF(L127="EU",'Impostos e Frete'!$I$3,IF(L127="CN",'Impostos e Frete'!$I$4,IF(L127="JP",'Impostos e Frete'!$I$5,IF(L127="RU",'Impostos e Frete'!$I$7,"ERRO")))))</f>
        <v>0.14176320000000001</v>
      </c>
      <c r="CA127" s="212">
        <f>VLOOKUP(L127,'Impostos e Frete'!$A$3:$B$7,2,0)*'Preços e Condições'!BY127</f>
        <v>1.94051</v>
      </c>
      <c r="CB127" s="147">
        <f t="shared" si="39"/>
        <v>0</v>
      </c>
      <c r="CC127" s="147">
        <f>IF(X127="BRL",'Impostos e Frete'!$B$11,'Impostos e Frete'!$B$12)</f>
        <v>9.1999999999999998E-2</v>
      </c>
      <c r="CD127" s="213">
        <f t="shared" ca="1" si="40"/>
        <v>17.101273199999998</v>
      </c>
      <c r="CE127" s="214">
        <f t="shared" ca="1" si="41"/>
        <v>1.1115827579999999</v>
      </c>
      <c r="CF127" s="215">
        <f>VLOOKUP(L127,'Impostos e Frete'!$A$3:$C$7,3,0)</f>
        <v>105</v>
      </c>
      <c r="CG127" s="215">
        <f t="shared" si="42"/>
        <v>30</v>
      </c>
      <c r="CH127" s="215">
        <f t="shared" si="43"/>
        <v>-75</v>
      </c>
      <c r="CI127" s="216">
        <f t="shared" ca="1" si="44"/>
        <v>0.64853034746312943</v>
      </c>
      <c r="CJ127" s="217">
        <f t="shared" ca="1" si="45"/>
        <v>17.749803547463127</v>
      </c>
      <c r="CK127" s="218">
        <f t="shared" ca="1" si="46"/>
        <v>1.1537372305851032</v>
      </c>
    </row>
    <row r="128" spans="1:89">
      <c r="A128" s="176">
        <v>19508</v>
      </c>
      <c r="B128" s="177">
        <v>301</v>
      </c>
      <c r="C128" s="178">
        <v>65</v>
      </c>
      <c r="D128" s="178">
        <v>1870</v>
      </c>
      <c r="E128" s="178" t="s">
        <v>50</v>
      </c>
      <c r="F128" s="179" t="s">
        <v>108</v>
      </c>
      <c r="G128" s="189" t="s">
        <v>111</v>
      </c>
      <c r="H128" s="178" t="s">
        <v>347</v>
      </c>
      <c r="I128" s="178" t="s">
        <v>113</v>
      </c>
      <c r="J128" s="178"/>
      <c r="K128" s="178"/>
      <c r="L128" s="178" t="s">
        <v>59</v>
      </c>
      <c r="M128" s="178">
        <v>30</v>
      </c>
      <c r="N128" s="178">
        <v>500</v>
      </c>
      <c r="O128" s="178"/>
      <c r="P128" s="178"/>
      <c r="Q128" s="178"/>
      <c r="R128" s="178" t="s">
        <v>19</v>
      </c>
      <c r="S128" s="181"/>
      <c r="T128" s="181"/>
      <c r="U128" s="182"/>
      <c r="V128" s="182" t="s">
        <v>35</v>
      </c>
      <c r="W128" s="183">
        <v>20</v>
      </c>
      <c r="X128" s="182" t="s">
        <v>51</v>
      </c>
      <c r="Y128" s="184">
        <v>3350</v>
      </c>
      <c r="Z128" s="184">
        <v>3350</v>
      </c>
      <c r="AA128" s="184">
        <v>3350</v>
      </c>
      <c r="AB128" s="184">
        <v>3250</v>
      </c>
      <c r="AC128" s="184">
        <v>3250</v>
      </c>
      <c r="AD128" s="184">
        <v>3250</v>
      </c>
      <c r="AE128" s="184">
        <v>3050</v>
      </c>
      <c r="AF128" s="184">
        <v>3050</v>
      </c>
      <c r="AG128" s="184">
        <v>3050</v>
      </c>
      <c r="AH128" s="184">
        <v>2900</v>
      </c>
      <c r="AI128" s="184">
        <v>2900</v>
      </c>
      <c r="AJ128" s="184">
        <v>2900</v>
      </c>
      <c r="AK128" s="184">
        <v>2900</v>
      </c>
      <c r="AL128" s="184">
        <v>2900</v>
      </c>
      <c r="AM128" s="184">
        <v>2900</v>
      </c>
      <c r="AN128" s="184">
        <v>2900</v>
      </c>
      <c r="AO128" s="184">
        <v>2900</v>
      </c>
      <c r="AP128" s="184">
        <v>2900</v>
      </c>
      <c r="AQ128" s="184">
        <v>2710</v>
      </c>
      <c r="AR128" s="184">
        <v>3100</v>
      </c>
      <c r="AS128" s="184">
        <v>3100</v>
      </c>
      <c r="AT128" s="184">
        <v>3100</v>
      </c>
      <c r="AU128" s="184">
        <v>3100</v>
      </c>
      <c r="AV128" s="184">
        <v>3100</v>
      </c>
      <c r="AW128" s="184">
        <v>2870</v>
      </c>
      <c r="AX128" s="184">
        <v>2870</v>
      </c>
      <c r="AY128" s="146">
        <f t="shared" si="47"/>
        <v>2370</v>
      </c>
      <c r="AZ128" s="146">
        <f t="shared" si="48"/>
        <v>2370</v>
      </c>
      <c r="BA128" s="146">
        <f t="shared" si="48"/>
        <v>2370</v>
      </c>
      <c r="BB128" s="184">
        <v>2500</v>
      </c>
      <c r="BC128" s="184">
        <v>2500</v>
      </c>
      <c r="BD128" s="184">
        <v>2500</v>
      </c>
      <c r="BE128" s="184">
        <v>2500</v>
      </c>
      <c r="BF128" s="184">
        <v>2350</v>
      </c>
      <c r="BG128" s="184">
        <v>2350</v>
      </c>
      <c r="BH128" s="184">
        <v>2350</v>
      </c>
      <c r="BI128" s="184"/>
      <c r="BJ128" s="184"/>
      <c r="BK128" s="184"/>
      <c r="BL128" s="184">
        <v>2300</v>
      </c>
      <c r="BM128" s="184">
        <v>2300</v>
      </c>
      <c r="BN128" s="184">
        <v>2300</v>
      </c>
      <c r="BO128" s="184">
        <v>3030</v>
      </c>
      <c r="BP128" s="184">
        <v>3030</v>
      </c>
      <c r="BQ128" s="184">
        <v>3030</v>
      </c>
      <c r="BR128" s="184"/>
      <c r="BS128" s="184"/>
      <c r="BT128" s="184"/>
      <c r="BU128" s="146" cm="1">
        <f t="array" ref="BU128">LOOKUP(2,1/(Y128:BT128&lt;&gt;""),Y128:BH128)</f>
        <v>3030</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46199</v>
      </c>
      <c r="BW128" s="211" cm="1">
        <f t="array" ref="BW128">(LOOKUP(2,1/(BH128:BT128&lt;&gt;""),BH128:BT128))/(INDEX(BH128:BT128,MATCH(TRUE,INDEX((BH128:BT128&lt;&gt;0),0),0)))-1</f>
        <v>0.28936170212765955</v>
      </c>
      <c r="BX128" s="212">
        <f t="shared" si="38"/>
        <v>3.03</v>
      </c>
      <c r="BY128" s="212">
        <f t="shared" si="37"/>
        <v>17.876999999999999</v>
      </c>
      <c r="BZ128" s="212">
        <f ca="1">IF(L128="BR",'Impostos e Frete'!$F$6,IF(L128="EU",'Impostos e Frete'!$I$3,IF(L128="CN",'Impostos e Frete'!$I$4,IF(L128="JP",'Impostos e Frete'!$I$5,IF(L128="RU",'Impostos e Frete'!$I$7,"ERRO")))))</f>
        <v>0.14176320000000001</v>
      </c>
      <c r="CA128" s="212">
        <f>VLOOKUP(L128,'Impostos e Frete'!$A$3:$B$7,2,0)*'Preços e Condições'!BY128</f>
        <v>2.3240099999999999</v>
      </c>
      <c r="CB128" s="147">
        <f t="shared" si="39"/>
        <v>0</v>
      </c>
      <c r="CC128" s="147">
        <f>IF(X128="BRL",'Impostos e Frete'!$B$11,'Impostos e Frete'!$B$12)</f>
        <v>9.1999999999999998E-2</v>
      </c>
      <c r="CD128" s="213">
        <f t="shared" ca="1" si="40"/>
        <v>20.434773199999999</v>
      </c>
      <c r="CE128" s="214">
        <f t="shared" ca="1" si="41"/>
        <v>1.328260258</v>
      </c>
      <c r="CF128" s="215">
        <f>VLOOKUP(L128,'Impostos e Frete'!$A$3:$C$7,3,0)</f>
        <v>105</v>
      </c>
      <c r="CG128" s="215">
        <f t="shared" si="42"/>
        <v>30</v>
      </c>
      <c r="CH128" s="215">
        <f t="shared" si="43"/>
        <v>-75</v>
      </c>
      <c r="CI128" s="216">
        <f t="shared" ca="1" si="44"/>
        <v>0.77494642701376293</v>
      </c>
      <c r="CJ128" s="217">
        <f t="shared" ca="1" si="45"/>
        <v>21.209719627013762</v>
      </c>
      <c r="CK128" s="218">
        <f t="shared" ca="1" si="46"/>
        <v>1.3786317757558946</v>
      </c>
    </row>
    <row r="129" spans="1:89">
      <c r="A129" s="176">
        <v>19531</v>
      </c>
      <c r="B129" s="177">
        <v>301</v>
      </c>
      <c r="C129" s="178">
        <v>65</v>
      </c>
      <c r="D129" s="178">
        <v>2120</v>
      </c>
      <c r="E129" s="178" t="s">
        <v>50</v>
      </c>
      <c r="F129" s="179" t="s">
        <v>108</v>
      </c>
      <c r="G129" s="189" t="s">
        <v>111</v>
      </c>
      <c r="H129" s="178" t="s">
        <v>347</v>
      </c>
      <c r="I129" s="178" t="s">
        <v>113</v>
      </c>
      <c r="J129" s="178"/>
      <c r="K129" s="178"/>
      <c r="L129" s="178" t="s">
        <v>59</v>
      </c>
      <c r="M129" s="178">
        <v>30</v>
      </c>
      <c r="N129" s="178">
        <v>500</v>
      </c>
      <c r="O129" s="178"/>
      <c r="P129" s="178"/>
      <c r="Q129" s="178"/>
      <c r="R129" s="178" t="s">
        <v>19</v>
      </c>
      <c r="S129" s="181"/>
      <c r="T129" s="181"/>
      <c r="U129" s="182"/>
      <c r="V129" s="182" t="s">
        <v>35</v>
      </c>
      <c r="W129" s="183">
        <v>80</v>
      </c>
      <c r="X129" s="182" t="s">
        <v>51</v>
      </c>
      <c r="Y129" s="184">
        <v>2650</v>
      </c>
      <c r="Z129" s="184">
        <v>2650</v>
      </c>
      <c r="AA129" s="184">
        <v>2650</v>
      </c>
      <c r="AB129" s="184">
        <v>2550</v>
      </c>
      <c r="AC129" s="184">
        <v>2550</v>
      </c>
      <c r="AD129" s="184">
        <v>2550</v>
      </c>
      <c r="AE129" s="184">
        <v>2350</v>
      </c>
      <c r="AF129" s="184">
        <v>2350</v>
      </c>
      <c r="AG129" s="184">
        <v>2350</v>
      </c>
      <c r="AH129" s="184">
        <v>2200</v>
      </c>
      <c r="AI129" s="184">
        <v>1900</v>
      </c>
      <c r="AJ129" s="184">
        <v>1900</v>
      </c>
      <c r="AK129" s="184">
        <v>1900</v>
      </c>
      <c r="AL129" s="184">
        <v>1900</v>
      </c>
      <c r="AM129" s="184">
        <v>1900</v>
      </c>
      <c r="AN129" s="184">
        <v>1900</v>
      </c>
      <c r="AO129" s="184">
        <v>1900</v>
      </c>
      <c r="AP129" s="184">
        <v>1900</v>
      </c>
      <c r="AQ129" s="184">
        <v>2010</v>
      </c>
      <c r="AR129" s="184">
        <v>2400</v>
      </c>
      <c r="AS129" s="184">
        <v>2400</v>
      </c>
      <c r="AT129" s="184">
        <v>2400</v>
      </c>
      <c r="AU129" s="184">
        <v>2400</v>
      </c>
      <c r="AV129" s="184">
        <v>2400</v>
      </c>
      <c r="AW129" s="184">
        <v>2800</v>
      </c>
      <c r="AX129" s="184">
        <v>2800</v>
      </c>
      <c r="AY129" s="146">
        <f t="shared" si="47"/>
        <v>2300</v>
      </c>
      <c r="AZ129" s="146">
        <f t="shared" si="48"/>
        <v>2300</v>
      </c>
      <c r="BA129" s="146">
        <f t="shared" si="48"/>
        <v>2300</v>
      </c>
      <c r="BB129" s="184">
        <v>2430</v>
      </c>
      <c r="BC129" s="184">
        <v>2430</v>
      </c>
      <c r="BD129" s="184">
        <v>2430</v>
      </c>
      <c r="BE129" s="184">
        <v>2430</v>
      </c>
      <c r="BF129" s="184">
        <v>2280</v>
      </c>
      <c r="BG129" s="184">
        <v>2280</v>
      </c>
      <c r="BH129" s="184">
        <v>2280</v>
      </c>
      <c r="BI129" s="184"/>
      <c r="BJ129" s="184"/>
      <c r="BK129" s="184"/>
      <c r="BL129" s="184">
        <v>2250</v>
      </c>
      <c r="BM129" s="184">
        <v>2250</v>
      </c>
      <c r="BN129" s="184">
        <v>2250</v>
      </c>
      <c r="BO129" s="184">
        <v>2330</v>
      </c>
      <c r="BP129" s="184">
        <v>2330</v>
      </c>
      <c r="BQ129" s="184">
        <v>2330</v>
      </c>
      <c r="BR129" s="184"/>
      <c r="BS129" s="184"/>
      <c r="BT129" s="184"/>
      <c r="BU129" s="146" cm="1">
        <f t="array" ref="BU129">LOOKUP(2,1/(Y129:BT129&lt;&gt;""),Y129:BH129)</f>
        <v>2330</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46199</v>
      </c>
      <c r="BW129" s="211" cm="1">
        <f t="array" ref="BW129">(LOOKUP(2,1/(BH129:BT129&lt;&gt;""),BH129:BT129))/(INDEX(BH129:BT129,MATCH(TRUE,INDEX((BH129:BT129&lt;&gt;0),0),0)))-1</f>
        <v>2.1929824561403466E-2</v>
      </c>
      <c r="BX129" s="212">
        <f t="shared" si="38"/>
        <v>2.33</v>
      </c>
      <c r="BY129" s="212">
        <f t="shared" ref="BY129:BY188" si="49">IF(X129="BRL",BX129,IF(X129="EUR",BX129*$CK$2,IF(X129="USD",BX129*$CK$1,IF(X129="CNY",BX129*$CM$1,IF(X129="RUB",BX129*$CM$2,"CRRY#")))))</f>
        <v>13.747000000000002</v>
      </c>
      <c r="BZ129" s="212">
        <f ca="1">IF(L129="BR",'Impostos e Frete'!$F$6,IF(L129="EU",'Impostos e Frete'!$I$3,IF(L129="CN",'Impostos e Frete'!$I$4,IF(L129="JP",'Impostos e Frete'!$I$5,IF(L129="RU",'Impostos e Frete'!$I$7,"ERRO")))))</f>
        <v>0.14176320000000001</v>
      </c>
      <c r="CA129" s="212">
        <f>VLOOKUP(L129,'Impostos e Frete'!$A$3:$B$7,2,0)*'Preços e Condições'!BY129</f>
        <v>1.7871100000000002</v>
      </c>
      <c r="CB129" s="147">
        <f t="shared" si="39"/>
        <v>0</v>
      </c>
      <c r="CC129" s="147">
        <f>IF(X129="BRL",'Impostos e Frete'!$B$11,'Impostos e Frete'!$B$12)</f>
        <v>9.1999999999999998E-2</v>
      </c>
      <c r="CD129" s="213">
        <f t="shared" ca="1" si="40"/>
        <v>15.767873200000002</v>
      </c>
      <c r="CE129" s="214">
        <f t="shared" ca="1" si="41"/>
        <v>1.024911758</v>
      </c>
      <c r="CF129" s="215">
        <f>VLOOKUP(L129,'Impostos e Frete'!$A$3:$C$7,3,0)</f>
        <v>105</v>
      </c>
      <c r="CG129" s="215">
        <f t="shared" si="42"/>
        <v>30</v>
      </c>
      <c r="CH129" s="215">
        <f t="shared" si="43"/>
        <v>-75</v>
      </c>
      <c r="CI129" s="216">
        <f t="shared" ca="1" si="44"/>
        <v>0.59796391564287354</v>
      </c>
      <c r="CJ129" s="217">
        <f t="shared" ca="1" si="45"/>
        <v>16.365837115642876</v>
      </c>
      <c r="CK129" s="218">
        <f t="shared" ca="1" si="46"/>
        <v>1.0637794125167868</v>
      </c>
    </row>
    <row r="130" spans="1:89">
      <c r="A130" s="176">
        <v>19531</v>
      </c>
      <c r="B130" s="177">
        <v>301</v>
      </c>
      <c r="C130" s="178">
        <v>65</v>
      </c>
      <c r="D130" s="178">
        <v>2120</v>
      </c>
      <c r="E130" s="178" t="s">
        <v>50</v>
      </c>
      <c r="F130" s="179" t="s">
        <v>108</v>
      </c>
      <c r="G130" s="189" t="s">
        <v>111</v>
      </c>
      <c r="H130" s="178" t="s">
        <v>347</v>
      </c>
      <c r="I130" s="178" t="s">
        <v>113</v>
      </c>
      <c r="J130" s="178"/>
      <c r="K130" s="178"/>
      <c r="L130" s="178" t="s">
        <v>59</v>
      </c>
      <c r="M130" s="178">
        <v>30</v>
      </c>
      <c r="N130" s="178">
        <v>500</v>
      </c>
      <c r="O130" s="178"/>
      <c r="P130" s="178"/>
      <c r="Q130" s="178"/>
      <c r="R130" s="178" t="s">
        <v>19</v>
      </c>
      <c r="S130" s="181"/>
      <c r="T130" s="181"/>
      <c r="U130" s="182"/>
      <c r="V130" s="182" t="s">
        <v>35</v>
      </c>
      <c r="W130" s="183">
        <v>50</v>
      </c>
      <c r="X130" s="182" t="s">
        <v>51</v>
      </c>
      <c r="Y130" s="184">
        <v>2850</v>
      </c>
      <c r="Z130" s="184">
        <v>2850</v>
      </c>
      <c r="AA130" s="184">
        <v>2850</v>
      </c>
      <c r="AB130" s="184">
        <v>2750</v>
      </c>
      <c r="AC130" s="184">
        <v>2750</v>
      </c>
      <c r="AD130" s="184">
        <v>2750</v>
      </c>
      <c r="AE130" s="184">
        <v>2550</v>
      </c>
      <c r="AF130" s="184">
        <v>2550</v>
      </c>
      <c r="AG130" s="184">
        <v>2550</v>
      </c>
      <c r="AH130" s="184">
        <v>2400</v>
      </c>
      <c r="AI130" s="184">
        <v>2400</v>
      </c>
      <c r="AJ130" s="184">
        <v>2400</v>
      </c>
      <c r="AK130" s="184">
        <v>2400</v>
      </c>
      <c r="AL130" s="184">
        <v>2400</v>
      </c>
      <c r="AM130" s="184">
        <v>2400</v>
      </c>
      <c r="AN130" s="184">
        <v>2400</v>
      </c>
      <c r="AO130" s="184">
        <v>2400</v>
      </c>
      <c r="AP130" s="184">
        <v>2400</v>
      </c>
      <c r="AQ130" s="184">
        <v>2210</v>
      </c>
      <c r="AR130" s="184">
        <v>2600</v>
      </c>
      <c r="AS130" s="184">
        <v>2600</v>
      </c>
      <c r="AT130" s="184">
        <v>2600</v>
      </c>
      <c r="AU130" s="184">
        <v>2600</v>
      </c>
      <c r="AV130" s="184">
        <v>2600</v>
      </c>
      <c r="AW130" s="184">
        <v>2820</v>
      </c>
      <c r="AX130" s="184">
        <v>2820</v>
      </c>
      <c r="AY130" s="146">
        <f t="shared" si="47"/>
        <v>2320</v>
      </c>
      <c r="AZ130" s="146">
        <f t="shared" si="48"/>
        <v>2320</v>
      </c>
      <c r="BA130" s="146">
        <f t="shared" si="48"/>
        <v>2320</v>
      </c>
      <c r="BB130" s="184">
        <v>2450</v>
      </c>
      <c r="BC130" s="184">
        <v>2450</v>
      </c>
      <c r="BD130" s="184">
        <v>2450</v>
      </c>
      <c r="BE130" s="184">
        <v>2450</v>
      </c>
      <c r="BF130" s="184">
        <v>2300</v>
      </c>
      <c r="BG130" s="184">
        <v>2300</v>
      </c>
      <c r="BH130" s="184">
        <v>2300</v>
      </c>
      <c r="BI130" s="184"/>
      <c r="BJ130" s="184"/>
      <c r="BK130" s="184"/>
      <c r="BL130" s="184">
        <v>2270</v>
      </c>
      <c r="BM130" s="184">
        <v>2270</v>
      </c>
      <c r="BN130" s="184">
        <v>2270</v>
      </c>
      <c r="BO130" s="184">
        <v>2530</v>
      </c>
      <c r="BP130" s="184">
        <v>2530</v>
      </c>
      <c r="BQ130" s="184">
        <v>2530</v>
      </c>
      <c r="BR130" s="184"/>
      <c r="BS130" s="184"/>
      <c r="BT130" s="184"/>
      <c r="BU130" s="146" cm="1">
        <f t="array" ref="BU130">LOOKUP(2,1/(Y130:BT130&lt;&gt;""),Y130:BH130)</f>
        <v>2530</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46199</v>
      </c>
      <c r="BW130" s="211" cm="1">
        <f t="array" ref="BW130">(LOOKUP(2,1/(BH130:BT130&lt;&gt;""),BH130:BT130))/(INDEX(BH130:BT130,MATCH(TRUE,INDEX((BH130:BT130&lt;&gt;0),0),0)))-1</f>
        <v>0.10000000000000009</v>
      </c>
      <c r="BX130" s="212">
        <f t="shared" si="38"/>
        <v>2.5299999999999998</v>
      </c>
      <c r="BY130" s="212">
        <f t="shared" si="49"/>
        <v>14.927</v>
      </c>
      <c r="BZ130" s="212">
        <f ca="1">IF(L130="BR",'Impostos e Frete'!$F$6,IF(L130="EU",'Impostos e Frete'!$I$3,IF(L130="CN",'Impostos e Frete'!$I$4,IF(L130="JP",'Impostos e Frete'!$I$5,IF(L130="RU",'Impostos e Frete'!$I$7,"ERRO")))))</f>
        <v>0.14176320000000001</v>
      </c>
      <c r="CA130" s="212">
        <f>VLOOKUP(L130,'Impostos e Frete'!$A$3:$B$7,2,0)*'Preços e Condições'!BY130</f>
        <v>1.94051</v>
      </c>
      <c r="CB130" s="147">
        <f t="shared" si="39"/>
        <v>0</v>
      </c>
      <c r="CC130" s="147">
        <f>IF(X130="BRL",'Impostos e Frete'!$B$11,'Impostos e Frete'!$B$12)</f>
        <v>9.1999999999999998E-2</v>
      </c>
      <c r="CD130" s="213">
        <f t="shared" ca="1" si="40"/>
        <v>17.101273199999998</v>
      </c>
      <c r="CE130" s="214">
        <f t="shared" ca="1" si="41"/>
        <v>1.1115827579999999</v>
      </c>
      <c r="CF130" s="215">
        <f>VLOOKUP(L130,'Impostos e Frete'!$A$3:$C$7,3,0)</f>
        <v>105</v>
      </c>
      <c r="CG130" s="215">
        <f t="shared" si="42"/>
        <v>30</v>
      </c>
      <c r="CH130" s="215">
        <f t="shared" si="43"/>
        <v>-75</v>
      </c>
      <c r="CI130" s="216">
        <f t="shared" ca="1" si="44"/>
        <v>0.64853034746312943</v>
      </c>
      <c r="CJ130" s="217">
        <f t="shared" ca="1" si="45"/>
        <v>17.749803547463127</v>
      </c>
      <c r="CK130" s="218">
        <f t="shared" ca="1" si="46"/>
        <v>1.1537372305851032</v>
      </c>
    </row>
    <row r="131" spans="1:89">
      <c r="A131" s="176">
        <v>19531</v>
      </c>
      <c r="B131" s="177">
        <v>301</v>
      </c>
      <c r="C131" s="178">
        <v>65</v>
      </c>
      <c r="D131" s="178">
        <v>2120</v>
      </c>
      <c r="E131" s="178" t="s">
        <v>50</v>
      </c>
      <c r="F131" s="179" t="s">
        <v>108</v>
      </c>
      <c r="G131" s="189" t="s">
        <v>111</v>
      </c>
      <c r="H131" s="178" t="s">
        <v>347</v>
      </c>
      <c r="I131" s="178" t="s">
        <v>113</v>
      </c>
      <c r="J131" s="178"/>
      <c r="K131" s="178"/>
      <c r="L131" s="178" t="s">
        <v>59</v>
      </c>
      <c r="M131" s="178">
        <v>30</v>
      </c>
      <c r="N131" s="178">
        <v>500</v>
      </c>
      <c r="O131" s="178"/>
      <c r="P131" s="178"/>
      <c r="Q131" s="178"/>
      <c r="R131" s="178" t="s">
        <v>19</v>
      </c>
      <c r="S131" s="181"/>
      <c r="T131" s="181"/>
      <c r="U131" s="182"/>
      <c r="V131" s="182" t="s">
        <v>35</v>
      </c>
      <c r="W131" s="183">
        <v>20</v>
      </c>
      <c r="X131" s="182" t="s">
        <v>51</v>
      </c>
      <c r="Y131" s="184">
        <v>3350</v>
      </c>
      <c r="Z131" s="184">
        <v>3350</v>
      </c>
      <c r="AA131" s="184">
        <v>3350</v>
      </c>
      <c r="AB131" s="184">
        <v>3250</v>
      </c>
      <c r="AC131" s="184">
        <v>3250</v>
      </c>
      <c r="AD131" s="184">
        <v>3250</v>
      </c>
      <c r="AE131" s="184">
        <v>3050</v>
      </c>
      <c r="AF131" s="184">
        <v>3050</v>
      </c>
      <c r="AG131" s="184">
        <v>3050</v>
      </c>
      <c r="AH131" s="184">
        <v>2900</v>
      </c>
      <c r="AI131" s="184">
        <v>2900</v>
      </c>
      <c r="AJ131" s="184">
        <v>2900</v>
      </c>
      <c r="AK131" s="184">
        <v>2900</v>
      </c>
      <c r="AL131" s="184">
        <v>2900</v>
      </c>
      <c r="AM131" s="184">
        <v>2900</v>
      </c>
      <c r="AN131" s="184">
        <v>2900</v>
      </c>
      <c r="AO131" s="184">
        <v>2900</v>
      </c>
      <c r="AP131" s="184">
        <v>2900</v>
      </c>
      <c r="AQ131" s="184">
        <v>2710</v>
      </c>
      <c r="AR131" s="184">
        <v>3100</v>
      </c>
      <c r="AS131" s="184">
        <v>3100</v>
      </c>
      <c r="AT131" s="184">
        <v>3100</v>
      </c>
      <c r="AU131" s="184">
        <v>3100</v>
      </c>
      <c r="AV131" s="184">
        <v>3100</v>
      </c>
      <c r="AW131" s="184">
        <v>2870</v>
      </c>
      <c r="AX131" s="184">
        <v>2870</v>
      </c>
      <c r="AY131" s="146">
        <f t="shared" si="47"/>
        <v>2370</v>
      </c>
      <c r="AZ131" s="146">
        <f t="shared" si="48"/>
        <v>2370</v>
      </c>
      <c r="BA131" s="146">
        <f t="shared" si="48"/>
        <v>2370</v>
      </c>
      <c r="BB131" s="184">
        <v>2500</v>
      </c>
      <c r="BC131" s="184">
        <v>2500</v>
      </c>
      <c r="BD131" s="184">
        <v>2500</v>
      </c>
      <c r="BE131" s="184">
        <v>2500</v>
      </c>
      <c r="BF131" s="184">
        <v>2350</v>
      </c>
      <c r="BG131" s="184">
        <v>2350</v>
      </c>
      <c r="BH131" s="184">
        <v>2350</v>
      </c>
      <c r="BI131" s="184"/>
      <c r="BJ131" s="184"/>
      <c r="BK131" s="184"/>
      <c r="BL131" s="184">
        <v>2300</v>
      </c>
      <c r="BM131" s="184">
        <v>2300</v>
      </c>
      <c r="BN131" s="184">
        <v>2300</v>
      </c>
      <c r="BO131" s="184">
        <v>3030</v>
      </c>
      <c r="BP131" s="184">
        <v>3030</v>
      </c>
      <c r="BQ131" s="184">
        <v>3030</v>
      </c>
      <c r="BR131" s="184"/>
      <c r="BS131" s="184"/>
      <c r="BT131" s="184"/>
      <c r="BU131" s="146" cm="1">
        <f t="array" ref="BU131">LOOKUP(2,1/(Y131:BT131&lt;&gt;""),Y131:BH131)</f>
        <v>3030</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46199</v>
      </c>
      <c r="BW131" s="211" cm="1">
        <f t="array" ref="BW131">(LOOKUP(2,1/(BH131:BT131&lt;&gt;""),BH131:BT131))/(INDEX(BH131:BT131,MATCH(TRUE,INDEX((BH131:BT131&lt;&gt;0),0),0)))-1</f>
        <v>0.28936170212765955</v>
      </c>
      <c r="BX131" s="212">
        <f t="shared" si="38"/>
        <v>3.03</v>
      </c>
      <c r="BY131" s="212">
        <f t="shared" si="49"/>
        <v>17.876999999999999</v>
      </c>
      <c r="BZ131" s="212">
        <f ca="1">IF(L131="BR",'Impostos e Frete'!$F$6,IF(L131="EU",'Impostos e Frete'!$I$3,IF(L131="CN",'Impostos e Frete'!$I$4,IF(L131="JP",'Impostos e Frete'!$I$5,IF(L131="RU",'Impostos e Frete'!$I$7,"ERRO")))))</f>
        <v>0.14176320000000001</v>
      </c>
      <c r="CA131" s="212">
        <f>VLOOKUP(L131,'Impostos e Frete'!$A$3:$B$7,2,0)*'Preços e Condições'!BY131</f>
        <v>2.3240099999999999</v>
      </c>
      <c r="CB131" s="147">
        <f t="shared" si="39"/>
        <v>0</v>
      </c>
      <c r="CC131" s="147">
        <f>IF(X131="BRL",'Impostos e Frete'!$B$11,'Impostos e Frete'!$B$12)</f>
        <v>9.1999999999999998E-2</v>
      </c>
      <c r="CD131" s="213">
        <f t="shared" ca="1" si="40"/>
        <v>20.434773199999999</v>
      </c>
      <c r="CE131" s="214">
        <f t="shared" ca="1" si="41"/>
        <v>1.328260258</v>
      </c>
      <c r="CF131" s="215">
        <f>VLOOKUP(L131,'Impostos e Frete'!$A$3:$C$7,3,0)</f>
        <v>105</v>
      </c>
      <c r="CG131" s="215">
        <f t="shared" si="42"/>
        <v>30</v>
      </c>
      <c r="CH131" s="215">
        <f t="shared" si="43"/>
        <v>-75</v>
      </c>
      <c r="CI131" s="216">
        <f t="shared" ca="1" si="44"/>
        <v>0.77494642701376293</v>
      </c>
      <c r="CJ131" s="217">
        <f t="shared" ca="1" si="45"/>
        <v>21.209719627013762</v>
      </c>
      <c r="CK131" s="218">
        <f t="shared" ca="1" si="46"/>
        <v>1.3786317757558946</v>
      </c>
    </row>
    <row r="132" spans="1:89">
      <c r="A132" s="176">
        <v>19517</v>
      </c>
      <c r="B132" s="177">
        <v>104</v>
      </c>
      <c r="C132" s="178">
        <v>70</v>
      </c>
      <c r="D132" s="178">
        <v>1870</v>
      </c>
      <c r="E132" s="178" t="s">
        <v>50</v>
      </c>
      <c r="F132" s="179" t="s">
        <v>108</v>
      </c>
      <c r="G132" s="189" t="s">
        <v>441</v>
      </c>
      <c r="H132" s="178" t="s">
        <v>43</v>
      </c>
      <c r="I132" s="178" t="s">
        <v>118</v>
      </c>
      <c r="J132" s="178"/>
      <c r="K132" s="178"/>
      <c r="L132" s="178" t="s">
        <v>59</v>
      </c>
      <c r="M132" s="178">
        <v>30</v>
      </c>
      <c r="N132" s="178">
        <v>500</v>
      </c>
      <c r="O132" s="178"/>
      <c r="P132" s="178"/>
      <c r="Q132" s="178"/>
      <c r="R132" s="178" t="s">
        <v>19</v>
      </c>
      <c r="S132" s="181"/>
      <c r="T132" s="181"/>
      <c r="U132" s="182"/>
      <c r="V132" s="182" t="s">
        <v>35</v>
      </c>
      <c r="W132" s="183">
        <v>200</v>
      </c>
      <c r="X132" s="182" t="s">
        <v>51</v>
      </c>
      <c r="Y132" s="184">
        <v>2530</v>
      </c>
      <c r="Z132" s="184">
        <v>2530</v>
      </c>
      <c r="AA132" s="184">
        <v>2530</v>
      </c>
      <c r="AB132" s="184">
        <v>2530</v>
      </c>
      <c r="AC132" s="184">
        <v>2530</v>
      </c>
      <c r="AD132" s="184">
        <v>2530</v>
      </c>
      <c r="AE132" s="184">
        <v>2430</v>
      </c>
      <c r="AF132" s="184">
        <v>2430</v>
      </c>
      <c r="AG132" s="184">
        <v>2430</v>
      </c>
      <c r="AH132" s="184">
        <v>2050</v>
      </c>
      <c r="AI132" s="184">
        <v>2050</v>
      </c>
      <c r="AJ132" s="184">
        <v>2050</v>
      </c>
      <c r="AK132" s="184">
        <v>2050</v>
      </c>
      <c r="AL132" s="184">
        <v>2050</v>
      </c>
      <c r="AM132" s="184">
        <v>2050</v>
      </c>
      <c r="AN132" s="184">
        <v>2050</v>
      </c>
      <c r="AO132" s="184">
        <v>2050</v>
      </c>
      <c r="AP132" s="184">
        <v>2050</v>
      </c>
      <c r="AQ132" s="184">
        <v>2000</v>
      </c>
      <c r="AR132" s="184"/>
      <c r="AS132" s="184"/>
      <c r="AT132" s="184"/>
      <c r="AU132" s="184"/>
      <c r="AV132" s="184"/>
      <c r="AW132" s="184">
        <v>2660</v>
      </c>
      <c r="AX132" s="184">
        <v>2660</v>
      </c>
      <c r="AY132" s="146">
        <f t="shared" si="47"/>
        <v>2160</v>
      </c>
      <c r="AZ132" s="146">
        <f t="shared" si="48"/>
        <v>2160</v>
      </c>
      <c r="BA132" s="146">
        <f t="shared" si="48"/>
        <v>2160</v>
      </c>
      <c r="BB132" s="184"/>
      <c r="BC132" s="184"/>
      <c r="BD132" s="184"/>
      <c r="BE132" s="184"/>
      <c r="BF132" s="184"/>
      <c r="BG132" s="184"/>
      <c r="BH132" s="184"/>
      <c r="BI132" s="184"/>
      <c r="BJ132" s="184"/>
      <c r="BK132" s="184"/>
      <c r="BL132" s="184"/>
      <c r="BM132" s="184"/>
      <c r="BN132" s="184"/>
      <c r="BO132" s="184"/>
      <c r="BP132" s="184"/>
      <c r="BQ132" s="184"/>
      <c r="BR132" s="184"/>
      <c r="BS132" s="184"/>
      <c r="BT132" s="184"/>
      <c r="BU132" s="146" cm="1">
        <f t="array" ref="BU132">LOOKUP(2,1/(Y132:BT132&lt;&gt;""),Y132:BH132)</f>
        <v>2160</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45778</v>
      </c>
      <c r="BW132" s="211" t="e" cm="1">
        <f t="array" ref="BW132">(LOOKUP(2,1/(BH132:BT132&lt;&gt;""),BH132:BT132))/(INDEX(BH132:BT132,MATCH(TRUE,INDEX((BH132:BT132&lt;&gt;0),0),0)))-1</f>
        <v>#N/A</v>
      </c>
      <c r="BX132" s="212">
        <f t="shared" ref="BX132:BX191" si="50">BU132/1000</f>
        <v>2.16</v>
      </c>
      <c r="BY132" s="212">
        <f t="shared" si="49"/>
        <v>12.744000000000002</v>
      </c>
      <c r="BZ132" s="212">
        <f ca="1">IF(L132="BR",'Impostos e Frete'!$F$6,IF(L132="EU",'Impostos e Frete'!$I$3,IF(L132="CN",'Impostos e Frete'!$I$4,IF(L132="JP",'Impostos e Frete'!$I$5,IF(L132="RU",'Impostos e Frete'!$I$7,"ERRO")))))</f>
        <v>0.14176320000000001</v>
      </c>
      <c r="CA132" s="212">
        <f>VLOOKUP(L132,'Impostos e Frete'!$A$3:$B$7,2,0)*'Preços e Condições'!BY132</f>
        <v>1.6567200000000002</v>
      </c>
      <c r="CB132" s="147">
        <f t="shared" ref="CB132:CB191" si="51">IF(R132="CFR",$CB$2,IF(R132="FOB",0,IF(R132="EXW",$CB$1,"ERRO")))</f>
        <v>0</v>
      </c>
      <c r="CC132" s="147">
        <f>IF(X132="BRL",'Impostos e Frete'!$B$11,'Impostos e Frete'!$B$12)</f>
        <v>9.1999999999999998E-2</v>
      </c>
      <c r="CD132" s="213">
        <f t="shared" ref="CD132:CD191" ca="1" si="52">SUM(BY132:CC132)</f>
        <v>14.634483200000002</v>
      </c>
      <c r="CE132" s="214">
        <f t="shared" ref="CE132:CE191" ca="1" si="53">IF(C132="","erro",(CD132/1000)*C132)</f>
        <v>1.024413824</v>
      </c>
      <c r="CF132" s="215">
        <f>VLOOKUP(L132,'Impostos e Frete'!$A$3:$C$7,3,0)</f>
        <v>105</v>
      </c>
      <c r="CG132" s="215">
        <f t="shared" ref="CG132:CG191" si="54">M132</f>
        <v>30</v>
      </c>
      <c r="CH132" s="215">
        <f t="shared" ref="CH132:CH191" si="55">CG132-CF132</f>
        <v>-75</v>
      </c>
      <c r="CI132" s="216">
        <f t="shared" ref="CI132:CI191" ca="1" si="56">CD132*(1+VALUE($CI$2))^((CH132*-1)/30)-CD132</f>
        <v>0.55498244859565737</v>
      </c>
      <c r="CJ132" s="217">
        <f t="shared" ref="CJ132:CJ191" ca="1" si="57">CD132+CI132</f>
        <v>15.189465648595659</v>
      </c>
      <c r="CK132" s="218">
        <f t="shared" ref="CK132:CK191" ca="1" si="58">IF(C132="","erro",(CJ132/1000)*C132)</f>
        <v>1.0632625954016961</v>
      </c>
    </row>
    <row r="133" spans="1:89">
      <c r="A133" s="176">
        <v>19517</v>
      </c>
      <c r="B133" s="177">
        <v>104</v>
      </c>
      <c r="C133" s="178">
        <v>70</v>
      </c>
      <c r="D133" s="178">
        <v>1870</v>
      </c>
      <c r="E133" s="178" t="s">
        <v>50</v>
      </c>
      <c r="F133" s="179" t="s">
        <v>108</v>
      </c>
      <c r="G133" s="189" t="s">
        <v>441</v>
      </c>
      <c r="H133" s="178" t="s">
        <v>43</v>
      </c>
      <c r="I133" s="178" t="s">
        <v>118</v>
      </c>
      <c r="J133" s="178"/>
      <c r="K133" s="178"/>
      <c r="L133" s="178" t="s">
        <v>59</v>
      </c>
      <c r="M133" s="178">
        <v>30</v>
      </c>
      <c r="N133" s="178">
        <v>500</v>
      </c>
      <c r="O133" s="178"/>
      <c r="P133" s="178"/>
      <c r="Q133" s="178"/>
      <c r="R133" s="178" t="s">
        <v>19</v>
      </c>
      <c r="S133" s="181"/>
      <c r="T133" s="181"/>
      <c r="U133" s="182"/>
      <c r="V133" s="182" t="s">
        <v>35</v>
      </c>
      <c r="W133" s="183">
        <v>80</v>
      </c>
      <c r="X133" s="182" t="s">
        <v>51</v>
      </c>
      <c r="Y133" s="184">
        <v>2530</v>
      </c>
      <c r="Z133" s="184">
        <v>2530</v>
      </c>
      <c r="AA133" s="184">
        <v>2530</v>
      </c>
      <c r="AB133" s="184">
        <v>2530</v>
      </c>
      <c r="AC133" s="184">
        <v>2530</v>
      </c>
      <c r="AD133" s="184">
        <v>2530</v>
      </c>
      <c r="AE133" s="184">
        <v>2430</v>
      </c>
      <c r="AF133" s="184">
        <v>2430</v>
      </c>
      <c r="AG133" s="184">
        <v>2430</v>
      </c>
      <c r="AH133" s="184">
        <v>2050</v>
      </c>
      <c r="AI133" s="184">
        <v>2050</v>
      </c>
      <c r="AJ133" s="184">
        <v>2050</v>
      </c>
      <c r="AK133" s="184">
        <v>2050</v>
      </c>
      <c r="AL133" s="184">
        <v>2050</v>
      </c>
      <c r="AM133" s="184">
        <v>2050</v>
      </c>
      <c r="AN133" s="184">
        <v>2050</v>
      </c>
      <c r="AO133" s="184">
        <v>2050</v>
      </c>
      <c r="AP133" s="184">
        <v>2050</v>
      </c>
      <c r="AQ133" s="184">
        <v>2030</v>
      </c>
      <c r="AR133" s="184">
        <v>2160</v>
      </c>
      <c r="AS133" s="184">
        <v>2160</v>
      </c>
      <c r="AT133" s="184">
        <v>2160</v>
      </c>
      <c r="AU133" s="184">
        <v>2160</v>
      </c>
      <c r="AV133" s="184">
        <v>2160</v>
      </c>
      <c r="AW133" s="184">
        <v>2660</v>
      </c>
      <c r="AX133" s="184">
        <v>2660</v>
      </c>
      <c r="AY133" s="146">
        <f t="shared" si="47"/>
        <v>2160</v>
      </c>
      <c r="AZ133" s="146">
        <f t="shared" si="48"/>
        <v>2160</v>
      </c>
      <c r="BA133" s="146">
        <f t="shared" si="48"/>
        <v>2160</v>
      </c>
      <c r="BB133" s="184"/>
      <c r="BC133" s="184"/>
      <c r="BD133" s="184"/>
      <c r="BE133" s="184"/>
      <c r="BF133" s="184">
        <v>2130</v>
      </c>
      <c r="BG133" s="184">
        <v>2130</v>
      </c>
      <c r="BH133" s="184">
        <v>2130</v>
      </c>
      <c r="BI133" s="184"/>
      <c r="BJ133" s="184"/>
      <c r="BK133" s="184"/>
      <c r="BL133" s="184">
        <v>2690</v>
      </c>
      <c r="BM133" s="184">
        <v>2690</v>
      </c>
      <c r="BN133" s="184">
        <v>2690</v>
      </c>
      <c r="BO133" s="184">
        <v>2250</v>
      </c>
      <c r="BP133" s="184">
        <v>2250</v>
      </c>
      <c r="BQ133" s="184">
        <v>2250</v>
      </c>
      <c r="BR133" s="184"/>
      <c r="BS133" s="184"/>
      <c r="BT133" s="184"/>
      <c r="BU133" s="146" cm="1">
        <f t="array" ref="BU133">LOOKUP(2,1/(Y133:BT133&lt;&gt;""),Y133:BH133)</f>
        <v>2250</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46199</v>
      </c>
      <c r="BW133" s="211" cm="1">
        <f t="array" ref="BW133">(LOOKUP(2,1/(BH133:BT133&lt;&gt;""),BH133:BT133))/(INDEX(BH133:BT133,MATCH(TRUE,INDEX((BH133:BT133&lt;&gt;0),0),0)))-1</f>
        <v>5.6338028169014009E-2</v>
      </c>
      <c r="BX133" s="212">
        <f t="shared" si="50"/>
        <v>2.25</v>
      </c>
      <c r="BY133" s="212">
        <f t="shared" si="49"/>
        <v>13.275</v>
      </c>
      <c r="BZ133" s="212">
        <f ca="1">IF(L133="BR",'Impostos e Frete'!$F$6,IF(L133="EU",'Impostos e Frete'!$I$3,IF(L133="CN",'Impostos e Frete'!$I$4,IF(L133="JP",'Impostos e Frete'!$I$5,IF(L133="RU",'Impostos e Frete'!$I$7,"ERRO")))))</f>
        <v>0.14176320000000001</v>
      </c>
      <c r="CA133" s="212">
        <f>VLOOKUP(L133,'Impostos e Frete'!$A$3:$B$7,2,0)*'Preços e Condições'!BY133</f>
        <v>1.7257500000000001</v>
      </c>
      <c r="CB133" s="147">
        <f t="shared" si="51"/>
        <v>0</v>
      </c>
      <c r="CC133" s="147">
        <f>IF(X133="BRL",'Impostos e Frete'!$B$11,'Impostos e Frete'!$B$12)</f>
        <v>9.1999999999999998E-2</v>
      </c>
      <c r="CD133" s="213">
        <f t="shared" ca="1" si="52"/>
        <v>15.2345132</v>
      </c>
      <c r="CE133" s="214">
        <f t="shared" ca="1" si="53"/>
        <v>1.066415924</v>
      </c>
      <c r="CF133" s="215">
        <f>VLOOKUP(L133,'Impostos e Frete'!$A$3:$C$7,3,0)</f>
        <v>105</v>
      </c>
      <c r="CG133" s="215">
        <f t="shared" si="54"/>
        <v>30</v>
      </c>
      <c r="CH133" s="215">
        <f t="shared" si="55"/>
        <v>-75</v>
      </c>
      <c r="CI133" s="216">
        <f t="shared" ca="1" si="56"/>
        <v>0.57773734291477297</v>
      </c>
      <c r="CJ133" s="217">
        <f t="shared" ca="1" si="57"/>
        <v>15.812250542914773</v>
      </c>
      <c r="CK133" s="218">
        <f t="shared" ca="1" si="58"/>
        <v>1.106857538004034</v>
      </c>
    </row>
    <row r="134" spans="1:89">
      <c r="A134" s="176">
        <v>19517</v>
      </c>
      <c r="B134" s="177">
        <v>104</v>
      </c>
      <c r="C134" s="178">
        <v>70</v>
      </c>
      <c r="D134" s="178">
        <v>1870</v>
      </c>
      <c r="E134" s="178" t="s">
        <v>50</v>
      </c>
      <c r="F134" s="179" t="s">
        <v>108</v>
      </c>
      <c r="G134" s="189" t="s">
        <v>441</v>
      </c>
      <c r="H134" s="178" t="s">
        <v>43</v>
      </c>
      <c r="I134" s="178" t="s">
        <v>118</v>
      </c>
      <c r="J134" s="178"/>
      <c r="K134" s="178"/>
      <c r="L134" s="178" t="s">
        <v>59</v>
      </c>
      <c r="M134" s="178">
        <v>30</v>
      </c>
      <c r="N134" s="178">
        <v>500</v>
      </c>
      <c r="O134" s="178"/>
      <c r="P134" s="178"/>
      <c r="Q134" s="178"/>
      <c r="R134" s="178" t="s">
        <v>19</v>
      </c>
      <c r="S134" s="181"/>
      <c r="T134" s="181"/>
      <c r="U134" s="182"/>
      <c r="V134" s="182" t="s">
        <v>35</v>
      </c>
      <c r="W134" s="183">
        <v>50</v>
      </c>
      <c r="X134" s="182" t="s">
        <v>51</v>
      </c>
      <c r="Y134" s="184">
        <v>2730</v>
      </c>
      <c r="Z134" s="184">
        <v>2730</v>
      </c>
      <c r="AA134" s="184">
        <v>2730</v>
      </c>
      <c r="AB134" s="184">
        <v>2730</v>
      </c>
      <c r="AC134" s="184">
        <v>2730</v>
      </c>
      <c r="AD134" s="184">
        <v>2730</v>
      </c>
      <c r="AE134" s="184">
        <v>2630</v>
      </c>
      <c r="AF134" s="184">
        <v>2630</v>
      </c>
      <c r="AG134" s="184">
        <v>2630</v>
      </c>
      <c r="AH134" s="184">
        <v>2250</v>
      </c>
      <c r="AI134" s="184">
        <v>2250</v>
      </c>
      <c r="AJ134" s="184">
        <v>2250</v>
      </c>
      <c r="AK134" s="184">
        <v>2250</v>
      </c>
      <c r="AL134" s="184">
        <v>2250</v>
      </c>
      <c r="AM134" s="184">
        <v>2250</v>
      </c>
      <c r="AN134" s="184">
        <v>2250</v>
      </c>
      <c r="AO134" s="184">
        <v>2250</v>
      </c>
      <c r="AP134" s="184">
        <v>2250</v>
      </c>
      <c r="AQ134" s="184">
        <v>2200</v>
      </c>
      <c r="AR134" s="184">
        <v>2360</v>
      </c>
      <c r="AS134" s="184">
        <v>2360</v>
      </c>
      <c r="AT134" s="184">
        <v>2360</v>
      </c>
      <c r="AU134" s="184">
        <v>2360</v>
      </c>
      <c r="AV134" s="184">
        <v>2360</v>
      </c>
      <c r="AW134" s="184">
        <v>2680</v>
      </c>
      <c r="AX134" s="184">
        <v>2680</v>
      </c>
      <c r="AY134" s="146">
        <f t="shared" si="47"/>
        <v>2180</v>
      </c>
      <c r="AZ134" s="146">
        <f t="shared" si="48"/>
        <v>2180</v>
      </c>
      <c r="BA134" s="146">
        <f t="shared" si="48"/>
        <v>2180</v>
      </c>
      <c r="BB134" s="184"/>
      <c r="BC134" s="184"/>
      <c r="BD134" s="184"/>
      <c r="BE134" s="184"/>
      <c r="BF134" s="184">
        <v>2150</v>
      </c>
      <c r="BG134" s="184">
        <v>2150</v>
      </c>
      <c r="BH134" s="184">
        <v>2150</v>
      </c>
      <c r="BI134" s="184"/>
      <c r="BJ134" s="184"/>
      <c r="BK134" s="184"/>
      <c r="BL134" s="184">
        <v>2710</v>
      </c>
      <c r="BM134" s="184">
        <v>2710</v>
      </c>
      <c r="BN134" s="184">
        <v>2710</v>
      </c>
      <c r="BO134" s="184">
        <v>2450</v>
      </c>
      <c r="BP134" s="184">
        <v>2450</v>
      </c>
      <c r="BQ134" s="184">
        <v>2450</v>
      </c>
      <c r="BR134" s="184"/>
      <c r="BS134" s="184"/>
      <c r="BT134" s="184"/>
      <c r="BU134" s="146" cm="1">
        <f t="array" ref="BU134">LOOKUP(2,1/(Y134:BT134&lt;&gt;""),Y134:BH134)</f>
        <v>2450</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46199</v>
      </c>
      <c r="BW134" s="211" cm="1">
        <f t="array" ref="BW134">(LOOKUP(2,1/(BH134:BT134&lt;&gt;""),BH134:BT134))/(INDEX(BH134:BT134,MATCH(TRUE,INDEX((BH134:BT134&lt;&gt;0),0),0)))-1</f>
        <v>0.13953488372093026</v>
      </c>
      <c r="BX134" s="212">
        <f t="shared" si="50"/>
        <v>2.4500000000000002</v>
      </c>
      <c r="BY134" s="212">
        <f t="shared" si="49"/>
        <v>14.455000000000002</v>
      </c>
      <c r="BZ134" s="212">
        <f ca="1">IF(L134="BR",'Impostos e Frete'!$F$6,IF(L134="EU",'Impostos e Frete'!$I$3,IF(L134="CN",'Impostos e Frete'!$I$4,IF(L134="JP",'Impostos e Frete'!$I$5,IF(L134="RU",'Impostos e Frete'!$I$7,"ERRO")))))</f>
        <v>0.14176320000000001</v>
      </c>
      <c r="CA134" s="212">
        <f>VLOOKUP(L134,'Impostos e Frete'!$A$3:$B$7,2,0)*'Preços e Condições'!BY134</f>
        <v>1.8791500000000003</v>
      </c>
      <c r="CB134" s="147">
        <f t="shared" si="51"/>
        <v>0</v>
      </c>
      <c r="CC134" s="147">
        <f>IF(X134="BRL",'Impostos e Frete'!$B$11,'Impostos e Frete'!$B$12)</f>
        <v>9.1999999999999998E-2</v>
      </c>
      <c r="CD134" s="213">
        <f t="shared" ca="1" si="52"/>
        <v>16.5679132</v>
      </c>
      <c r="CE134" s="214">
        <f t="shared" ca="1" si="53"/>
        <v>1.1597539239999999</v>
      </c>
      <c r="CF134" s="215">
        <f>VLOOKUP(L134,'Impostos e Frete'!$A$3:$C$7,3,0)</f>
        <v>105</v>
      </c>
      <c r="CG134" s="215">
        <f t="shared" si="54"/>
        <v>30</v>
      </c>
      <c r="CH134" s="215">
        <f t="shared" si="55"/>
        <v>-75</v>
      </c>
      <c r="CI134" s="216">
        <f t="shared" ca="1" si="56"/>
        <v>0.62830377473502708</v>
      </c>
      <c r="CJ134" s="217">
        <f t="shared" ca="1" si="57"/>
        <v>17.196216974735027</v>
      </c>
      <c r="CK134" s="218">
        <f t="shared" ca="1" si="58"/>
        <v>1.2037351882314518</v>
      </c>
    </row>
    <row r="135" spans="1:89">
      <c r="A135" s="176">
        <v>19517</v>
      </c>
      <c r="B135" s="177">
        <v>104</v>
      </c>
      <c r="C135" s="178">
        <v>70</v>
      </c>
      <c r="D135" s="178">
        <v>1870</v>
      </c>
      <c r="E135" s="178" t="s">
        <v>50</v>
      </c>
      <c r="F135" s="179" t="s">
        <v>108</v>
      </c>
      <c r="G135" s="189" t="s">
        <v>441</v>
      </c>
      <c r="H135" s="178" t="s">
        <v>43</v>
      </c>
      <c r="I135" s="178" t="s">
        <v>118</v>
      </c>
      <c r="J135" s="178"/>
      <c r="K135" s="178"/>
      <c r="L135" s="178" t="s">
        <v>59</v>
      </c>
      <c r="M135" s="178">
        <v>30</v>
      </c>
      <c r="N135" s="178">
        <v>500</v>
      </c>
      <c r="O135" s="178"/>
      <c r="P135" s="178"/>
      <c r="Q135" s="178"/>
      <c r="R135" s="178" t="s">
        <v>19</v>
      </c>
      <c r="S135" s="181"/>
      <c r="T135" s="181"/>
      <c r="U135" s="182"/>
      <c r="V135" s="182" t="s">
        <v>35</v>
      </c>
      <c r="W135" s="183">
        <v>20</v>
      </c>
      <c r="X135" s="182" t="s">
        <v>51</v>
      </c>
      <c r="Y135" s="184">
        <v>3230</v>
      </c>
      <c r="Z135" s="184">
        <v>3230</v>
      </c>
      <c r="AA135" s="184">
        <v>3230</v>
      </c>
      <c r="AB135" s="184">
        <v>3230</v>
      </c>
      <c r="AC135" s="184">
        <v>3230</v>
      </c>
      <c r="AD135" s="184">
        <v>3230</v>
      </c>
      <c r="AE135" s="184">
        <v>3130</v>
      </c>
      <c r="AF135" s="184">
        <v>3130</v>
      </c>
      <c r="AG135" s="184">
        <v>3130</v>
      </c>
      <c r="AH135" s="184">
        <v>2750</v>
      </c>
      <c r="AI135" s="184">
        <v>2750</v>
      </c>
      <c r="AJ135" s="184">
        <v>2750</v>
      </c>
      <c r="AK135" s="184">
        <v>2750</v>
      </c>
      <c r="AL135" s="184">
        <v>2750</v>
      </c>
      <c r="AM135" s="184">
        <v>2750</v>
      </c>
      <c r="AN135" s="184">
        <v>2750</v>
      </c>
      <c r="AO135" s="184">
        <v>2750</v>
      </c>
      <c r="AP135" s="184">
        <v>2750</v>
      </c>
      <c r="AQ135" s="184">
        <v>2700</v>
      </c>
      <c r="AR135" s="184">
        <v>2860</v>
      </c>
      <c r="AS135" s="184">
        <v>2860</v>
      </c>
      <c r="AT135" s="184">
        <v>2860</v>
      </c>
      <c r="AU135" s="184">
        <v>2860</v>
      </c>
      <c r="AV135" s="184">
        <v>2860</v>
      </c>
      <c r="AW135" s="184">
        <v>2730</v>
      </c>
      <c r="AX135" s="184">
        <v>2730</v>
      </c>
      <c r="AY135" s="146">
        <f t="shared" si="47"/>
        <v>2230</v>
      </c>
      <c r="AZ135" s="146">
        <f t="shared" si="48"/>
        <v>2230</v>
      </c>
      <c r="BA135" s="146">
        <f t="shared" si="48"/>
        <v>2230</v>
      </c>
      <c r="BB135" s="184"/>
      <c r="BC135" s="184"/>
      <c r="BD135" s="184"/>
      <c r="BE135" s="184"/>
      <c r="BF135" s="184">
        <v>2200</v>
      </c>
      <c r="BG135" s="184">
        <v>2200</v>
      </c>
      <c r="BH135" s="184">
        <v>2200</v>
      </c>
      <c r="BI135" s="184"/>
      <c r="BJ135" s="184"/>
      <c r="BK135" s="184"/>
      <c r="BL135" s="184">
        <v>2760</v>
      </c>
      <c r="BM135" s="184">
        <v>2760</v>
      </c>
      <c r="BN135" s="184">
        <v>2760</v>
      </c>
      <c r="BO135" s="184">
        <v>2950</v>
      </c>
      <c r="BP135" s="184">
        <v>2950</v>
      </c>
      <c r="BQ135" s="184">
        <v>2950</v>
      </c>
      <c r="BR135" s="184"/>
      <c r="BS135" s="184"/>
      <c r="BT135" s="184"/>
      <c r="BU135" s="146" cm="1">
        <f t="array" ref="BU135">LOOKUP(2,1/(Y135:BT135&lt;&gt;""),Y135:BH135)</f>
        <v>2950</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46199</v>
      </c>
      <c r="BW135" s="211" cm="1">
        <f t="array" ref="BW135">(LOOKUP(2,1/(BH135:BT135&lt;&gt;""),BH135:BT135))/(INDEX(BH135:BT135,MATCH(TRUE,INDEX((BH135:BT135&lt;&gt;0),0),0)))-1</f>
        <v>0.34090909090909083</v>
      </c>
      <c r="BX135" s="212">
        <f t="shared" si="50"/>
        <v>2.95</v>
      </c>
      <c r="BY135" s="212">
        <f t="shared" si="49"/>
        <v>17.405000000000001</v>
      </c>
      <c r="BZ135" s="212">
        <f ca="1">IF(L135="BR",'Impostos e Frete'!$F$6,IF(L135="EU",'Impostos e Frete'!$I$3,IF(L135="CN",'Impostos e Frete'!$I$4,IF(L135="JP",'Impostos e Frete'!$I$5,IF(L135="RU",'Impostos e Frete'!$I$7,"ERRO")))))</f>
        <v>0.14176320000000001</v>
      </c>
      <c r="CA135" s="212">
        <f>VLOOKUP(L135,'Impostos e Frete'!$A$3:$B$7,2,0)*'Preços e Condições'!BY135</f>
        <v>2.2626500000000003</v>
      </c>
      <c r="CB135" s="147">
        <f t="shared" si="51"/>
        <v>0</v>
      </c>
      <c r="CC135" s="147">
        <f>IF(X135="BRL",'Impostos e Frete'!$B$11,'Impostos e Frete'!$B$12)</f>
        <v>9.1999999999999998E-2</v>
      </c>
      <c r="CD135" s="213">
        <f t="shared" ca="1" si="52"/>
        <v>19.9014132</v>
      </c>
      <c r="CE135" s="214">
        <f t="shared" ca="1" si="53"/>
        <v>1.393098924</v>
      </c>
      <c r="CF135" s="215">
        <f>VLOOKUP(L135,'Impostos e Frete'!$A$3:$C$7,3,0)</f>
        <v>105</v>
      </c>
      <c r="CG135" s="215">
        <f t="shared" si="54"/>
        <v>30</v>
      </c>
      <c r="CH135" s="215">
        <f t="shared" si="55"/>
        <v>-75</v>
      </c>
      <c r="CI135" s="216">
        <f t="shared" ca="1" si="56"/>
        <v>0.75471985428566057</v>
      </c>
      <c r="CJ135" s="217">
        <f t="shared" ca="1" si="57"/>
        <v>20.656133054285661</v>
      </c>
      <c r="CK135" s="218">
        <f t="shared" ca="1" si="58"/>
        <v>1.4459293137999962</v>
      </c>
    </row>
    <row r="136" spans="1:89">
      <c r="A136" s="176">
        <v>19522</v>
      </c>
      <c r="B136" s="177">
        <v>104</v>
      </c>
      <c r="C136" s="178">
        <v>70</v>
      </c>
      <c r="D136" s="178">
        <v>2175</v>
      </c>
      <c r="E136" s="178" t="s">
        <v>50</v>
      </c>
      <c r="F136" s="179" t="s">
        <v>108</v>
      </c>
      <c r="G136" s="189" t="s">
        <v>441</v>
      </c>
      <c r="H136" s="178" t="s">
        <v>43</v>
      </c>
      <c r="I136" s="178" t="s">
        <v>118</v>
      </c>
      <c r="J136" s="178"/>
      <c r="K136" s="178"/>
      <c r="L136" s="178" t="s">
        <v>59</v>
      </c>
      <c r="M136" s="178">
        <v>30</v>
      </c>
      <c r="N136" s="178">
        <v>500</v>
      </c>
      <c r="O136" s="178"/>
      <c r="P136" s="178"/>
      <c r="Q136" s="178"/>
      <c r="R136" s="178" t="s">
        <v>19</v>
      </c>
      <c r="S136" s="181"/>
      <c r="T136" s="181"/>
      <c r="U136" s="182"/>
      <c r="V136" s="182" t="s">
        <v>35</v>
      </c>
      <c r="W136" s="183">
        <v>80</v>
      </c>
      <c r="X136" s="182" t="s">
        <v>51</v>
      </c>
      <c r="Y136" s="184">
        <v>2530</v>
      </c>
      <c r="Z136" s="184">
        <v>2530</v>
      </c>
      <c r="AA136" s="184">
        <v>2530</v>
      </c>
      <c r="AB136" s="184">
        <v>2530</v>
      </c>
      <c r="AC136" s="184">
        <v>2530</v>
      </c>
      <c r="AD136" s="184">
        <v>2530</v>
      </c>
      <c r="AE136" s="184">
        <v>2430</v>
      </c>
      <c r="AF136" s="184">
        <v>2430</v>
      </c>
      <c r="AG136" s="184">
        <v>2430</v>
      </c>
      <c r="AH136" s="184">
        <v>2050</v>
      </c>
      <c r="AI136" s="184">
        <v>2050</v>
      </c>
      <c r="AJ136" s="184">
        <v>2050</v>
      </c>
      <c r="AK136" s="184">
        <v>2050</v>
      </c>
      <c r="AL136" s="184">
        <v>2050</v>
      </c>
      <c r="AM136" s="184">
        <v>2050</v>
      </c>
      <c r="AN136" s="184">
        <v>2050</v>
      </c>
      <c r="AO136" s="184">
        <v>2050</v>
      </c>
      <c r="AP136" s="184">
        <v>2050</v>
      </c>
      <c r="AQ136" s="184">
        <v>2030</v>
      </c>
      <c r="AR136" s="184">
        <v>2160</v>
      </c>
      <c r="AS136" s="184">
        <v>2160</v>
      </c>
      <c r="AT136" s="184">
        <v>2160</v>
      </c>
      <c r="AU136" s="184">
        <v>2160</v>
      </c>
      <c r="AV136" s="184">
        <v>2160</v>
      </c>
      <c r="AW136" s="184">
        <v>2660</v>
      </c>
      <c r="AX136" s="184">
        <v>2660</v>
      </c>
      <c r="AY136" s="146">
        <f t="shared" si="47"/>
        <v>2160</v>
      </c>
      <c r="AZ136" s="146">
        <f t="shared" si="48"/>
        <v>2160</v>
      </c>
      <c r="BA136" s="146">
        <f t="shared" si="48"/>
        <v>2160</v>
      </c>
      <c r="BB136" s="184"/>
      <c r="BC136" s="184"/>
      <c r="BD136" s="184"/>
      <c r="BE136" s="184"/>
      <c r="BF136" s="184">
        <v>2130</v>
      </c>
      <c r="BG136" s="184">
        <v>2130</v>
      </c>
      <c r="BH136" s="184">
        <v>2130</v>
      </c>
      <c r="BI136" s="184"/>
      <c r="BJ136" s="184"/>
      <c r="BK136" s="184"/>
      <c r="BL136" s="184">
        <v>2690</v>
      </c>
      <c r="BM136" s="184">
        <v>2690</v>
      </c>
      <c r="BN136" s="184">
        <v>2690</v>
      </c>
      <c r="BO136" s="184">
        <v>2250</v>
      </c>
      <c r="BP136" s="184">
        <v>2250</v>
      </c>
      <c r="BQ136" s="184">
        <v>2250</v>
      </c>
      <c r="BR136" s="184"/>
      <c r="BS136" s="184"/>
      <c r="BT136" s="184"/>
      <c r="BU136" s="146" cm="1">
        <f t="array" ref="BU136">LOOKUP(2,1/(Y136:BT136&lt;&gt;""),Y136:BH136)</f>
        <v>2250</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46199</v>
      </c>
      <c r="BW136" s="211" cm="1">
        <f t="array" ref="BW136">(LOOKUP(2,1/(BH136:BT136&lt;&gt;""),BH136:BT136))/(INDEX(BH136:BT136,MATCH(TRUE,INDEX((BH136:BT136&lt;&gt;0),0),0)))-1</f>
        <v>5.6338028169014009E-2</v>
      </c>
      <c r="BX136" s="212">
        <f t="shared" si="50"/>
        <v>2.25</v>
      </c>
      <c r="BY136" s="212">
        <f t="shared" si="49"/>
        <v>13.275</v>
      </c>
      <c r="BZ136" s="212">
        <f ca="1">IF(L136="BR",'Impostos e Frete'!$F$6,IF(L136="EU",'Impostos e Frete'!$I$3,IF(L136="CN",'Impostos e Frete'!$I$4,IF(L136="JP",'Impostos e Frete'!$I$5,IF(L136="RU",'Impostos e Frete'!$I$7,"ERRO")))))</f>
        <v>0.14176320000000001</v>
      </c>
      <c r="CA136" s="212">
        <f>VLOOKUP(L136,'Impostos e Frete'!$A$3:$B$7,2,0)*'Preços e Condições'!BY136</f>
        <v>1.7257500000000001</v>
      </c>
      <c r="CB136" s="147">
        <f t="shared" si="51"/>
        <v>0</v>
      </c>
      <c r="CC136" s="147">
        <f>IF(X136="BRL",'Impostos e Frete'!$B$11,'Impostos e Frete'!$B$12)</f>
        <v>9.1999999999999998E-2</v>
      </c>
      <c r="CD136" s="213">
        <f t="shared" ca="1" si="52"/>
        <v>15.2345132</v>
      </c>
      <c r="CE136" s="214">
        <f t="shared" ca="1" si="53"/>
        <v>1.066415924</v>
      </c>
      <c r="CF136" s="215">
        <f>VLOOKUP(L136,'Impostos e Frete'!$A$3:$C$7,3,0)</f>
        <v>105</v>
      </c>
      <c r="CG136" s="215">
        <f t="shared" si="54"/>
        <v>30</v>
      </c>
      <c r="CH136" s="215">
        <f t="shared" si="55"/>
        <v>-75</v>
      </c>
      <c r="CI136" s="216">
        <f t="shared" ca="1" si="56"/>
        <v>0.57773734291477297</v>
      </c>
      <c r="CJ136" s="217">
        <f t="shared" ca="1" si="57"/>
        <v>15.812250542914773</v>
      </c>
      <c r="CK136" s="218">
        <f t="shared" ca="1" si="58"/>
        <v>1.106857538004034</v>
      </c>
    </row>
    <row r="137" spans="1:89">
      <c r="A137" s="176">
        <v>19522</v>
      </c>
      <c r="B137" s="177">
        <v>104</v>
      </c>
      <c r="C137" s="178">
        <v>70</v>
      </c>
      <c r="D137" s="178">
        <v>2175</v>
      </c>
      <c r="E137" s="178" t="s">
        <v>50</v>
      </c>
      <c r="F137" s="179" t="s">
        <v>108</v>
      </c>
      <c r="G137" s="189" t="s">
        <v>441</v>
      </c>
      <c r="H137" s="178" t="s">
        <v>43</v>
      </c>
      <c r="I137" s="178" t="s">
        <v>118</v>
      </c>
      <c r="J137" s="178"/>
      <c r="K137" s="178"/>
      <c r="L137" s="178" t="s">
        <v>59</v>
      </c>
      <c r="M137" s="178">
        <v>30</v>
      </c>
      <c r="N137" s="178">
        <v>500</v>
      </c>
      <c r="O137" s="178"/>
      <c r="P137" s="178"/>
      <c r="Q137" s="178"/>
      <c r="R137" s="178" t="s">
        <v>19</v>
      </c>
      <c r="S137" s="181"/>
      <c r="T137" s="181"/>
      <c r="U137" s="182"/>
      <c r="V137" s="182" t="s">
        <v>35</v>
      </c>
      <c r="W137" s="183">
        <v>50</v>
      </c>
      <c r="X137" s="182" t="s">
        <v>51</v>
      </c>
      <c r="Y137" s="184">
        <v>2730</v>
      </c>
      <c r="Z137" s="184">
        <v>2730</v>
      </c>
      <c r="AA137" s="184">
        <v>2730</v>
      </c>
      <c r="AB137" s="184">
        <v>2730</v>
      </c>
      <c r="AC137" s="184">
        <v>2730</v>
      </c>
      <c r="AD137" s="184">
        <v>2730</v>
      </c>
      <c r="AE137" s="184">
        <v>2630</v>
      </c>
      <c r="AF137" s="184">
        <v>2630</v>
      </c>
      <c r="AG137" s="184">
        <v>2630</v>
      </c>
      <c r="AH137" s="184">
        <v>2250</v>
      </c>
      <c r="AI137" s="184">
        <v>2250</v>
      </c>
      <c r="AJ137" s="184">
        <v>2250</v>
      </c>
      <c r="AK137" s="184">
        <v>2250</v>
      </c>
      <c r="AL137" s="184">
        <v>2250</v>
      </c>
      <c r="AM137" s="184">
        <v>2250</v>
      </c>
      <c r="AN137" s="184">
        <v>2250</v>
      </c>
      <c r="AO137" s="184">
        <v>2250</v>
      </c>
      <c r="AP137" s="184">
        <v>2250</v>
      </c>
      <c r="AQ137" s="184">
        <v>2200</v>
      </c>
      <c r="AR137" s="184">
        <v>2360</v>
      </c>
      <c r="AS137" s="184">
        <v>2360</v>
      </c>
      <c r="AT137" s="184">
        <v>2360</v>
      </c>
      <c r="AU137" s="184">
        <v>2360</v>
      </c>
      <c r="AV137" s="184">
        <v>2360</v>
      </c>
      <c r="AW137" s="184">
        <v>2680</v>
      </c>
      <c r="AX137" s="184">
        <v>2680</v>
      </c>
      <c r="AY137" s="146">
        <f t="shared" si="47"/>
        <v>2180</v>
      </c>
      <c r="AZ137" s="146">
        <f t="shared" ref="AZ137:BA159" si="59">AY137</f>
        <v>2180</v>
      </c>
      <c r="BA137" s="146">
        <f t="shared" si="59"/>
        <v>2180</v>
      </c>
      <c r="BB137" s="184"/>
      <c r="BC137" s="184"/>
      <c r="BD137" s="184"/>
      <c r="BE137" s="184"/>
      <c r="BF137" s="184">
        <v>2150</v>
      </c>
      <c r="BG137" s="184">
        <v>2150</v>
      </c>
      <c r="BH137" s="184">
        <v>2150</v>
      </c>
      <c r="BI137" s="184"/>
      <c r="BJ137" s="184"/>
      <c r="BK137" s="184"/>
      <c r="BL137" s="184">
        <v>2710</v>
      </c>
      <c r="BM137" s="184">
        <v>2710</v>
      </c>
      <c r="BN137" s="184">
        <v>2710</v>
      </c>
      <c r="BO137" s="184">
        <v>2450</v>
      </c>
      <c r="BP137" s="184">
        <v>2450</v>
      </c>
      <c r="BQ137" s="184">
        <v>2450</v>
      </c>
      <c r="BR137" s="184"/>
      <c r="BS137" s="184"/>
      <c r="BT137" s="184"/>
      <c r="BU137" s="146" cm="1">
        <f t="array" ref="BU137">LOOKUP(2,1/(Y137:BT137&lt;&gt;""),Y137:BH137)</f>
        <v>2450</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46199</v>
      </c>
      <c r="BW137" s="211" cm="1">
        <f t="array" ref="BW137">(LOOKUP(2,1/(BH137:BT137&lt;&gt;""),BH137:BT137))/(INDEX(BH137:BT137,MATCH(TRUE,INDEX((BH137:BT137&lt;&gt;0),0),0)))-1</f>
        <v>0.13953488372093026</v>
      </c>
      <c r="BX137" s="212">
        <f t="shared" si="50"/>
        <v>2.4500000000000002</v>
      </c>
      <c r="BY137" s="212">
        <f t="shared" si="49"/>
        <v>14.455000000000002</v>
      </c>
      <c r="BZ137" s="212">
        <f ca="1">IF(L137="BR",'Impostos e Frete'!$F$6,IF(L137="EU",'Impostos e Frete'!$I$3,IF(L137="CN",'Impostos e Frete'!$I$4,IF(L137="JP",'Impostos e Frete'!$I$5,IF(L137="RU",'Impostos e Frete'!$I$7,"ERRO")))))</f>
        <v>0.14176320000000001</v>
      </c>
      <c r="CA137" s="212">
        <f>VLOOKUP(L137,'Impostos e Frete'!$A$3:$B$7,2,0)*'Preços e Condições'!BY137</f>
        <v>1.8791500000000003</v>
      </c>
      <c r="CB137" s="147">
        <f t="shared" si="51"/>
        <v>0</v>
      </c>
      <c r="CC137" s="147">
        <f>IF(X137="BRL",'Impostos e Frete'!$B$11,'Impostos e Frete'!$B$12)</f>
        <v>9.1999999999999998E-2</v>
      </c>
      <c r="CD137" s="213">
        <f t="shared" ca="1" si="52"/>
        <v>16.5679132</v>
      </c>
      <c r="CE137" s="214">
        <f t="shared" ca="1" si="53"/>
        <v>1.1597539239999999</v>
      </c>
      <c r="CF137" s="215">
        <f>VLOOKUP(L137,'Impostos e Frete'!$A$3:$C$7,3,0)</f>
        <v>105</v>
      </c>
      <c r="CG137" s="215">
        <f t="shared" si="54"/>
        <v>30</v>
      </c>
      <c r="CH137" s="215">
        <f t="shared" si="55"/>
        <v>-75</v>
      </c>
      <c r="CI137" s="216">
        <f t="shared" ca="1" si="56"/>
        <v>0.62830377473502708</v>
      </c>
      <c r="CJ137" s="217">
        <f t="shared" ca="1" si="57"/>
        <v>17.196216974735027</v>
      </c>
      <c r="CK137" s="218">
        <f t="shared" ca="1" si="58"/>
        <v>1.2037351882314518</v>
      </c>
    </row>
    <row r="138" spans="1:89">
      <c r="A138" s="176">
        <v>19522</v>
      </c>
      <c r="B138" s="177">
        <v>104</v>
      </c>
      <c r="C138" s="178">
        <v>70</v>
      </c>
      <c r="D138" s="178">
        <v>2175</v>
      </c>
      <c r="E138" s="178" t="s">
        <v>50</v>
      </c>
      <c r="F138" s="179" t="s">
        <v>108</v>
      </c>
      <c r="G138" s="189" t="s">
        <v>441</v>
      </c>
      <c r="H138" s="178" t="s">
        <v>43</v>
      </c>
      <c r="I138" s="178" t="s">
        <v>118</v>
      </c>
      <c r="J138" s="178"/>
      <c r="K138" s="178"/>
      <c r="L138" s="178" t="s">
        <v>59</v>
      </c>
      <c r="M138" s="178">
        <v>30</v>
      </c>
      <c r="N138" s="178">
        <v>500</v>
      </c>
      <c r="O138" s="178"/>
      <c r="P138" s="178"/>
      <c r="Q138" s="178"/>
      <c r="R138" s="178" t="s">
        <v>19</v>
      </c>
      <c r="S138" s="181"/>
      <c r="T138" s="181"/>
      <c r="U138" s="182"/>
      <c r="V138" s="182" t="s">
        <v>35</v>
      </c>
      <c r="W138" s="183">
        <v>20</v>
      </c>
      <c r="X138" s="182" t="s">
        <v>51</v>
      </c>
      <c r="Y138" s="184">
        <v>3230</v>
      </c>
      <c r="Z138" s="184">
        <v>3230</v>
      </c>
      <c r="AA138" s="184">
        <v>3230</v>
      </c>
      <c r="AB138" s="184">
        <v>3230</v>
      </c>
      <c r="AC138" s="184">
        <v>3230</v>
      </c>
      <c r="AD138" s="184">
        <v>3230</v>
      </c>
      <c r="AE138" s="184">
        <v>3130</v>
      </c>
      <c r="AF138" s="184">
        <v>3130</v>
      </c>
      <c r="AG138" s="184">
        <v>3130</v>
      </c>
      <c r="AH138" s="184">
        <v>2750</v>
      </c>
      <c r="AI138" s="184">
        <v>2750</v>
      </c>
      <c r="AJ138" s="184">
        <v>2750</v>
      </c>
      <c r="AK138" s="184">
        <v>2750</v>
      </c>
      <c r="AL138" s="184">
        <v>2750</v>
      </c>
      <c r="AM138" s="184">
        <v>2750</v>
      </c>
      <c r="AN138" s="184">
        <v>2750</v>
      </c>
      <c r="AO138" s="184">
        <v>2750</v>
      </c>
      <c r="AP138" s="184">
        <v>2750</v>
      </c>
      <c r="AQ138" s="184">
        <v>2700</v>
      </c>
      <c r="AR138" s="184">
        <v>2860</v>
      </c>
      <c r="AS138" s="184">
        <v>2860</v>
      </c>
      <c r="AT138" s="184">
        <v>2860</v>
      </c>
      <c r="AU138" s="184">
        <v>2860</v>
      </c>
      <c r="AV138" s="184">
        <v>2860</v>
      </c>
      <c r="AW138" s="184">
        <v>2730</v>
      </c>
      <c r="AX138" s="184">
        <v>2730</v>
      </c>
      <c r="AY138" s="146">
        <f t="shared" si="47"/>
        <v>2230</v>
      </c>
      <c r="AZ138" s="146">
        <f t="shared" si="59"/>
        <v>2230</v>
      </c>
      <c r="BA138" s="146">
        <f t="shared" si="59"/>
        <v>2230</v>
      </c>
      <c r="BB138" s="184"/>
      <c r="BC138" s="184"/>
      <c r="BD138" s="184"/>
      <c r="BE138" s="184"/>
      <c r="BF138" s="184">
        <v>2200</v>
      </c>
      <c r="BG138" s="184">
        <v>2200</v>
      </c>
      <c r="BH138" s="184">
        <v>2200</v>
      </c>
      <c r="BI138" s="184"/>
      <c r="BJ138" s="184"/>
      <c r="BK138" s="184"/>
      <c r="BL138" s="184">
        <v>2760</v>
      </c>
      <c r="BM138" s="184">
        <v>2760</v>
      </c>
      <c r="BN138" s="184">
        <v>2760</v>
      </c>
      <c r="BO138" s="184">
        <v>2950</v>
      </c>
      <c r="BP138" s="184">
        <v>2950</v>
      </c>
      <c r="BQ138" s="184">
        <v>2950</v>
      </c>
      <c r="BR138" s="184"/>
      <c r="BS138" s="184"/>
      <c r="BT138" s="184"/>
      <c r="BU138" s="146" cm="1">
        <f t="array" ref="BU138">LOOKUP(2,1/(Y138:BT138&lt;&gt;""),Y138:BH138)</f>
        <v>2950</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46199</v>
      </c>
      <c r="BW138" s="211" cm="1">
        <f t="array" ref="BW138">(LOOKUP(2,1/(BH138:BT138&lt;&gt;""),BH138:BT138))/(INDEX(BH138:BT138,MATCH(TRUE,INDEX((BH138:BT138&lt;&gt;0),0),0)))-1</f>
        <v>0.34090909090909083</v>
      </c>
      <c r="BX138" s="212">
        <f t="shared" si="50"/>
        <v>2.95</v>
      </c>
      <c r="BY138" s="212">
        <f t="shared" si="49"/>
        <v>17.405000000000001</v>
      </c>
      <c r="BZ138" s="212">
        <f ca="1">IF(L138="BR",'Impostos e Frete'!$F$6,IF(L138="EU",'Impostos e Frete'!$I$3,IF(L138="CN",'Impostos e Frete'!$I$4,IF(L138="JP",'Impostos e Frete'!$I$5,IF(L138="RU",'Impostos e Frete'!$I$7,"ERRO")))))</f>
        <v>0.14176320000000001</v>
      </c>
      <c r="CA138" s="212">
        <f>VLOOKUP(L138,'Impostos e Frete'!$A$3:$B$7,2,0)*'Preços e Condições'!BY138</f>
        <v>2.2626500000000003</v>
      </c>
      <c r="CB138" s="147">
        <f t="shared" si="51"/>
        <v>0</v>
      </c>
      <c r="CC138" s="147">
        <f>IF(X138="BRL",'Impostos e Frete'!$B$11,'Impostos e Frete'!$B$12)</f>
        <v>9.1999999999999998E-2</v>
      </c>
      <c r="CD138" s="213">
        <f t="shared" ca="1" si="52"/>
        <v>19.9014132</v>
      </c>
      <c r="CE138" s="214">
        <f t="shared" ca="1" si="53"/>
        <v>1.393098924</v>
      </c>
      <c r="CF138" s="215">
        <f>VLOOKUP(L138,'Impostos e Frete'!$A$3:$C$7,3,0)</f>
        <v>105</v>
      </c>
      <c r="CG138" s="215">
        <f t="shared" si="54"/>
        <v>30</v>
      </c>
      <c r="CH138" s="215">
        <f t="shared" si="55"/>
        <v>-75</v>
      </c>
      <c r="CI138" s="216">
        <f t="shared" ca="1" si="56"/>
        <v>0.75471985428566057</v>
      </c>
      <c r="CJ138" s="217">
        <f t="shared" ca="1" si="57"/>
        <v>20.656133054285661</v>
      </c>
      <c r="CK138" s="218">
        <f t="shared" ca="1" si="58"/>
        <v>1.4459293137999962</v>
      </c>
    </row>
    <row r="139" spans="1:89">
      <c r="A139" s="176">
        <v>19510</v>
      </c>
      <c r="B139" s="177">
        <v>104</v>
      </c>
      <c r="C139" s="178">
        <v>78</v>
      </c>
      <c r="D139" s="178">
        <v>1870</v>
      </c>
      <c r="E139" s="178" t="s">
        <v>50</v>
      </c>
      <c r="F139" s="179" t="s">
        <v>108</v>
      </c>
      <c r="G139" s="189" t="s">
        <v>114</v>
      </c>
      <c r="H139" s="178" t="s">
        <v>43</v>
      </c>
      <c r="I139" s="178" t="s">
        <v>118</v>
      </c>
      <c r="J139" s="178"/>
      <c r="K139" s="178"/>
      <c r="L139" s="178" t="s">
        <v>59</v>
      </c>
      <c r="M139" s="178">
        <v>30</v>
      </c>
      <c r="N139" s="178">
        <v>500</v>
      </c>
      <c r="O139" s="178"/>
      <c r="P139" s="178"/>
      <c r="Q139" s="178"/>
      <c r="R139" s="178" t="s">
        <v>19</v>
      </c>
      <c r="S139" s="181"/>
      <c r="T139" s="181"/>
      <c r="U139" s="182"/>
      <c r="V139" s="182" t="s">
        <v>35</v>
      </c>
      <c r="W139" s="183">
        <v>200</v>
      </c>
      <c r="X139" s="182" t="s">
        <v>51</v>
      </c>
      <c r="Y139" s="184">
        <v>2500</v>
      </c>
      <c r="Z139" s="184">
        <v>2500</v>
      </c>
      <c r="AA139" s="184">
        <v>2500</v>
      </c>
      <c r="AB139" s="184">
        <v>2500</v>
      </c>
      <c r="AC139" s="184">
        <v>2500</v>
      </c>
      <c r="AD139" s="184">
        <v>2500</v>
      </c>
      <c r="AE139" s="184">
        <v>2200</v>
      </c>
      <c r="AF139" s="184">
        <v>2200</v>
      </c>
      <c r="AG139" s="184">
        <v>2200</v>
      </c>
      <c r="AH139" s="184">
        <v>1950</v>
      </c>
      <c r="AI139" s="184">
        <v>1950</v>
      </c>
      <c r="AJ139" s="184">
        <v>1950</v>
      </c>
      <c r="AK139" s="184">
        <v>1950</v>
      </c>
      <c r="AL139" s="184">
        <v>1950</v>
      </c>
      <c r="AM139" s="184">
        <v>1950</v>
      </c>
      <c r="AN139" s="184">
        <v>1900</v>
      </c>
      <c r="AO139" s="184">
        <v>1900</v>
      </c>
      <c r="AP139" s="184">
        <v>1900</v>
      </c>
      <c r="AQ139" s="184">
        <v>1970</v>
      </c>
      <c r="AR139" s="184">
        <v>1970</v>
      </c>
      <c r="AS139" s="184">
        <v>1970</v>
      </c>
      <c r="AT139" s="184">
        <v>1970</v>
      </c>
      <c r="AU139" s="184"/>
      <c r="AV139" s="184"/>
      <c r="AW139" s="184">
        <v>2660</v>
      </c>
      <c r="AX139" s="184">
        <v>2660</v>
      </c>
      <c r="AY139" s="146">
        <f t="shared" si="47"/>
        <v>2160</v>
      </c>
      <c r="AZ139" s="146">
        <f t="shared" si="59"/>
        <v>2160</v>
      </c>
      <c r="BA139" s="146">
        <f t="shared" si="59"/>
        <v>2160</v>
      </c>
      <c r="BB139" s="184"/>
      <c r="BC139" s="184"/>
      <c r="BD139" s="184"/>
      <c r="BE139" s="184"/>
      <c r="BF139" s="184"/>
      <c r="BG139" s="146">
        <f>2160-500</f>
        <v>1660</v>
      </c>
      <c r="BH139" s="146">
        <f>2160-500</f>
        <v>1660</v>
      </c>
      <c r="BI139" s="184"/>
      <c r="BJ139" s="184"/>
      <c r="BK139" s="184"/>
      <c r="BL139" s="184"/>
      <c r="BM139" s="184"/>
      <c r="BN139" s="184"/>
      <c r="BO139" s="184"/>
      <c r="BP139" s="184"/>
      <c r="BQ139" s="184"/>
      <c r="BR139" s="184"/>
      <c r="BS139" s="184"/>
      <c r="BT139" s="184"/>
      <c r="BU139" s="146" cm="1">
        <f t="array" ref="BU139">LOOKUP(2,1/(Y139:BT139&lt;&gt;""),Y139:BH139)</f>
        <v>1660</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45992</v>
      </c>
      <c r="BW139" s="211" cm="1">
        <f t="array" ref="BW139">(LOOKUP(2,1/(BH139:BT139&lt;&gt;""),BH139:BT139))/(INDEX(BH139:BT139,MATCH(TRUE,INDEX((BH139:BT139&lt;&gt;0),0),0)))-1</f>
        <v>0</v>
      </c>
      <c r="BX139" s="212">
        <f t="shared" si="50"/>
        <v>1.66</v>
      </c>
      <c r="BY139" s="212">
        <f t="shared" si="49"/>
        <v>9.7940000000000005</v>
      </c>
      <c r="BZ139" s="212">
        <f ca="1">IF(L139="BR",'Impostos e Frete'!$F$6,IF(L139="EU",'Impostos e Frete'!$I$3,IF(L139="CN",'Impostos e Frete'!$I$4,IF(L139="JP",'Impostos e Frete'!$I$5,IF(L139="RU",'Impostos e Frete'!$I$7,"ERRO")))))</f>
        <v>0.14176320000000001</v>
      </c>
      <c r="CA139" s="212">
        <f>VLOOKUP(L139,'Impostos e Frete'!$A$3:$B$7,2,0)*'Preços e Condições'!BY139</f>
        <v>1.27322</v>
      </c>
      <c r="CB139" s="147">
        <f t="shared" si="51"/>
        <v>0</v>
      </c>
      <c r="CC139" s="147">
        <f>IF(X139="BRL",'Impostos e Frete'!$B$11,'Impostos e Frete'!$B$12)</f>
        <v>9.1999999999999998E-2</v>
      </c>
      <c r="CD139" s="213">
        <f t="shared" ca="1" si="52"/>
        <v>11.300983200000001</v>
      </c>
      <c r="CE139" s="214">
        <f t="shared" ca="1" si="53"/>
        <v>0.88147668960000014</v>
      </c>
      <c r="CF139" s="215">
        <f>VLOOKUP(L139,'Impostos e Frete'!$A$3:$C$7,3,0)</f>
        <v>105</v>
      </c>
      <c r="CG139" s="215">
        <f t="shared" si="54"/>
        <v>30</v>
      </c>
      <c r="CH139" s="215">
        <f t="shared" si="55"/>
        <v>-75</v>
      </c>
      <c r="CI139" s="216">
        <f t="shared" ca="1" si="56"/>
        <v>0.42856636904502388</v>
      </c>
      <c r="CJ139" s="217">
        <f t="shared" ca="1" si="57"/>
        <v>11.729549569045025</v>
      </c>
      <c r="CK139" s="218">
        <f t="shared" ca="1" si="58"/>
        <v>0.91490486638551194</v>
      </c>
    </row>
    <row r="140" spans="1:89">
      <c r="A140" s="176">
        <v>19510</v>
      </c>
      <c r="B140" s="177">
        <v>104</v>
      </c>
      <c r="C140" s="178">
        <v>78</v>
      </c>
      <c r="D140" s="178">
        <v>1870</v>
      </c>
      <c r="E140" s="178" t="s">
        <v>50</v>
      </c>
      <c r="F140" s="179" t="s">
        <v>108</v>
      </c>
      <c r="G140" s="189" t="s">
        <v>114</v>
      </c>
      <c r="H140" s="178" t="s">
        <v>43</v>
      </c>
      <c r="I140" s="178" t="s">
        <v>118</v>
      </c>
      <c r="J140" s="178"/>
      <c r="K140" s="178"/>
      <c r="L140" s="178" t="s">
        <v>59</v>
      </c>
      <c r="M140" s="178">
        <v>30</v>
      </c>
      <c r="N140" s="178">
        <v>500</v>
      </c>
      <c r="O140" s="178"/>
      <c r="P140" s="178"/>
      <c r="Q140" s="178"/>
      <c r="R140" s="178" t="s">
        <v>19</v>
      </c>
      <c r="S140" s="181"/>
      <c r="T140" s="181"/>
      <c r="U140" s="182"/>
      <c r="V140" s="182" t="s">
        <v>35</v>
      </c>
      <c r="W140" s="183">
        <v>80</v>
      </c>
      <c r="X140" s="182" t="s">
        <v>51</v>
      </c>
      <c r="Y140" s="184">
        <v>2500</v>
      </c>
      <c r="Z140" s="184">
        <v>2500</v>
      </c>
      <c r="AA140" s="184">
        <v>2500</v>
      </c>
      <c r="AB140" s="184">
        <v>2500</v>
      </c>
      <c r="AC140" s="184">
        <v>2500</v>
      </c>
      <c r="AD140" s="184">
        <v>2500</v>
      </c>
      <c r="AE140" s="184">
        <v>2200</v>
      </c>
      <c r="AF140" s="184">
        <v>2200</v>
      </c>
      <c r="AG140" s="184">
        <v>2200</v>
      </c>
      <c r="AH140" s="184">
        <v>1950</v>
      </c>
      <c r="AI140" s="184">
        <v>1950</v>
      </c>
      <c r="AJ140" s="184">
        <v>1950</v>
      </c>
      <c r="AK140" s="184">
        <v>1950</v>
      </c>
      <c r="AL140" s="184">
        <v>1950</v>
      </c>
      <c r="AM140" s="184">
        <v>1950</v>
      </c>
      <c r="AN140" s="184">
        <v>1950</v>
      </c>
      <c r="AO140" s="184">
        <v>1950</v>
      </c>
      <c r="AP140" s="184">
        <v>1950</v>
      </c>
      <c r="AQ140" s="184">
        <v>1950</v>
      </c>
      <c r="AR140" s="184">
        <v>2050</v>
      </c>
      <c r="AS140" s="184">
        <v>2050</v>
      </c>
      <c r="AT140" s="184">
        <v>2050</v>
      </c>
      <c r="AU140" s="184">
        <v>2050</v>
      </c>
      <c r="AV140" s="184">
        <v>2050</v>
      </c>
      <c r="AW140" s="184">
        <v>2660</v>
      </c>
      <c r="AX140" s="184">
        <v>2660</v>
      </c>
      <c r="AY140" s="146">
        <f t="shared" si="47"/>
        <v>2160</v>
      </c>
      <c r="AZ140" s="146">
        <f t="shared" si="59"/>
        <v>2160</v>
      </c>
      <c r="BA140" s="146">
        <f t="shared" si="59"/>
        <v>2160</v>
      </c>
      <c r="BB140" s="184"/>
      <c r="BC140" s="184"/>
      <c r="BD140" s="184"/>
      <c r="BE140" s="184"/>
      <c r="BF140" s="184">
        <v>1850</v>
      </c>
      <c r="BG140" s="184">
        <v>1850</v>
      </c>
      <c r="BH140" s="184">
        <v>1850</v>
      </c>
      <c r="BI140" s="184"/>
      <c r="BJ140" s="184"/>
      <c r="BK140" s="184"/>
      <c r="BL140" s="184">
        <v>1650</v>
      </c>
      <c r="BM140" s="184">
        <v>1650</v>
      </c>
      <c r="BN140" s="184">
        <v>1650</v>
      </c>
      <c r="BO140" s="184">
        <v>1650</v>
      </c>
      <c r="BP140" s="184">
        <v>1650</v>
      </c>
      <c r="BQ140" s="184">
        <v>1650</v>
      </c>
      <c r="BR140" s="184"/>
      <c r="BS140" s="184"/>
      <c r="BT140" s="184"/>
      <c r="BU140" s="146" cm="1">
        <f t="array" ref="BU140">LOOKUP(2,1/(Y140:BT140&lt;&gt;""),Y140:BH140)</f>
        <v>1650</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46199</v>
      </c>
      <c r="BW140" s="211" cm="1">
        <f t="array" ref="BW140">(LOOKUP(2,1/(BH140:BT140&lt;&gt;""),BH140:BT140))/(INDEX(BH140:BT140,MATCH(TRUE,INDEX((BH140:BT140&lt;&gt;0),0),0)))-1</f>
        <v>-0.10810810810810811</v>
      </c>
      <c r="BX140" s="212">
        <f t="shared" si="50"/>
        <v>1.65</v>
      </c>
      <c r="BY140" s="212">
        <f t="shared" si="49"/>
        <v>9.7349999999999994</v>
      </c>
      <c r="BZ140" s="212">
        <f ca="1">IF(L140="BR",'Impostos e Frete'!$F$6,IF(L140="EU",'Impostos e Frete'!$I$3,IF(L140="CN",'Impostos e Frete'!$I$4,IF(L140="JP",'Impostos e Frete'!$I$5,IF(L140="RU",'Impostos e Frete'!$I$7,"ERRO")))))</f>
        <v>0.14176320000000001</v>
      </c>
      <c r="CA140" s="212">
        <f>VLOOKUP(L140,'Impostos e Frete'!$A$3:$B$7,2,0)*'Preços e Condições'!BY140</f>
        <v>1.26555</v>
      </c>
      <c r="CB140" s="147">
        <f t="shared" si="51"/>
        <v>0</v>
      </c>
      <c r="CC140" s="147">
        <f>IF(X140="BRL",'Impostos e Frete'!$B$11,'Impostos e Frete'!$B$12)</f>
        <v>9.1999999999999998E-2</v>
      </c>
      <c r="CD140" s="213">
        <f t="shared" ca="1" si="52"/>
        <v>11.234313199999999</v>
      </c>
      <c r="CE140" s="214">
        <f t="shared" ca="1" si="53"/>
        <v>0.87627642959999985</v>
      </c>
      <c r="CF140" s="215">
        <f>VLOOKUP(L140,'Impostos e Frete'!$A$3:$C$7,3,0)</f>
        <v>105</v>
      </c>
      <c r="CG140" s="215">
        <f t="shared" si="54"/>
        <v>30</v>
      </c>
      <c r="CH140" s="215">
        <f t="shared" si="55"/>
        <v>-75</v>
      </c>
      <c r="CI140" s="216">
        <f t="shared" ca="1" si="56"/>
        <v>0.42603804745401064</v>
      </c>
      <c r="CJ140" s="217">
        <f t="shared" ca="1" si="57"/>
        <v>11.66035124745401</v>
      </c>
      <c r="CK140" s="218">
        <f t="shared" ca="1" si="58"/>
        <v>0.90950739730141272</v>
      </c>
    </row>
    <row r="141" spans="1:89">
      <c r="A141" s="176">
        <v>19510</v>
      </c>
      <c r="B141" s="177">
        <v>104</v>
      </c>
      <c r="C141" s="178">
        <v>78</v>
      </c>
      <c r="D141" s="178">
        <v>1870</v>
      </c>
      <c r="E141" s="178" t="s">
        <v>50</v>
      </c>
      <c r="F141" s="179" t="s">
        <v>108</v>
      </c>
      <c r="G141" s="189" t="s">
        <v>114</v>
      </c>
      <c r="H141" s="178" t="s">
        <v>43</v>
      </c>
      <c r="I141" s="178" t="s">
        <v>118</v>
      </c>
      <c r="J141" s="178"/>
      <c r="K141" s="178"/>
      <c r="L141" s="178" t="s">
        <v>59</v>
      </c>
      <c r="M141" s="178">
        <v>30</v>
      </c>
      <c r="N141" s="178">
        <v>500</v>
      </c>
      <c r="O141" s="178"/>
      <c r="P141" s="178"/>
      <c r="Q141" s="178"/>
      <c r="R141" s="178" t="s">
        <v>19</v>
      </c>
      <c r="S141" s="181"/>
      <c r="T141" s="181"/>
      <c r="U141" s="182"/>
      <c r="V141" s="182" t="s">
        <v>35</v>
      </c>
      <c r="W141" s="183">
        <v>50</v>
      </c>
      <c r="X141" s="182" t="s">
        <v>51</v>
      </c>
      <c r="Y141" s="184">
        <v>2700</v>
      </c>
      <c r="Z141" s="184">
        <v>2700</v>
      </c>
      <c r="AA141" s="184">
        <v>2700</v>
      </c>
      <c r="AB141" s="184">
        <v>2700</v>
      </c>
      <c r="AC141" s="184">
        <v>2700</v>
      </c>
      <c r="AD141" s="184">
        <v>2700</v>
      </c>
      <c r="AE141" s="184">
        <v>2400</v>
      </c>
      <c r="AF141" s="184">
        <v>2400</v>
      </c>
      <c r="AG141" s="184">
        <v>2400</v>
      </c>
      <c r="AH141" s="184">
        <v>2150</v>
      </c>
      <c r="AI141" s="184">
        <v>2150</v>
      </c>
      <c r="AJ141" s="184">
        <v>2150</v>
      </c>
      <c r="AK141" s="184">
        <v>2150</v>
      </c>
      <c r="AL141" s="184">
        <v>2150</v>
      </c>
      <c r="AM141" s="184">
        <v>2150</v>
      </c>
      <c r="AN141" s="184">
        <v>2150</v>
      </c>
      <c r="AO141" s="184">
        <v>2150</v>
      </c>
      <c r="AP141" s="184">
        <v>2150</v>
      </c>
      <c r="AQ141" s="184">
        <v>2150</v>
      </c>
      <c r="AR141" s="184">
        <v>2250</v>
      </c>
      <c r="AS141" s="184">
        <v>2250</v>
      </c>
      <c r="AT141" s="184">
        <v>2250</v>
      </c>
      <c r="AU141" s="184">
        <v>2250</v>
      </c>
      <c r="AV141" s="184">
        <v>2250</v>
      </c>
      <c r="AW141" s="184">
        <v>2680</v>
      </c>
      <c r="AX141" s="184">
        <v>2680</v>
      </c>
      <c r="AY141" s="146">
        <f t="shared" si="47"/>
        <v>2180</v>
      </c>
      <c r="AZ141" s="146">
        <f t="shared" si="59"/>
        <v>2180</v>
      </c>
      <c r="BA141" s="146">
        <f t="shared" si="59"/>
        <v>2180</v>
      </c>
      <c r="BB141" s="184"/>
      <c r="BC141" s="184"/>
      <c r="BD141" s="184"/>
      <c r="BE141" s="184"/>
      <c r="BF141" s="184">
        <v>1870</v>
      </c>
      <c r="BG141" s="184">
        <v>1870</v>
      </c>
      <c r="BH141" s="184">
        <v>1870</v>
      </c>
      <c r="BI141" s="184"/>
      <c r="BJ141" s="184"/>
      <c r="BK141" s="184"/>
      <c r="BL141" s="184">
        <v>1670</v>
      </c>
      <c r="BM141" s="184">
        <v>1670</v>
      </c>
      <c r="BN141" s="184">
        <v>1670</v>
      </c>
      <c r="BO141" s="184">
        <v>1850</v>
      </c>
      <c r="BP141" s="184">
        <v>1850</v>
      </c>
      <c r="BQ141" s="184">
        <v>1850</v>
      </c>
      <c r="BR141" s="184"/>
      <c r="BS141" s="184"/>
      <c r="BT141" s="184"/>
      <c r="BU141" s="146" cm="1">
        <f t="array" ref="BU141">LOOKUP(2,1/(Y141:BT141&lt;&gt;""),Y141:BH141)</f>
        <v>1850</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46199</v>
      </c>
      <c r="BW141" s="211" cm="1">
        <f t="array" ref="BW141">(LOOKUP(2,1/(BH141:BT141&lt;&gt;""),BH141:BT141))/(INDEX(BH141:BT141,MATCH(TRUE,INDEX((BH141:BT141&lt;&gt;0),0),0)))-1</f>
        <v>-1.0695187165775444E-2</v>
      </c>
      <c r="BX141" s="212">
        <f t="shared" si="50"/>
        <v>1.85</v>
      </c>
      <c r="BY141" s="212">
        <f t="shared" si="49"/>
        <v>10.915000000000001</v>
      </c>
      <c r="BZ141" s="212">
        <f ca="1">IF(L141="BR",'Impostos e Frete'!$F$6,IF(L141="EU",'Impostos e Frete'!$I$3,IF(L141="CN",'Impostos e Frete'!$I$4,IF(L141="JP",'Impostos e Frete'!$I$5,IF(L141="RU",'Impostos e Frete'!$I$7,"ERRO")))))</f>
        <v>0.14176320000000001</v>
      </c>
      <c r="CA141" s="212">
        <f>VLOOKUP(L141,'Impostos e Frete'!$A$3:$B$7,2,0)*'Preços e Condições'!BY141</f>
        <v>1.4189500000000002</v>
      </c>
      <c r="CB141" s="147">
        <f t="shared" si="51"/>
        <v>0</v>
      </c>
      <c r="CC141" s="147">
        <f>IF(X141="BRL",'Impostos e Frete'!$B$11,'Impostos e Frete'!$B$12)</f>
        <v>9.1999999999999998E-2</v>
      </c>
      <c r="CD141" s="213">
        <f t="shared" ca="1" si="52"/>
        <v>12.567713200000002</v>
      </c>
      <c r="CE141" s="214">
        <f t="shared" ca="1" si="53"/>
        <v>0.9802816296000002</v>
      </c>
      <c r="CF141" s="215">
        <f>VLOOKUP(L141,'Impostos e Frete'!$A$3:$C$7,3,0)</f>
        <v>105</v>
      </c>
      <c r="CG141" s="215">
        <f t="shared" si="54"/>
        <v>30</v>
      </c>
      <c r="CH141" s="215">
        <f t="shared" si="55"/>
        <v>-75</v>
      </c>
      <c r="CI141" s="216">
        <f t="shared" ca="1" si="56"/>
        <v>0.47660447927426475</v>
      </c>
      <c r="CJ141" s="217">
        <f t="shared" ca="1" si="57"/>
        <v>13.044317679274267</v>
      </c>
      <c r="CK141" s="218">
        <f t="shared" ca="1" si="58"/>
        <v>1.0174567789833928</v>
      </c>
    </row>
    <row r="142" spans="1:89">
      <c r="A142" s="176">
        <v>19510</v>
      </c>
      <c r="B142" s="177">
        <v>104</v>
      </c>
      <c r="C142" s="178">
        <v>78</v>
      </c>
      <c r="D142" s="178">
        <v>1870</v>
      </c>
      <c r="E142" s="178" t="s">
        <v>50</v>
      </c>
      <c r="F142" s="179" t="s">
        <v>108</v>
      </c>
      <c r="G142" s="189" t="s">
        <v>114</v>
      </c>
      <c r="H142" s="178" t="s">
        <v>43</v>
      </c>
      <c r="I142" s="178" t="s">
        <v>118</v>
      </c>
      <c r="J142" s="178"/>
      <c r="K142" s="178"/>
      <c r="L142" s="178" t="s">
        <v>59</v>
      </c>
      <c r="M142" s="178">
        <v>30</v>
      </c>
      <c r="N142" s="178">
        <v>500</v>
      </c>
      <c r="O142" s="178"/>
      <c r="P142" s="178"/>
      <c r="Q142" s="178"/>
      <c r="R142" s="178" t="s">
        <v>19</v>
      </c>
      <c r="S142" s="181"/>
      <c r="T142" s="181"/>
      <c r="U142" s="182"/>
      <c r="V142" s="182" t="s">
        <v>35</v>
      </c>
      <c r="W142" s="183">
        <v>20</v>
      </c>
      <c r="X142" s="182" t="s">
        <v>51</v>
      </c>
      <c r="Y142" s="184">
        <v>3200</v>
      </c>
      <c r="Z142" s="184">
        <v>3200</v>
      </c>
      <c r="AA142" s="184">
        <v>3200</v>
      </c>
      <c r="AB142" s="184">
        <v>3200</v>
      </c>
      <c r="AC142" s="184">
        <v>3200</v>
      </c>
      <c r="AD142" s="184">
        <v>3200</v>
      </c>
      <c r="AE142" s="184">
        <v>2900</v>
      </c>
      <c r="AF142" s="184">
        <v>2900</v>
      </c>
      <c r="AG142" s="184">
        <v>2900</v>
      </c>
      <c r="AH142" s="184">
        <v>2650</v>
      </c>
      <c r="AI142" s="184">
        <v>2650</v>
      </c>
      <c r="AJ142" s="184">
        <v>2650</v>
      </c>
      <c r="AK142" s="184">
        <v>2650</v>
      </c>
      <c r="AL142" s="184">
        <v>2650</v>
      </c>
      <c r="AM142" s="184">
        <v>2650</v>
      </c>
      <c r="AN142" s="184">
        <v>2650</v>
      </c>
      <c r="AO142" s="184">
        <v>2650</v>
      </c>
      <c r="AP142" s="184">
        <v>2650</v>
      </c>
      <c r="AQ142" s="184">
        <v>2650</v>
      </c>
      <c r="AR142" s="184">
        <v>2750</v>
      </c>
      <c r="AS142" s="184">
        <v>2750</v>
      </c>
      <c r="AT142" s="184">
        <v>2750</v>
      </c>
      <c r="AU142" s="184">
        <v>2750</v>
      </c>
      <c r="AV142" s="184">
        <v>2750</v>
      </c>
      <c r="AW142" s="184">
        <v>2730</v>
      </c>
      <c r="AX142" s="184">
        <v>2730</v>
      </c>
      <c r="AY142" s="146">
        <f t="shared" si="47"/>
        <v>2230</v>
      </c>
      <c r="AZ142" s="146">
        <f t="shared" si="59"/>
        <v>2230</v>
      </c>
      <c r="BA142" s="146">
        <f t="shared" si="59"/>
        <v>2230</v>
      </c>
      <c r="BB142" s="184"/>
      <c r="BC142" s="184"/>
      <c r="BD142" s="184"/>
      <c r="BE142" s="184"/>
      <c r="BF142" s="184">
        <v>1920</v>
      </c>
      <c r="BG142" s="184">
        <v>1920</v>
      </c>
      <c r="BH142" s="184">
        <v>1920</v>
      </c>
      <c r="BI142" s="184"/>
      <c r="BJ142" s="184"/>
      <c r="BK142" s="184"/>
      <c r="BL142" s="184">
        <v>1720</v>
      </c>
      <c r="BM142" s="184">
        <v>1720</v>
      </c>
      <c r="BN142" s="184">
        <v>1720</v>
      </c>
      <c r="BO142" s="184">
        <v>2350</v>
      </c>
      <c r="BP142" s="184">
        <v>2350</v>
      </c>
      <c r="BQ142" s="184">
        <v>2350</v>
      </c>
      <c r="BR142" s="184"/>
      <c r="BS142" s="184"/>
      <c r="BT142" s="184"/>
      <c r="BU142" s="146" cm="1">
        <f t="array" ref="BU142">LOOKUP(2,1/(Y142:BT142&lt;&gt;""),Y142:BH142)</f>
        <v>2350</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46199</v>
      </c>
      <c r="BW142" s="211" cm="1">
        <f t="array" ref="BW142">(LOOKUP(2,1/(BH142:BT142&lt;&gt;""),BH142:BT142))/(INDEX(BH142:BT142,MATCH(TRUE,INDEX((BH142:BT142&lt;&gt;0),0),0)))-1</f>
        <v>0.22395833333333326</v>
      </c>
      <c r="BX142" s="212">
        <f t="shared" si="50"/>
        <v>2.35</v>
      </c>
      <c r="BY142" s="212">
        <f t="shared" si="49"/>
        <v>13.865000000000002</v>
      </c>
      <c r="BZ142" s="212">
        <f ca="1">IF(L142="BR",'Impostos e Frete'!$F$6,IF(L142="EU",'Impostos e Frete'!$I$3,IF(L142="CN",'Impostos e Frete'!$I$4,IF(L142="JP",'Impostos e Frete'!$I$5,IF(L142="RU",'Impostos e Frete'!$I$7,"ERRO")))))</f>
        <v>0.14176320000000001</v>
      </c>
      <c r="CA142" s="212">
        <f>VLOOKUP(L142,'Impostos e Frete'!$A$3:$B$7,2,0)*'Preços e Condições'!BY142</f>
        <v>1.8024500000000003</v>
      </c>
      <c r="CB142" s="147">
        <f t="shared" si="51"/>
        <v>0</v>
      </c>
      <c r="CC142" s="147">
        <f>IF(X142="BRL",'Impostos e Frete'!$B$11,'Impostos e Frete'!$B$12)</f>
        <v>9.1999999999999998E-2</v>
      </c>
      <c r="CD142" s="213">
        <f t="shared" ca="1" si="52"/>
        <v>15.901213200000003</v>
      </c>
      <c r="CE142" s="214">
        <f t="shared" ca="1" si="53"/>
        <v>1.2402946296000004</v>
      </c>
      <c r="CF142" s="215">
        <f>VLOOKUP(L142,'Impostos e Frete'!$A$3:$C$7,3,0)</f>
        <v>105</v>
      </c>
      <c r="CG142" s="215">
        <f t="shared" si="54"/>
        <v>30</v>
      </c>
      <c r="CH142" s="215">
        <f t="shared" si="55"/>
        <v>-75</v>
      </c>
      <c r="CI142" s="216">
        <f t="shared" ca="1" si="56"/>
        <v>0.60302055882490002</v>
      </c>
      <c r="CJ142" s="217">
        <f t="shared" ca="1" si="57"/>
        <v>16.504233758824903</v>
      </c>
      <c r="CK142" s="218">
        <f t="shared" ca="1" si="58"/>
        <v>1.2873302331883423</v>
      </c>
    </row>
    <row r="143" spans="1:89">
      <c r="A143" s="176">
        <v>19521</v>
      </c>
      <c r="B143" s="177">
        <v>104</v>
      </c>
      <c r="C143" s="178">
        <v>78</v>
      </c>
      <c r="D143" s="178">
        <v>1860</v>
      </c>
      <c r="E143" s="178" t="s">
        <v>49</v>
      </c>
      <c r="F143" s="179" t="s">
        <v>108</v>
      </c>
      <c r="G143" s="189" t="s">
        <v>114</v>
      </c>
      <c r="H143" s="178" t="s">
        <v>43</v>
      </c>
      <c r="I143" s="178" t="s">
        <v>118</v>
      </c>
      <c r="J143" s="178"/>
      <c r="K143" s="178"/>
      <c r="L143" s="178" t="s">
        <v>59</v>
      </c>
      <c r="M143" s="178">
        <v>30</v>
      </c>
      <c r="N143" s="178">
        <v>500</v>
      </c>
      <c r="O143" s="178"/>
      <c r="P143" s="178"/>
      <c r="Q143" s="178"/>
      <c r="R143" s="178" t="s">
        <v>19</v>
      </c>
      <c r="S143" s="181"/>
      <c r="T143" s="181"/>
      <c r="U143" s="182"/>
      <c r="V143" s="182" t="s">
        <v>35</v>
      </c>
      <c r="W143" s="183">
        <v>200</v>
      </c>
      <c r="X143" s="182" t="s">
        <v>51</v>
      </c>
      <c r="Y143" s="184">
        <v>2500</v>
      </c>
      <c r="Z143" s="184">
        <v>2500</v>
      </c>
      <c r="AA143" s="184">
        <v>2500</v>
      </c>
      <c r="AB143" s="184">
        <v>2500</v>
      </c>
      <c r="AC143" s="184">
        <v>2500</v>
      </c>
      <c r="AD143" s="184">
        <v>2500</v>
      </c>
      <c r="AE143" s="184">
        <v>2200</v>
      </c>
      <c r="AF143" s="184">
        <v>2200</v>
      </c>
      <c r="AG143" s="184">
        <v>2000</v>
      </c>
      <c r="AH143" s="184">
        <v>1950</v>
      </c>
      <c r="AI143" s="184">
        <v>1950</v>
      </c>
      <c r="AJ143" s="184">
        <v>1950</v>
      </c>
      <c r="AK143" s="184">
        <v>1950</v>
      </c>
      <c r="AL143" s="184">
        <v>1950</v>
      </c>
      <c r="AM143" s="184">
        <v>1950</v>
      </c>
      <c r="AN143" s="184">
        <v>1900</v>
      </c>
      <c r="AO143" s="184">
        <v>1900</v>
      </c>
      <c r="AP143" s="184">
        <v>1900</v>
      </c>
      <c r="AQ143" s="184">
        <v>1900</v>
      </c>
      <c r="AR143" s="184">
        <v>1900</v>
      </c>
      <c r="AS143" s="184">
        <v>1900</v>
      </c>
      <c r="AT143" s="184">
        <v>1900</v>
      </c>
      <c r="AU143" s="184"/>
      <c r="AV143" s="184"/>
      <c r="AW143" s="184">
        <v>2660</v>
      </c>
      <c r="AX143" s="184">
        <v>2660</v>
      </c>
      <c r="AY143" s="146">
        <f t="shared" si="47"/>
        <v>2160</v>
      </c>
      <c r="AZ143" s="146">
        <f t="shared" si="59"/>
        <v>2160</v>
      </c>
      <c r="BA143" s="146">
        <f t="shared" si="59"/>
        <v>2160</v>
      </c>
      <c r="BB143" s="184"/>
      <c r="BC143" s="184"/>
      <c r="BD143" s="184"/>
      <c r="BE143" s="184"/>
      <c r="BF143" s="184"/>
      <c r="BG143" s="146">
        <f>2160-500</f>
        <v>1660</v>
      </c>
      <c r="BH143" s="146">
        <f>2160-500</f>
        <v>1660</v>
      </c>
      <c r="BI143" s="184"/>
      <c r="BJ143" s="184"/>
      <c r="BK143" s="184"/>
      <c r="BL143" s="184"/>
      <c r="BM143" s="184"/>
      <c r="BN143" s="184"/>
      <c r="BO143" s="184"/>
      <c r="BP143" s="184"/>
      <c r="BQ143" s="184"/>
      <c r="BR143" s="184"/>
      <c r="BS143" s="184"/>
      <c r="BT143" s="184"/>
      <c r="BU143" s="146" cm="1">
        <f t="array" ref="BU143">LOOKUP(2,1/(Y143:BT143&lt;&gt;""),Y143:BH143)</f>
        <v>1660</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45992</v>
      </c>
      <c r="BW143" s="211" cm="1">
        <f t="array" ref="BW143">(LOOKUP(2,1/(BH143:BT143&lt;&gt;""),BH143:BT143))/(INDEX(BH143:BT143,MATCH(TRUE,INDEX((BH143:BT143&lt;&gt;0),0),0)))-1</f>
        <v>0</v>
      </c>
      <c r="BX143" s="212">
        <f t="shared" si="50"/>
        <v>1.66</v>
      </c>
      <c r="BY143" s="212">
        <f t="shared" si="49"/>
        <v>9.7940000000000005</v>
      </c>
      <c r="BZ143" s="212">
        <f ca="1">IF(L143="BR",'Impostos e Frete'!$F$6,IF(L143="EU",'Impostos e Frete'!$I$3,IF(L143="CN",'Impostos e Frete'!$I$4,IF(L143="JP",'Impostos e Frete'!$I$5,IF(L143="RU",'Impostos e Frete'!$I$7,"ERRO")))))</f>
        <v>0.14176320000000001</v>
      </c>
      <c r="CA143" s="212">
        <f>VLOOKUP(L143,'Impostos e Frete'!$A$3:$B$7,2,0)*'Preços e Condições'!BY143</f>
        <v>1.27322</v>
      </c>
      <c r="CB143" s="147">
        <f t="shared" si="51"/>
        <v>0</v>
      </c>
      <c r="CC143" s="147">
        <f>IF(X143="BRL",'Impostos e Frete'!$B$11,'Impostos e Frete'!$B$12)</f>
        <v>9.1999999999999998E-2</v>
      </c>
      <c r="CD143" s="213">
        <f t="shared" ca="1" si="52"/>
        <v>11.300983200000001</v>
      </c>
      <c r="CE143" s="214">
        <f t="shared" ca="1" si="53"/>
        <v>0.88147668960000014</v>
      </c>
      <c r="CF143" s="215">
        <f>VLOOKUP(L143,'Impostos e Frete'!$A$3:$C$7,3,0)</f>
        <v>105</v>
      </c>
      <c r="CG143" s="215">
        <f t="shared" si="54"/>
        <v>30</v>
      </c>
      <c r="CH143" s="215">
        <f t="shared" si="55"/>
        <v>-75</v>
      </c>
      <c r="CI143" s="216">
        <f t="shared" ca="1" si="56"/>
        <v>0.42856636904502388</v>
      </c>
      <c r="CJ143" s="217">
        <f t="shared" ca="1" si="57"/>
        <v>11.729549569045025</v>
      </c>
      <c r="CK143" s="218">
        <f t="shared" ca="1" si="58"/>
        <v>0.91490486638551194</v>
      </c>
    </row>
    <row r="144" spans="1:89">
      <c r="A144" s="176">
        <v>19521</v>
      </c>
      <c r="B144" s="177">
        <v>104</v>
      </c>
      <c r="C144" s="178">
        <v>78</v>
      </c>
      <c r="D144" s="178">
        <v>1860</v>
      </c>
      <c r="E144" s="178" t="s">
        <v>49</v>
      </c>
      <c r="F144" s="179" t="s">
        <v>108</v>
      </c>
      <c r="G144" s="189" t="s">
        <v>114</v>
      </c>
      <c r="H144" s="178" t="s">
        <v>43</v>
      </c>
      <c r="I144" s="178" t="s">
        <v>118</v>
      </c>
      <c r="J144" s="178"/>
      <c r="K144" s="178"/>
      <c r="L144" s="178" t="s">
        <v>59</v>
      </c>
      <c r="M144" s="178">
        <v>30</v>
      </c>
      <c r="N144" s="178">
        <v>500</v>
      </c>
      <c r="O144" s="178"/>
      <c r="P144" s="178"/>
      <c r="Q144" s="178"/>
      <c r="R144" s="178" t="s">
        <v>19</v>
      </c>
      <c r="S144" s="181"/>
      <c r="T144" s="181"/>
      <c r="U144" s="182"/>
      <c r="V144" s="182" t="s">
        <v>35</v>
      </c>
      <c r="W144" s="183">
        <v>80</v>
      </c>
      <c r="X144" s="182" t="s">
        <v>51</v>
      </c>
      <c r="Y144" s="184">
        <v>2500</v>
      </c>
      <c r="Z144" s="184">
        <v>2500</v>
      </c>
      <c r="AA144" s="184">
        <v>2500</v>
      </c>
      <c r="AB144" s="184">
        <v>2500</v>
      </c>
      <c r="AC144" s="184">
        <v>2500</v>
      </c>
      <c r="AD144" s="184">
        <v>2500</v>
      </c>
      <c r="AE144" s="184">
        <v>2200</v>
      </c>
      <c r="AF144" s="184">
        <v>2200</v>
      </c>
      <c r="AG144" s="184">
        <v>2000</v>
      </c>
      <c r="AH144" s="184">
        <v>1950</v>
      </c>
      <c r="AI144" s="184">
        <v>1950</v>
      </c>
      <c r="AJ144" s="184">
        <v>1950</v>
      </c>
      <c r="AK144" s="184">
        <v>1950</v>
      </c>
      <c r="AL144" s="184">
        <v>1950</v>
      </c>
      <c r="AM144" s="184">
        <v>1950</v>
      </c>
      <c r="AN144" s="184">
        <v>1950</v>
      </c>
      <c r="AO144" s="184">
        <v>1950</v>
      </c>
      <c r="AP144" s="184">
        <v>1950</v>
      </c>
      <c r="AQ144" s="184">
        <v>1950</v>
      </c>
      <c r="AR144" s="184">
        <v>2050</v>
      </c>
      <c r="AS144" s="184">
        <v>2050</v>
      </c>
      <c r="AT144" s="184">
        <v>2050</v>
      </c>
      <c r="AU144" s="184">
        <v>2050</v>
      </c>
      <c r="AV144" s="184">
        <v>2050</v>
      </c>
      <c r="AW144" s="184">
        <v>2660</v>
      </c>
      <c r="AX144" s="184">
        <v>2660</v>
      </c>
      <c r="AY144" s="146">
        <f t="shared" si="47"/>
        <v>2160</v>
      </c>
      <c r="AZ144" s="146">
        <f t="shared" si="59"/>
        <v>2160</v>
      </c>
      <c r="BA144" s="146">
        <f t="shared" si="59"/>
        <v>2160</v>
      </c>
      <c r="BB144" s="184"/>
      <c r="BC144" s="184"/>
      <c r="BD144" s="184"/>
      <c r="BE144" s="184"/>
      <c r="BF144" s="184">
        <v>1850</v>
      </c>
      <c r="BG144" s="184">
        <v>1850</v>
      </c>
      <c r="BH144" s="184">
        <v>1850</v>
      </c>
      <c r="BI144" s="184"/>
      <c r="BJ144" s="184"/>
      <c r="BK144" s="184"/>
      <c r="BL144" s="184">
        <v>1650</v>
      </c>
      <c r="BM144" s="184">
        <v>1650</v>
      </c>
      <c r="BN144" s="184">
        <v>1650</v>
      </c>
      <c r="BO144" s="184">
        <v>1650</v>
      </c>
      <c r="BP144" s="184">
        <v>1650</v>
      </c>
      <c r="BQ144" s="184">
        <v>1650</v>
      </c>
      <c r="BR144" s="184"/>
      <c r="BS144" s="184"/>
      <c r="BT144" s="184"/>
      <c r="BU144" s="146" cm="1">
        <f t="array" ref="BU144">LOOKUP(2,1/(Y144:BT144&lt;&gt;""),Y144:BH144)</f>
        <v>1650</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46199</v>
      </c>
      <c r="BW144" s="211" cm="1">
        <f t="array" ref="BW144">(LOOKUP(2,1/(BH144:BT144&lt;&gt;""),BH144:BT144))/(INDEX(BH144:BT144,MATCH(TRUE,INDEX((BH144:BT144&lt;&gt;0),0),0)))-1</f>
        <v>-0.10810810810810811</v>
      </c>
      <c r="BX144" s="212">
        <f t="shared" si="50"/>
        <v>1.65</v>
      </c>
      <c r="BY144" s="212">
        <f t="shared" si="49"/>
        <v>9.7349999999999994</v>
      </c>
      <c r="BZ144" s="212">
        <f ca="1">IF(L144="BR",'Impostos e Frete'!$F$6,IF(L144="EU",'Impostos e Frete'!$I$3,IF(L144="CN",'Impostos e Frete'!$I$4,IF(L144="JP",'Impostos e Frete'!$I$5,IF(L144="RU",'Impostos e Frete'!$I$7,"ERRO")))))</f>
        <v>0.14176320000000001</v>
      </c>
      <c r="CA144" s="212">
        <f>VLOOKUP(L144,'Impostos e Frete'!$A$3:$B$7,2,0)*'Preços e Condições'!BY144</f>
        <v>1.26555</v>
      </c>
      <c r="CB144" s="147">
        <f t="shared" si="51"/>
        <v>0</v>
      </c>
      <c r="CC144" s="147">
        <f>IF(X144="BRL",'Impostos e Frete'!$B$11,'Impostos e Frete'!$B$12)</f>
        <v>9.1999999999999998E-2</v>
      </c>
      <c r="CD144" s="213">
        <f t="shared" ca="1" si="52"/>
        <v>11.234313199999999</v>
      </c>
      <c r="CE144" s="214">
        <f t="shared" ca="1" si="53"/>
        <v>0.87627642959999985</v>
      </c>
      <c r="CF144" s="215">
        <f>VLOOKUP(L144,'Impostos e Frete'!$A$3:$C$7,3,0)</f>
        <v>105</v>
      </c>
      <c r="CG144" s="215">
        <f t="shared" si="54"/>
        <v>30</v>
      </c>
      <c r="CH144" s="215">
        <f t="shared" si="55"/>
        <v>-75</v>
      </c>
      <c r="CI144" s="216">
        <f t="shared" ca="1" si="56"/>
        <v>0.42603804745401064</v>
      </c>
      <c r="CJ144" s="217">
        <f t="shared" ca="1" si="57"/>
        <v>11.66035124745401</v>
      </c>
      <c r="CK144" s="218">
        <f t="shared" ca="1" si="58"/>
        <v>0.90950739730141272</v>
      </c>
    </row>
    <row r="145" spans="1:89">
      <c r="A145" s="176">
        <v>19521</v>
      </c>
      <c r="B145" s="177">
        <v>104</v>
      </c>
      <c r="C145" s="178">
        <v>78</v>
      </c>
      <c r="D145" s="178">
        <v>1860</v>
      </c>
      <c r="E145" s="178" t="s">
        <v>49</v>
      </c>
      <c r="F145" s="179" t="s">
        <v>108</v>
      </c>
      <c r="G145" s="189" t="s">
        <v>114</v>
      </c>
      <c r="H145" s="178" t="s">
        <v>43</v>
      </c>
      <c r="I145" s="178" t="s">
        <v>118</v>
      </c>
      <c r="J145" s="178"/>
      <c r="K145" s="178"/>
      <c r="L145" s="178" t="s">
        <v>59</v>
      </c>
      <c r="M145" s="178">
        <v>30</v>
      </c>
      <c r="N145" s="178">
        <v>500</v>
      </c>
      <c r="O145" s="178"/>
      <c r="P145" s="178"/>
      <c r="Q145" s="178"/>
      <c r="R145" s="178" t="s">
        <v>19</v>
      </c>
      <c r="S145" s="181"/>
      <c r="T145" s="181"/>
      <c r="U145" s="182"/>
      <c r="V145" s="182" t="s">
        <v>35</v>
      </c>
      <c r="W145" s="183">
        <v>50</v>
      </c>
      <c r="X145" s="182" t="s">
        <v>51</v>
      </c>
      <c r="Y145" s="184">
        <v>2700</v>
      </c>
      <c r="Z145" s="184">
        <v>2700</v>
      </c>
      <c r="AA145" s="184">
        <v>2700</v>
      </c>
      <c r="AB145" s="184">
        <v>2700</v>
      </c>
      <c r="AC145" s="184">
        <v>2700</v>
      </c>
      <c r="AD145" s="184">
        <v>2700</v>
      </c>
      <c r="AE145" s="184">
        <v>2400</v>
      </c>
      <c r="AF145" s="184">
        <v>2400</v>
      </c>
      <c r="AG145" s="184">
        <v>2400</v>
      </c>
      <c r="AH145" s="184">
        <v>2150</v>
      </c>
      <c r="AI145" s="184">
        <v>2150</v>
      </c>
      <c r="AJ145" s="184">
        <v>2150</v>
      </c>
      <c r="AK145" s="184">
        <v>2150</v>
      </c>
      <c r="AL145" s="184">
        <v>2150</v>
      </c>
      <c r="AM145" s="184">
        <v>2150</v>
      </c>
      <c r="AN145" s="184">
        <v>2150</v>
      </c>
      <c r="AO145" s="184">
        <v>2150</v>
      </c>
      <c r="AP145" s="184">
        <v>2150</v>
      </c>
      <c r="AQ145" s="184">
        <v>2150</v>
      </c>
      <c r="AR145" s="184">
        <v>2250</v>
      </c>
      <c r="AS145" s="184">
        <v>2250</v>
      </c>
      <c r="AT145" s="184">
        <v>2250</v>
      </c>
      <c r="AU145" s="184">
        <v>2250</v>
      </c>
      <c r="AV145" s="184">
        <v>2250</v>
      </c>
      <c r="AW145" s="184">
        <v>2680</v>
      </c>
      <c r="AX145" s="184">
        <v>2680</v>
      </c>
      <c r="AY145" s="146">
        <f t="shared" si="47"/>
        <v>2180</v>
      </c>
      <c r="AZ145" s="146">
        <f t="shared" si="59"/>
        <v>2180</v>
      </c>
      <c r="BA145" s="146">
        <f t="shared" si="59"/>
        <v>2180</v>
      </c>
      <c r="BB145" s="184"/>
      <c r="BC145" s="184"/>
      <c r="BD145" s="184"/>
      <c r="BE145" s="184"/>
      <c r="BF145" s="184">
        <v>1870</v>
      </c>
      <c r="BG145" s="184">
        <v>1870</v>
      </c>
      <c r="BH145" s="184">
        <v>1870</v>
      </c>
      <c r="BI145" s="184"/>
      <c r="BJ145" s="184"/>
      <c r="BK145" s="184"/>
      <c r="BL145" s="184">
        <v>1670</v>
      </c>
      <c r="BM145" s="184">
        <v>1670</v>
      </c>
      <c r="BN145" s="184">
        <v>1670</v>
      </c>
      <c r="BO145" s="184">
        <v>1850</v>
      </c>
      <c r="BP145" s="184">
        <v>1850</v>
      </c>
      <c r="BQ145" s="184">
        <v>1850</v>
      </c>
      <c r="BR145" s="184"/>
      <c r="BS145" s="184"/>
      <c r="BT145" s="184"/>
      <c r="BU145" s="146" cm="1">
        <f t="array" ref="BU145">LOOKUP(2,1/(Y145:BT145&lt;&gt;""),Y145:BH145)</f>
        <v>1850</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46199</v>
      </c>
      <c r="BW145" s="211" cm="1">
        <f t="array" ref="BW145">(LOOKUP(2,1/(BH145:BT145&lt;&gt;""),BH145:BT145))/(INDEX(BH145:BT145,MATCH(TRUE,INDEX((BH145:BT145&lt;&gt;0),0),0)))-1</f>
        <v>-1.0695187165775444E-2</v>
      </c>
      <c r="BX145" s="212">
        <f t="shared" si="50"/>
        <v>1.85</v>
      </c>
      <c r="BY145" s="212">
        <f t="shared" si="49"/>
        <v>10.915000000000001</v>
      </c>
      <c r="BZ145" s="212">
        <f ca="1">IF(L145="BR",'Impostos e Frete'!$F$6,IF(L145="EU",'Impostos e Frete'!$I$3,IF(L145="CN",'Impostos e Frete'!$I$4,IF(L145="JP",'Impostos e Frete'!$I$5,IF(L145="RU",'Impostos e Frete'!$I$7,"ERRO")))))</f>
        <v>0.14176320000000001</v>
      </c>
      <c r="CA145" s="212">
        <f>VLOOKUP(L145,'Impostos e Frete'!$A$3:$B$7,2,0)*'Preços e Condições'!BY145</f>
        <v>1.4189500000000002</v>
      </c>
      <c r="CB145" s="147">
        <f t="shared" si="51"/>
        <v>0</v>
      </c>
      <c r="CC145" s="147">
        <f>IF(X145="BRL",'Impostos e Frete'!$B$11,'Impostos e Frete'!$B$12)</f>
        <v>9.1999999999999998E-2</v>
      </c>
      <c r="CD145" s="213">
        <f t="shared" ca="1" si="52"/>
        <v>12.567713200000002</v>
      </c>
      <c r="CE145" s="214">
        <f t="shared" ca="1" si="53"/>
        <v>0.9802816296000002</v>
      </c>
      <c r="CF145" s="215">
        <f>VLOOKUP(L145,'Impostos e Frete'!$A$3:$C$7,3,0)</f>
        <v>105</v>
      </c>
      <c r="CG145" s="215">
        <f t="shared" si="54"/>
        <v>30</v>
      </c>
      <c r="CH145" s="215">
        <f t="shared" si="55"/>
        <v>-75</v>
      </c>
      <c r="CI145" s="216">
        <f t="shared" ca="1" si="56"/>
        <v>0.47660447927426475</v>
      </c>
      <c r="CJ145" s="217">
        <f t="shared" ca="1" si="57"/>
        <v>13.044317679274267</v>
      </c>
      <c r="CK145" s="218">
        <f t="shared" ca="1" si="58"/>
        <v>1.0174567789833928</v>
      </c>
    </row>
    <row r="146" spans="1:89">
      <c r="A146" s="176">
        <v>19521</v>
      </c>
      <c r="B146" s="177">
        <v>104</v>
      </c>
      <c r="C146" s="178">
        <v>78</v>
      </c>
      <c r="D146" s="178">
        <v>1860</v>
      </c>
      <c r="E146" s="178" t="s">
        <v>49</v>
      </c>
      <c r="F146" s="179" t="s">
        <v>108</v>
      </c>
      <c r="G146" s="189" t="s">
        <v>114</v>
      </c>
      <c r="H146" s="178" t="s">
        <v>43</v>
      </c>
      <c r="I146" s="178" t="s">
        <v>118</v>
      </c>
      <c r="J146" s="178"/>
      <c r="K146" s="178"/>
      <c r="L146" s="178" t="s">
        <v>59</v>
      </c>
      <c r="M146" s="178">
        <v>30</v>
      </c>
      <c r="N146" s="178">
        <v>500</v>
      </c>
      <c r="O146" s="178"/>
      <c r="P146" s="178"/>
      <c r="Q146" s="178"/>
      <c r="R146" s="178" t="s">
        <v>19</v>
      </c>
      <c r="S146" s="181"/>
      <c r="T146" s="181"/>
      <c r="U146" s="182"/>
      <c r="V146" s="182" t="s">
        <v>35</v>
      </c>
      <c r="W146" s="183">
        <v>20</v>
      </c>
      <c r="X146" s="182" t="s">
        <v>51</v>
      </c>
      <c r="Y146" s="184">
        <v>3200</v>
      </c>
      <c r="Z146" s="184">
        <v>3200</v>
      </c>
      <c r="AA146" s="184">
        <v>3200</v>
      </c>
      <c r="AB146" s="184">
        <v>3200</v>
      </c>
      <c r="AC146" s="184">
        <v>3200</v>
      </c>
      <c r="AD146" s="184">
        <v>3200</v>
      </c>
      <c r="AE146" s="184">
        <v>2900</v>
      </c>
      <c r="AF146" s="184">
        <v>2900</v>
      </c>
      <c r="AG146" s="184">
        <v>2900</v>
      </c>
      <c r="AH146" s="184">
        <v>2650</v>
      </c>
      <c r="AI146" s="184">
        <v>2650</v>
      </c>
      <c r="AJ146" s="184">
        <v>2650</v>
      </c>
      <c r="AK146" s="184">
        <v>2650</v>
      </c>
      <c r="AL146" s="184">
        <v>2650</v>
      </c>
      <c r="AM146" s="184">
        <v>2650</v>
      </c>
      <c r="AN146" s="184">
        <v>2650</v>
      </c>
      <c r="AO146" s="184">
        <v>2650</v>
      </c>
      <c r="AP146" s="184">
        <v>2650</v>
      </c>
      <c r="AQ146" s="184">
        <v>2650</v>
      </c>
      <c r="AR146" s="184">
        <v>2750</v>
      </c>
      <c r="AS146" s="184">
        <v>2750</v>
      </c>
      <c r="AT146" s="184">
        <v>2750</v>
      </c>
      <c r="AU146" s="184">
        <v>2750</v>
      </c>
      <c r="AV146" s="184">
        <v>2750</v>
      </c>
      <c r="AW146" s="184">
        <v>2730</v>
      </c>
      <c r="AX146" s="184">
        <v>2730</v>
      </c>
      <c r="AY146" s="146">
        <f t="shared" si="47"/>
        <v>2230</v>
      </c>
      <c r="AZ146" s="146">
        <f t="shared" si="59"/>
        <v>2230</v>
      </c>
      <c r="BA146" s="146">
        <f t="shared" si="59"/>
        <v>2230</v>
      </c>
      <c r="BB146" s="184"/>
      <c r="BC146" s="184"/>
      <c r="BD146" s="184"/>
      <c r="BE146" s="184"/>
      <c r="BF146" s="184">
        <v>1920</v>
      </c>
      <c r="BG146" s="184">
        <v>1920</v>
      </c>
      <c r="BH146" s="184">
        <v>1920</v>
      </c>
      <c r="BI146" s="184"/>
      <c r="BJ146" s="184"/>
      <c r="BK146" s="184"/>
      <c r="BL146" s="184">
        <v>1720</v>
      </c>
      <c r="BM146" s="184">
        <v>1720</v>
      </c>
      <c r="BN146" s="184">
        <v>1720</v>
      </c>
      <c r="BO146" s="184">
        <v>2350</v>
      </c>
      <c r="BP146" s="184">
        <v>2350</v>
      </c>
      <c r="BQ146" s="184">
        <v>2350</v>
      </c>
      <c r="BR146" s="184"/>
      <c r="BS146" s="184"/>
      <c r="BT146" s="184"/>
      <c r="BU146" s="146" cm="1">
        <f t="array" ref="BU146">LOOKUP(2,1/(Y146:BT146&lt;&gt;""),Y146:BH146)</f>
        <v>2350</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46199</v>
      </c>
      <c r="BW146" s="211" cm="1">
        <f t="array" ref="BW146">(LOOKUP(2,1/(BH146:BT146&lt;&gt;""),BH146:BT146))/(INDEX(BH146:BT146,MATCH(TRUE,INDEX((BH146:BT146&lt;&gt;0),0),0)))-1</f>
        <v>0.22395833333333326</v>
      </c>
      <c r="BX146" s="212">
        <f t="shared" si="50"/>
        <v>2.35</v>
      </c>
      <c r="BY146" s="212">
        <f t="shared" si="49"/>
        <v>13.865000000000002</v>
      </c>
      <c r="BZ146" s="212">
        <f ca="1">IF(L146="BR",'Impostos e Frete'!$F$6,IF(L146="EU",'Impostos e Frete'!$I$3,IF(L146="CN",'Impostos e Frete'!$I$4,IF(L146="JP",'Impostos e Frete'!$I$5,IF(L146="RU",'Impostos e Frete'!$I$7,"ERRO")))))</f>
        <v>0.14176320000000001</v>
      </c>
      <c r="CA146" s="212">
        <f>VLOOKUP(L146,'Impostos e Frete'!$A$3:$B$7,2,0)*'Preços e Condições'!BY146</f>
        <v>1.8024500000000003</v>
      </c>
      <c r="CB146" s="147">
        <f t="shared" si="51"/>
        <v>0</v>
      </c>
      <c r="CC146" s="147">
        <f>IF(X146="BRL",'Impostos e Frete'!$B$11,'Impostos e Frete'!$B$12)</f>
        <v>9.1999999999999998E-2</v>
      </c>
      <c r="CD146" s="213">
        <f t="shared" ca="1" si="52"/>
        <v>15.901213200000003</v>
      </c>
      <c r="CE146" s="214">
        <f t="shared" ca="1" si="53"/>
        <v>1.2402946296000004</v>
      </c>
      <c r="CF146" s="215">
        <f>VLOOKUP(L146,'Impostos e Frete'!$A$3:$C$7,3,0)</f>
        <v>105</v>
      </c>
      <c r="CG146" s="215">
        <f t="shared" si="54"/>
        <v>30</v>
      </c>
      <c r="CH146" s="215">
        <f t="shared" si="55"/>
        <v>-75</v>
      </c>
      <c r="CI146" s="216">
        <f t="shared" ca="1" si="56"/>
        <v>0.60302055882490002</v>
      </c>
      <c r="CJ146" s="217">
        <f t="shared" ca="1" si="57"/>
        <v>16.504233758824903</v>
      </c>
      <c r="CK146" s="218">
        <f t="shared" ca="1" si="58"/>
        <v>1.2873302331883423</v>
      </c>
    </row>
    <row r="147" spans="1:89">
      <c r="A147" s="176">
        <v>19533</v>
      </c>
      <c r="B147" s="177">
        <v>104</v>
      </c>
      <c r="C147" s="178">
        <v>70</v>
      </c>
      <c r="D147" s="178">
        <v>1270</v>
      </c>
      <c r="E147" s="178" t="s">
        <v>50</v>
      </c>
      <c r="F147" s="179" t="s">
        <v>108</v>
      </c>
      <c r="G147" s="189" t="s">
        <v>441</v>
      </c>
      <c r="H147" s="178" t="s">
        <v>43</v>
      </c>
      <c r="I147" s="178" t="s">
        <v>118</v>
      </c>
      <c r="J147" s="178"/>
      <c r="K147" s="178"/>
      <c r="L147" s="178" t="s">
        <v>59</v>
      </c>
      <c r="M147" s="178">
        <v>30</v>
      </c>
      <c r="N147" s="178">
        <v>500</v>
      </c>
      <c r="O147" s="178"/>
      <c r="P147" s="178"/>
      <c r="Q147" s="178"/>
      <c r="R147" s="178" t="s">
        <v>19</v>
      </c>
      <c r="S147" s="181"/>
      <c r="T147" s="181"/>
      <c r="U147" s="182"/>
      <c r="V147" s="182" t="s">
        <v>35</v>
      </c>
      <c r="W147" s="183">
        <v>80</v>
      </c>
      <c r="X147" s="182" t="s">
        <v>51</v>
      </c>
      <c r="Y147" s="184">
        <v>2500</v>
      </c>
      <c r="Z147" s="184">
        <v>2500</v>
      </c>
      <c r="AA147" s="184">
        <v>2500</v>
      </c>
      <c r="AB147" s="184">
        <v>2500</v>
      </c>
      <c r="AC147" s="184">
        <v>2500</v>
      </c>
      <c r="AD147" s="184">
        <v>2500</v>
      </c>
      <c r="AE147" s="184">
        <v>2200</v>
      </c>
      <c r="AF147" s="184">
        <v>2200</v>
      </c>
      <c r="AG147" s="184">
        <v>2000</v>
      </c>
      <c r="AH147" s="184">
        <v>1950</v>
      </c>
      <c r="AI147" s="184">
        <v>1950</v>
      </c>
      <c r="AJ147" s="184">
        <v>1950</v>
      </c>
      <c r="AK147" s="184">
        <v>1950</v>
      </c>
      <c r="AL147" s="184">
        <v>1950</v>
      </c>
      <c r="AM147" s="184">
        <v>1950</v>
      </c>
      <c r="AN147" s="184">
        <v>1950</v>
      </c>
      <c r="AO147" s="184">
        <v>1950</v>
      </c>
      <c r="AP147" s="184">
        <v>1950</v>
      </c>
      <c r="AQ147" s="184">
        <v>1950</v>
      </c>
      <c r="AR147" s="184">
        <v>2050</v>
      </c>
      <c r="AS147" s="184">
        <v>2050</v>
      </c>
      <c r="AT147" s="184">
        <v>2050</v>
      </c>
      <c r="AU147" s="184">
        <v>2050</v>
      </c>
      <c r="AV147" s="184">
        <v>2050</v>
      </c>
      <c r="AW147" s="184">
        <v>2660</v>
      </c>
      <c r="AX147" s="184">
        <v>2660</v>
      </c>
      <c r="AY147" s="146">
        <f t="shared" ref="AY147:AY149" si="60">AX147-500</f>
        <v>2160</v>
      </c>
      <c r="AZ147" s="146">
        <f t="shared" ref="AZ147:AZ149" si="61">AY147</f>
        <v>2160</v>
      </c>
      <c r="BA147" s="146">
        <f t="shared" ref="BA147:BA149" si="62">AZ147</f>
        <v>2160</v>
      </c>
      <c r="BB147" s="184"/>
      <c r="BC147" s="184"/>
      <c r="BD147" s="184"/>
      <c r="BE147" s="184"/>
      <c r="BF147" s="184">
        <v>2330</v>
      </c>
      <c r="BG147" s="184">
        <v>2330</v>
      </c>
      <c r="BH147" s="184">
        <v>2330</v>
      </c>
      <c r="BI147" s="184"/>
      <c r="BJ147" s="184"/>
      <c r="BK147" s="184"/>
      <c r="BL147" s="184">
        <v>2890</v>
      </c>
      <c r="BM147" s="184">
        <v>2890</v>
      </c>
      <c r="BN147" s="184">
        <v>2890</v>
      </c>
      <c r="BO147" s="184">
        <v>2450</v>
      </c>
      <c r="BP147" s="184">
        <v>2450</v>
      </c>
      <c r="BQ147" s="184">
        <v>2450</v>
      </c>
      <c r="BR147" s="184"/>
      <c r="BS147" s="184"/>
      <c r="BT147" s="184"/>
      <c r="BU147" s="146" cm="1">
        <f t="array" ref="BU147">LOOKUP(2,1/(Y147:BT147&lt;&gt;""),Y147:BH147)</f>
        <v>2450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46199</v>
      </c>
      <c r="BW147" s="211" cm="1">
        <f t="array" ref="BW147">(LOOKUP(2,1/(BH147:BT147&lt;&gt;""),BH147:BT147))/(INDEX(BH147:BT147,MATCH(TRUE,INDEX((BH147:BT147&lt;&gt;0),0),0)))-1</f>
        <v>5.1502145922746712E-2</v>
      </c>
      <c r="BX147" s="212">
        <f t="shared" si="50"/>
        <v>2.4500000000000002</v>
      </c>
      <c r="BY147" s="212">
        <f t="shared" si="49"/>
        <v>14.455000000000002</v>
      </c>
      <c r="BZ147" s="212">
        <f ca="1">IF(L147="BR",'Impostos e Frete'!$F$6,IF(L147="EU",'Impostos e Frete'!$I$3,IF(L147="CN",'Impostos e Frete'!$I$4,IF(L147="JP",'Impostos e Frete'!$I$5,IF(L147="RU",'Impostos e Frete'!$I$7,"ERRO")))))</f>
        <v>0.14176320000000001</v>
      </c>
      <c r="CA147" s="212">
        <f>VLOOKUP(L147,'Impostos e Frete'!$A$3:$B$7,2,0)*'Preços e Condições'!BY147</f>
        <v>1.8791500000000003</v>
      </c>
      <c r="CB147" s="147">
        <f t="shared" si="51"/>
        <v>0</v>
      </c>
      <c r="CC147" s="147">
        <f>IF(X147="BRL",'Impostos e Frete'!$B$11,'Impostos e Frete'!$B$12)</f>
        <v>9.1999999999999998E-2</v>
      </c>
      <c r="CD147" s="213">
        <f t="shared" ca="1" si="52"/>
        <v>16.5679132</v>
      </c>
      <c r="CE147" s="214">
        <f t="shared" ca="1" si="53"/>
        <v>1.1597539239999999</v>
      </c>
      <c r="CF147" s="215">
        <f>VLOOKUP(L147,'Impostos e Frete'!$A$3:$C$7,3,0)</f>
        <v>105</v>
      </c>
      <c r="CG147" s="215">
        <f t="shared" si="54"/>
        <v>30</v>
      </c>
      <c r="CH147" s="215">
        <f t="shared" si="55"/>
        <v>-75</v>
      </c>
      <c r="CI147" s="216">
        <f t="shared" ca="1" si="56"/>
        <v>0.62830377473502708</v>
      </c>
      <c r="CJ147" s="217">
        <f t="shared" ca="1" si="57"/>
        <v>17.196216974735027</v>
      </c>
      <c r="CK147" s="218">
        <f t="shared" ca="1" si="58"/>
        <v>1.2037351882314518</v>
      </c>
    </row>
    <row r="148" spans="1:89">
      <c r="A148" s="176">
        <v>19533</v>
      </c>
      <c r="B148" s="177">
        <v>104</v>
      </c>
      <c r="C148" s="178">
        <v>70</v>
      </c>
      <c r="D148" s="178">
        <v>1270</v>
      </c>
      <c r="E148" s="178" t="s">
        <v>50</v>
      </c>
      <c r="F148" s="179" t="s">
        <v>108</v>
      </c>
      <c r="G148" s="189" t="s">
        <v>441</v>
      </c>
      <c r="H148" s="178" t="s">
        <v>43</v>
      </c>
      <c r="I148" s="178" t="s">
        <v>118</v>
      </c>
      <c r="J148" s="178"/>
      <c r="K148" s="178"/>
      <c r="L148" s="178" t="s">
        <v>59</v>
      </c>
      <c r="M148" s="178">
        <v>30</v>
      </c>
      <c r="N148" s="178">
        <v>500</v>
      </c>
      <c r="O148" s="178"/>
      <c r="P148" s="178"/>
      <c r="Q148" s="178"/>
      <c r="R148" s="178" t="s">
        <v>19</v>
      </c>
      <c r="S148" s="181"/>
      <c r="T148" s="181"/>
      <c r="U148" s="182"/>
      <c r="V148" s="182" t="s">
        <v>35</v>
      </c>
      <c r="W148" s="183">
        <v>50</v>
      </c>
      <c r="X148" s="182" t="s">
        <v>51</v>
      </c>
      <c r="Y148" s="184">
        <v>2700</v>
      </c>
      <c r="Z148" s="184">
        <v>2700</v>
      </c>
      <c r="AA148" s="184">
        <v>2700</v>
      </c>
      <c r="AB148" s="184">
        <v>2700</v>
      </c>
      <c r="AC148" s="184">
        <v>2700</v>
      </c>
      <c r="AD148" s="184">
        <v>2700</v>
      </c>
      <c r="AE148" s="184">
        <v>2400</v>
      </c>
      <c r="AF148" s="184">
        <v>2400</v>
      </c>
      <c r="AG148" s="184">
        <v>2400</v>
      </c>
      <c r="AH148" s="184">
        <v>2150</v>
      </c>
      <c r="AI148" s="184">
        <v>2150</v>
      </c>
      <c r="AJ148" s="184">
        <v>2150</v>
      </c>
      <c r="AK148" s="184">
        <v>2150</v>
      </c>
      <c r="AL148" s="184">
        <v>2150</v>
      </c>
      <c r="AM148" s="184">
        <v>2150</v>
      </c>
      <c r="AN148" s="184">
        <v>2150</v>
      </c>
      <c r="AO148" s="184">
        <v>2150</v>
      </c>
      <c r="AP148" s="184">
        <v>2150</v>
      </c>
      <c r="AQ148" s="184">
        <v>2170</v>
      </c>
      <c r="AR148" s="184">
        <v>2250</v>
      </c>
      <c r="AS148" s="184">
        <v>2250</v>
      </c>
      <c r="AT148" s="184">
        <v>2250</v>
      </c>
      <c r="AU148" s="184">
        <v>2250</v>
      </c>
      <c r="AV148" s="184">
        <v>2250</v>
      </c>
      <c r="AW148" s="184">
        <v>2680</v>
      </c>
      <c r="AX148" s="184">
        <v>2680</v>
      </c>
      <c r="AY148" s="146">
        <f t="shared" si="60"/>
        <v>2180</v>
      </c>
      <c r="AZ148" s="146">
        <f t="shared" si="61"/>
        <v>2180</v>
      </c>
      <c r="BA148" s="146">
        <f t="shared" si="62"/>
        <v>2180</v>
      </c>
      <c r="BB148" s="184"/>
      <c r="BC148" s="184"/>
      <c r="BD148" s="184"/>
      <c r="BE148" s="184"/>
      <c r="BF148" s="184">
        <v>2530</v>
      </c>
      <c r="BG148" s="184">
        <v>2530</v>
      </c>
      <c r="BH148" s="184">
        <v>2530</v>
      </c>
      <c r="BI148" s="184"/>
      <c r="BJ148" s="184"/>
      <c r="BK148" s="184"/>
      <c r="BL148" s="184">
        <v>2910</v>
      </c>
      <c r="BM148" s="184">
        <v>2910</v>
      </c>
      <c r="BN148" s="184">
        <v>2910</v>
      </c>
      <c r="BO148" s="184">
        <v>2650</v>
      </c>
      <c r="BP148" s="184">
        <v>2650</v>
      </c>
      <c r="BQ148" s="184">
        <v>2650</v>
      </c>
      <c r="BR148" s="184"/>
      <c r="BS148" s="184"/>
      <c r="BT148" s="184"/>
      <c r="BU148" s="146" cm="1">
        <f t="array" ref="BU148">LOOKUP(2,1/(Y148:BT148&lt;&gt;""),Y148:BH148)</f>
        <v>2650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46199</v>
      </c>
      <c r="BW148" s="211" cm="1">
        <f t="array" ref="BW148">(LOOKUP(2,1/(BH148:BT148&lt;&gt;""),BH148:BT148))/(INDEX(BH148:BT148,MATCH(TRUE,INDEX((BH148:BT148&lt;&gt;0),0),0)))-1</f>
        <v>4.743083003952564E-2</v>
      </c>
      <c r="BX148" s="212">
        <f t="shared" si="50"/>
        <v>2.65</v>
      </c>
      <c r="BY148" s="212">
        <f t="shared" si="49"/>
        <v>15.635</v>
      </c>
      <c r="BZ148" s="212">
        <f ca="1">IF(L148="BR",'Impostos e Frete'!$F$6,IF(L148="EU",'Impostos e Frete'!$I$3,IF(L148="CN",'Impostos e Frete'!$I$4,IF(L148="JP",'Impostos e Frete'!$I$5,IF(L148="RU",'Impostos e Frete'!$I$7,"ERRO")))))</f>
        <v>0.14176320000000001</v>
      </c>
      <c r="CA148" s="212">
        <f>VLOOKUP(L148,'Impostos e Frete'!$A$3:$B$7,2,0)*'Preços e Condições'!BY148</f>
        <v>2.0325500000000001</v>
      </c>
      <c r="CB148" s="147">
        <f t="shared" si="51"/>
        <v>0</v>
      </c>
      <c r="CC148" s="147">
        <f>IF(X148="BRL",'Impostos e Frete'!$B$11,'Impostos e Frete'!$B$12)</f>
        <v>9.1999999999999998E-2</v>
      </c>
      <c r="CD148" s="213">
        <f t="shared" ca="1" si="52"/>
        <v>17.901313199999997</v>
      </c>
      <c r="CE148" s="214">
        <f t="shared" ca="1" si="53"/>
        <v>1.2530919239999998</v>
      </c>
      <c r="CF148" s="215">
        <f>VLOOKUP(L148,'Impostos e Frete'!$A$3:$C$7,3,0)</f>
        <v>105</v>
      </c>
      <c r="CG148" s="215">
        <f t="shared" si="54"/>
        <v>30</v>
      </c>
      <c r="CH148" s="215">
        <f t="shared" si="55"/>
        <v>-75</v>
      </c>
      <c r="CI148" s="216">
        <f t="shared" ca="1" si="56"/>
        <v>0.67887020655528119</v>
      </c>
      <c r="CJ148" s="217">
        <f t="shared" ca="1" si="57"/>
        <v>18.580183406555278</v>
      </c>
      <c r="CK148" s="218">
        <f t="shared" ca="1" si="58"/>
        <v>1.3006128384588695</v>
      </c>
    </row>
    <row r="149" spans="1:89">
      <c r="A149" s="176">
        <v>19533</v>
      </c>
      <c r="B149" s="177">
        <v>104</v>
      </c>
      <c r="C149" s="178">
        <v>70</v>
      </c>
      <c r="D149" s="178">
        <v>1270</v>
      </c>
      <c r="E149" s="178" t="s">
        <v>50</v>
      </c>
      <c r="F149" s="179" t="s">
        <v>108</v>
      </c>
      <c r="G149" s="189" t="s">
        <v>441</v>
      </c>
      <c r="H149" s="178" t="s">
        <v>43</v>
      </c>
      <c r="I149" s="178" t="s">
        <v>118</v>
      </c>
      <c r="J149" s="178"/>
      <c r="K149" s="178"/>
      <c r="L149" s="178" t="s">
        <v>59</v>
      </c>
      <c r="M149" s="178">
        <v>30</v>
      </c>
      <c r="N149" s="178">
        <v>500</v>
      </c>
      <c r="O149" s="178"/>
      <c r="P149" s="178"/>
      <c r="Q149" s="178"/>
      <c r="R149" s="178" t="s">
        <v>19</v>
      </c>
      <c r="S149" s="181"/>
      <c r="T149" s="181"/>
      <c r="U149" s="182"/>
      <c r="V149" s="182" t="s">
        <v>35</v>
      </c>
      <c r="W149" s="183">
        <v>20</v>
      </c>
      <c r="X149" s="182" t="s">
        <v>51</v>
      </c>
      <c r="Y149" s="184">
        <v>3200</v>
      </c>
      <c r="Z149" s="184">
        <v>3200</v>
      </c>
      <c r="AA149" s="184">
        <v>3200</v>
      </c>
      <c r="AB149" s="184">
        <v>3200</v>
      </c>
      <c r="AC149" s="184">
        <v>3200</v>
      </c>
      <c r="AD149" s="184">
        <v>3200</v>
      </c>
      <c r="AE149" s="184">
        <v>2900</v>
      </c>
      <c r="AF149" s="184">
        <v>2900</v>
      </c>
      <c r="AG149" s="184">
        <v>2900</v>
      </c>
      <c r="AH149" s="184">
        <v>2650</v>
      </c>
      <c r="AI149" s="184">
        <v>2650</v>
      </c>
      <c r="AJ149" s="184">
        <v>2650</v>
      </c>
      <c r="AK149" s="184">
        <v>2650</v>
      </c>
      <c r="AL149" s="184">
        <v>2650</v>
      </c>
      <c r="AM149" s="184">
        <v>2650</v>
      </c>
      <c r="AN149" s="184">
        <v>2650</v>
      </c>
      <c r="AO149" s="184">
        <v>2650</v>
      </c>
      <c r="AP149" s="184">
        <v>2650</v>
      </c>
      <c r="AQ149" s="184">
        <v>2670</v>
      </c>
      <c r="AR149" s="184">
        <v>2750</v>
      </c>
      <c r="AS149" s="184">
        <v>2750</v>
      </c>
      <c r="AT149" s="184">
        <v>2750</v>
      </c>
      <c r="AU149" s="184">
        <v>2750</v>
      </c>
      <c r="AV149" s="184">
        <v>2750</v>
      </c>
      <c r="AW149" s="184">
        <v>2730</v>
      </c>
      <c r="AX149" s="184">
        <v>2730</v>
      </c>
      <c r="AY149" s="146">
        <f t="shared" si="60"/>
        <v>2230</v>
      </c>
      <c r="AZ149" s="146">
        <f t="shared" si="61"/>
        <v>2230</v>
      </c>
      <c r="BA149" s="146">
        <f t="shared" si="62"/>
        <v>2230</v>
      </c>
      <c r="BB149" s="184"/>
      <c r="BC149" s="184"/>
      <c r="BD149" s="184"/>
      <c r="BE149" s="184"/>
      <c r="BF149" s="184">
        <v>3030</v>
      </c>
      <c r="BG149" s="184">
        <v>3030</v>
      </c>
      <c r="BH149" s="184">
        <v>3030</v>
      </c>
      <c r="BI149" s="184"/>
      <c r="BJ149" s="184"/>
      <c r="BK149" s="184"/>
      <c r="BL149" s="184">
        <v>2960</v>
      </c>
      <c r="BM149" s="184">
        <v>2960</v>
      </c>
      <c r="BN149" s="184">
        <v>2960</v>
      </c>
      <c r="BO149" s="184">
        <v>3150</v>
      </c>
      <c r="BP149" s="184">
        <v>3150</v>
      </c>
      <c r="BQ149" s="184">
        <v>3150</v>
      </c>
      <c r="BR149" s="184"/>
      <c r="BS149" s="184"/>
      <c r="BT149" s="184"/>
      <c r="BU149" s="146" cm="1">
        <f t="array" ref="BU149">LOOKUP(2,1/(Y149:BT149&lt;&gt;""),Y149:BH149)</f>
        <v>3150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46199</v>
      </c>
      <c r="BW149" s="211" cm="1">
        <f t="array" ref="BW149">(LOOKUP(2,1/(BH149:BT149&lt;&gt;""),BH149:BT149))/(INDEX(BH149:BT149,MATCH(TRUE,INDEX((BH149:BT149&lt;&gt;0),0),0)))-1</f>
        <v>3.9603960396039639E-2</v>
      </c>
      <c r="BX149" s="212">
        <f t="shared" si="50"/>
        <v>3.15</v>
      </c>
      <c r="BY149" s="212">
        <f t="shared" si="49"/>
        <v>18.585000000000001</v>
      </c>
      <c r="BZ149" s="212">
        <f ca="1">IF(L149="BR",'Impostos e Frete'!$F$6,IF(L149="EU",'Impostos e Frete'!$I$3,IF(L149="CN",'Impostos e Frete'!$I$4,IF(L149="JP",'Impostos e Frete'!$I$5,IF(L149="RU",'Impostos e Frete'!$I$7,"ERRO")))))</f>
        <v>0.14176320000000001</v>
      </c>
      <c r="CA149" s="212">
        <f>VLOOKUP(L149,'Impostos e Frete'!$A$3:$B$7,2,0)*'Preços e Condições'!BY149</f>
        <v>2.4160500000000003</v>
      </c>
      <c r="CB149" s="147">
        <f t="shared" si="51"/>
        <v>0</v>
      </c>
      <c r="CC149" s="147">
        <f>IF(X149="BRL",'Impostos e Frete'!$B$11,'Impostos e Frete'!$B$12)</f>
        <v>9.1999999999999998E-2</v>
      </c>
      <c r="CD149" s="213">
        <f t="shared" ca="1" si="52"/>
        <v>21.234813199999998</v>
      </c>
      <c r="CE149" s="214">
        <f t="shared" ca="1" si="53"/>
        <v>1.4864369239999997</v>
      </c>
      <c r="CF149" s="215">
        <f>VLOOKUP(L149,'Impostos e Frete'!$A$3:$C$7,3,0)</f>
        <v>105</v>
      </c>
      <c r="CG149" s="215">
        <f t="shared" si="54"/>
        <v>30</v>
      </c>
      <c r="CH149" s="215">
        <f t="shared" si="55"/>
        <v>-75</v>
      </c>
      <c r="CI149" s="216">
        <f t="shared" ca="1" si="56"/>
        <v>0.80528628610591468</v>
      </c>
      <c r="CJ149" s="217">
        <f t="shared" ca="1" si="57"/>
        <v>22.040099486105913</v>
      </c>
      <c r="CK149" s="218">
        <f t="shared" ca="1" si="58"/>
        <v>1.542806964027414</v>
      </c>
    </row>
    <row r="150" spans="1:89">
      <c r="A150" s="176">
        <v>19534</v>
      </c>
      <c r="B150" s="177">
        <v>104</v>
      </c>
      <c r="C150" s="178">
        <v>78</v>
      </c>
      <c r="D150" s="178">
        <v>1855</v>
      </c>
      <c r="E150" s="178" t="s">
        <v>49</v>
      </c>
      <c r="F150" s="179" t="s">
        <v>108</v>
      </c>
      <c r="G150" s="189" t="s">
        <v>114</v>
      </c>
      <c r="H150" s="178" t="s">
        <v>43</v>
      </c>
      <c r="I150" s="178" t="s">
        <v>118</v>
      </c>
      <c r="J150" s="178"/>
      <c r="K150" s="178"/>
      <c r="L150" s="178" t="s">
        <v>59</v>
      </c>
      <c r="M150" s="178">
        <v>30</v>
      </c>
      <c r="N150" s="178">
        <v>500</v>
      </c>
      <c r="O150" s="178"/>
      <c r="P150" s="178"/>
      <c r="Q150" s="178"/>
      <c r="R150" s="178" t="s">
        <v>19</v>
      </c>
      <c r="S150" s="181"/>
      <c r="T150" s="181"/>
      <c r="U150" s="182"/>
      <c r="V150" s="182" t="s">
        <v>35</v>
      </c>
      <c r="W150" s="183">
        <v>200</v>
      </c>
      <c r="X150" s="182" t="s">
        <v>51</v>
      </c>
      <c r="Y150" s="184">
        <v>2500</v>
      </c>
      <c r="Z150" s="184">
        <v>2500</v>
      </c>
      <c r="AA150" s="184">
        <v>2500</v>
      </c>
      <c r="AB150" s="184">
        <v>2500</v>
      </c>
      <c r="AC150" s="184">
        <v>2500</v>
      </c>
      <c r="AD150" s="184">
        <v>2500</v>
      </c>
      <c r="AE150" s="184">
        <v>2200</v>
      </c>
      <c r="AF150" s="184">
        <v>2200</v>
      </c>
      <c r="AG150" s="184">
        <v>2000</v>
      </c>
      <c r="AH150" s="184">
        <v>1950</v>
      </c>
      <c r="AI150" s="184">
        <v>1950</v>
      </c>
      <c r="AJ150" s="184">
        <v>1950</v>
      </c>
      <c r="AK150" s="184">
        <v>1950</v>
      </c>
      <c r="AL150" s="184">
        <v>1950</v>
      </c>
      <c r="AM150" s="184">
        <v>1950</v>
      </c>
      <c r="AN150" s="184">
        <v>1900</v>
      </c>
      <c r="AO150" s="184">
        <v>1900</v>
      </c>
      <c r="AP150" s="184">
        <v>1900</v>
      </c>
      <c r="AQ150" s="184">
        <v>1900</v>
      </c>
      <c r="AR150" s="184">
        <v>1900</v>
      </c>
      <c r="AS150" s="184">
        <v>1900</v>
      </c>
      <c r="AT150" s="184">
        <v>1900</v>
      </c>
      <c r="AU150" s="184"/>
      <c r="AV150" s="184"/>
      <c r="AW150" s="184">
        <v>2660</v>
      </c>
      <c r="AX150" s="184">
        <v>2660</v>
      </c>
      <c r="AY150" s="146">
        <f t="shared" si="47"/>
        <v>2160</v>
      </c>
      <c r="AZ150" s="146">
        <f t="shared" si="59"/>
        <v>2160</v>
      </c>
      <c r="BA150" s="146">
        <f t="shared" si="59"/>
        <v>2160</v>
      </c>
      <c r="BB150" s="184"/>
      <c r="BC150" s="184"/>
      <c r="BD150" s="184"/>
      <c r="BE150" s="184"/>
      <c r="BF150" s="184"/>
      <c r="BG150" s="146">
        <f>2160-500</f>
        <v>1660</v>
      </c>
      <c r="BH150" s="146">
        <f>2160-500</f>
        <v>1660</v>
      </c>
      <c r="BI150" s="184"/>
      <c r="BJ150" s="184"/>
      <c r="BK150" s="184"/>
      <c r="BL150" s="184"/>
      <c r="BM150" s="184"/>
      <c r="BN150" s="184"/>
      <c r="BO150" s="184"/>
      <c r="BP150" s="184"/>
      <c r="BQ150" s="184"/>
      <c r="BR150" s="184"/>
      <c r="BS150" s="184"/>
      <c r="BT150" s="184"/>
      <c r="BU150" s="146" cm="1">
        <f t="array" ref="BU150">LOOKUP(2,1/(Y150:BT150&lt;&gt;""),Y150:BH150)</f>
        <v>1660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45992</v>
      </c>
      <c r="BW150" s="211" cm="1">
        <f t="array" ref="BW150">(LOOKUP(2,1/(BH150:BT150&lt;&gt;""),BH150:BT150))/(INDEX(BH150:BT150,MATCH(TRUE,INDEX((BH150:BT150&lt;&gt;0),0),0)))-1</f>
        <v>0</v>
      </c>
      <c r="BX150" s="212">
        <f t="shared" si="50"/>
        <v>1.66</v>
      </c>
      <c r="BY150" s="212">
        <f t="shared" si="49"/>
        <v>9.7940000000000005</v>
      </c>
      <c r="BZ150" s="212">
        <f ca="1">IF(L150="BR",'Impostos e Frete'!$F$6,IF(L150="EU",'Impostos e Frete'!$I$3,IF(L150="CN",'Impostos e Frete'!$I$4,IF(L150="JP",'Impostos e Frete'!$I$5,IF(L150="RU",'Impostos e Frete'!$I$7,"ERRO")))))</f>
        <v>0.14176320000000001</v>
      </c>
      <c r="CA150" s="212">
        <f>VLOOKUP(L150,'Impostos e Frete'!$A$3:$B$7,2,0)*'Preços e Condições'!BY150</f>
        <v>1.27322</v>
      </c>
      <c r="CB150" s="147">
        <f t="shared" si="51"/>
        <v>0</v>
      </c>
      <c r="CC150" s="147">
        <f>IF(X150="BRL",'Impostos e Frete'!$B$11,'Impostos e Frete'!$B$12)</f>
        <v>9.1999999999999998E-2</v>
      </c>
      <c r="CD150" s="213">
        <f t="shared" ca="1" si="52"/>
        <v>11.300983200000001</v>
      </c>
      <c r="CE150" s="214">
        <f t="shared" ca="1" si="53"/>
        <v>0.88147668960000014</v>
      </c>
      <c r="CF150" s="215">
        <f>VLOOKUP(L150,'Impostos e Frete'!$A$3:$C$7,3,0)</f>
        <v>105</v>
      </c>
      <c r="CG150" s="215">
        <f t="shared" si="54"/>
        <v>30</v>
      </c>
      <c r="CH150" s="215">
        <f t="shared" si="55"/>
        <v>-75</v>
      </c>
      <c r="CI150" s="216">
        <f t="shared" ca="1" si="56"/>
        <v>0.42856636904502388</v>
      </c>
      <c r="CJ150" s="217">
        <f t="shared" ca="1" si="57"/>
        <v>11.729549569045025</v>
      </c>
      <c r="CK150" s="218">
        <f t="shared" ca="1" si="58"/>
        <v>0.91490486638551194</v>
      </c>
    </row>
    <row r="151" spans="1:89">
      <c r="A151" s="176">
        <v>19534</v>
      </c>
      <c r="B151" s="177">
        <v>104</v>
      </c>
      <c r="C151" s="178">
        <v>78</v>
      </c>
      <c r="D151" s="178">
        <v>1855</v>
      </c>
      <c r="E151" s="178" t="s">
        <v>49</v>
      </c>
      <c r="F151" s="179" t="s">
        <v>108</v>
      </c>
      <c r="G151" s="189" t="s">
        <v>114</v>
      </c>
      <c r="H151" s="178" t="s">
        <v>43</v>
      </c>
      <c r="I151" s="178" t="s">
        <v>118</v>
      </c>
      <c r="J151" s="178"/>
      <c r="K151" s="178"/>
      <c r="L151" s="178" t="s">
        <v>59</v>
      </c>
      <c r="M151" s="178">
        <v>30</v>
      </c>
      <c r="N151" s="178">
        <v>500</v>
      </c>
      <c r="O151" s="178"/>
      <c r="P151" s="178"/>
      <c r="Q151" s="178"/>
      <c r="R151" s="178" t="s">
        <v>19</v>
      </c>
      <c r="S151" s="181"/>
      <c r="T151" s="181"/>
      <c r="U151" s="182"/>
      <c r="V151" s="182" t="s">
        <v>35</v>
      </c>
      <c r="W151" s="183">
        <v>80</v>
      </c>
      <c r="X151" s="182" t="s">
        <v>51</v>
      </c>
      <c r="Y151" s="184">
        <v>2500</v>
      </c>
      <c r="Z151" s="184">
        <v>2500</v>
      </c>
      <c r="AA151" s="184">
        <v>2500</v>
      </c>
      <c r="AB151" s="184">
        <v>2500</v>
      </c>
      <c r="AC151" s="184">
        <v>2500</v>
      </c>
      <c r="AD151" s="184">
        <v>2500</v>
      </c>
      <c r="AE151" s="184">
        <v>2200</v>
      </c>
      <c r="AF151" s="184">
        <v>2200</v>
      </c>
      <c r="AG151" s="184">
        <v>2000</v>
      </c>
      <c r="AH151" s="184">
        <v>1950</v>
      </c>
      <c r="AI151" s="184">
        <v>1950</v>
      </c>
      <c r="AJ151" s="184">
        <v>1950</v>
      </c>
      <c r="AK151" s="184">
        <v>1950</v>
      </c>
      <c r="AL151" s="184">
        <v>1950</v>
      </c>
      <c r="AM151" s="184">
        <v>1950</v>
      </c>
      <c r="AN151" s="184">
        <v>1950</v>
      </c>
      <c r="AO151" s="184">
        <v>1950</v>
      </c>
      <c r="AP151" s="184">
        <v>1950</v>
      </c>
      <c r="AQ151" s="184">
        <v>1950</v>
      </c>
      <c r="AR151" s="184">
        <v>2050</v>
      </c>
      <c r="AS151" s="184">
        <v>2050</v>
      </c>
      <c r="AT151" s="184">
        <v>2050</v>
      </c>
      <c r="AU151" s="184">
        <v>2050</v>
      </c>
      <c r="AV151" s="184">
        <v>2050</v>
      </c>
      <c r="AW151" s="184">
        <v>2660</v>
      </c>
      <c r="AX151" s="184">
        <v>2660</v>
      </c>
      <c r="AY151" s="146">
        <f t="shared" si="47"/>
        <v>2160</v>
      </c>
      <c r="AZ151" s="146">
        <f t="shared" si="59"/>
        <v>2160</v>
      </c>
      <c r="BA151" s="146">
        <f t="shared" si="59"/>
        <v>2160</v>
      </c>
      <c r="BB151" s="184"/>
      <c r="BC151" s="184"/>
      <c r="BD151" s="184"/>
      <c r="BE151" s="184"/>
      <c r="BF151" s="184">
        <v>1850</v>
      </c>
      <c r="BG151" s="184">
        <v>1850</v>
      </c>
      <c r="BH151" s="184">
        <v>1850</v>
      </c>
      <c r="BI151" s="184"/>
      <c r="BJ151" s="184"/>
      <c r="BK151" s="184"/>
      <c r="BL151" s="184">
        <v>1650</v>
      </c>
      <c r="BM151" s="184">
        <v>1650</v>
      </c>
      <c r="BN151" s="184">
        <v>1650</v>
      </c>
      <c r="BO151" s="184">
        <v>1650</v>
      </c>
      <c r="BP151" s="184">
        <v>1650</v>
      </c>
      <c r="BQ151" s="184">
        <v>1650</v>
      </c>
      <c r="BR151" s="184"/>
      <c r="BS151" s="184"/>
      <c r="BT151" s="184"/>
      <c r="BU151" s="146" cm="1">
        <f t="array" ref="BU151">LOOKUP(2,1/(Y151:BT151&lt;&gt;""),Y151:BH151)</f>
        <v>1650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46199</v>
      </c>
      <c r="BW151" s="211" cm="1">
        <f t="array" ref="BW151">(LOOKUP(2,1/(BH151:BT151&lt;&gt;""),BH151:BT151))/(INDEX(BH151:BT151,MATCH(TRUE,INDEX((BH151:BT151&lt;&gt;0),0),0)))-1</f>
        <v>-0.10810810810810811</v>
      </c>
      <c r="BX151" s="212">
        <f t="shared" si="50"/>
        <v>1.65</v>
      </c>
      <c r="BY151" s="212">
        <f t="shared" si="49"/>
        <v>9.7349999999999994</v>
      </c>
      <c r="BZ151" s="212">
        <f ca="1">IF(L151="BR",'Impostos e Frete'!$F$6,IF(L151="EU",'Impostos e Frete'!$I$3,IF(L151="CN",'Impostos e Frete'!$I$4,IF(L151="JP",'Impostos e Frete'!$I$5,IF(L151="RU",'Impostos e Frete'!$I$7,"ERRO")))))</f>
        <v>0.14176320000000001</v>
      </c>
      <c r="CA151" s="212">
        <f>VLOOKUP(L151,'Impostos e Frete'!$A$3:$B$7,2,0)*'Preços e Condições'!BY151</f>
        <v>1.26555</v>
      </c>
      <c r="CB151" s="147">
        <f t="shared" si="51"/>
        <v>0</v>
      </c>
      <c r="CC151" s="147">
        <f>IF(X151="BRL",'Impostos e Frete'!$B$11,'Impostos e Frete'!$B$12)</f>
        <v>9.1999999999999998E-2</v>
      </c>
      <c r="CD151" s="213">
        <f t="shared" ca="1" si="52"/>
        <v>11.234313199999999</v>
      </c>
      <c r="CE151" s="214">
        <f t="shared" ca="1" si="53"/>
        <v>0.87627642959999985</v>
      </c>
      <c r="CF151" s="215">
        <f>VLOOKUP(L151,'Impostos e Frete'!$A$3:$C$7,3,0)</f>
        <v>105</v>
      </c>
      <c r="CG151" s="215">
        <f t="shared" si="54"/>
        <v>30</v>
      </c>
      <c r="CH151" s="215">
        <f t="shared" si="55"/>
        <v>-75</v>
      </c>
      <c r="CI151" s="216">
        <f t="shared" ca="1" si="56"/>
        <v>0.42603804745401064</v>
      </c>
      <c r="CJ151" s="217">
        <f t="shared" ca="1" si="57"/>
        <v>11.66035124745401</v>
      </c>
      <c r="CK151" s="218">
        <f t="shared" ca="1" si="58"/>
        <v>0.90950739730141272</v>
      </c>
    </row>
    <row r="152" spans="1:89">
      <c r="A152" s="176">
        <v>19534</v>
      </c>
      <c r="B152" s="177">
        <v>104</v>
      </c>
      <c r="C152" s="178">
        <v>78</v>
      </c>
      <c r="D152" s="178">
        <v>1855</v>
      </c>
      <c r="E152" s="178" t="s">
        <v>49</v>
      </c>
      <c r="F152" s="179" t="s">
        <v>108</v>
      </c>
      <c r="G152" s="189" t="s">
        <v>114</v>
      </c>
      <c r="H152" s="178" t="s">
        <v>43</v>
      </c>
      <c r="I152" s="178" t="s">
        <v>118</v>
      </c>
      <c r="J152" s="178"/>
      <c r="K152" s="178"/>
      <c r="L152" s="178" t="s">
        <v>59</v>
      </c>
      <c r="M152" s="178">
        <v>30</v>
      </c>
      <c r="N152" s="178">
        <v>500</v>
      </c>
      <c r="O152" s="178"/>
      <c r="P152" s="178"/>
      <c r="Q152" s="178"/>
      <c r="R152" s="178" t="s">
        <v>19</v>
      </c>
      <c r="S152" s="181"/>
      <c r="T152" s="181"/>
      <c r="U152" s="182"/>
      <c r="V152" s="182" t="s">
        <v>35</v>
      </c>
      <c r="W152" s="183">
        <v>50</v>
      </c>
      <c r="X152" s="182" t="s">
        <v>51</v>
      </c>
      <c r="Y152" s="184">
        <v>2700</v>
      </c>
      <c r="Z152" s="184">
        <v>2700</v>
      </c>
      <c r="AA152" s="184">
        <v>2700</v>
      </c>
      <c r="AB152" s="184">
        <v>2700</v>
      </c>
      <c r="AC152" s="184">
        <v>2700</v>
      </c>
      <c r="AD152" s="184">
        <v>2700</v>
      </c>
      <c r="AE152" s="184">
        <v>2400</v>
      </c>
      <c r="AF152" s="184">
        <v>2400</v>
      </c>
      <c r="AG152" s="184">
        <v>2400</v>
      </c>
      <c r="AH152" s="184">
        <v>2150</v>
      </c>
      <c r="AI152" s="184">
        <v>2150</v>
      </c>
      <c r="AJ152" s="184">
        <v>2150</v>
      </c>
      <c r="AK152" s="184">
        <v>2150</v>
      </c>
      <c r="AL152" s="184">
        <v>2150</v>
      </c>
      <c r="AM152" s="184">
        <v>2150</v>
      </c>
      <c r="AN152" s="184">
        <v>2150</v>
      </c>
      <c r="AO152" s="184">
        <v>2150</v>
      </c>
      <c r="AP152" s="184">
        <v>2150</v>
      </c>
      <c r="AQ152" s="184">
        <v>2170</v>
      </c>
      <c r="AR152" s="184">
        <v>2250</v>
      </c>
      <c r="AS152" s="184">
        <v>2250</v>
      </c>
      <c r="AT152" s="184">
        <v>2250</v>
      </c>
      <c r="AU152" s="184">
        <v>2250</v>
      </c>
      <c r="AV152" s="184">
        <v>2250</v>
      </c>
      <c r="AW152" s="184">
        <v>2680</v>
      </c>
      <c r="AX152" s="184">
        <v>2680</v>
      </c>
      <c r="AY152" s="146">
        <f t="shared" ref="AY152:AY179" si="63">AX152-500</f>
        <v>2180</v>
      </c>
      <c r="AZ152" s="146">
        <f t="shared" si="59"/>
        <v>2180</v>
      </c>
      <c r="BA152" s="146">
        <f t="shared" si="59"/>
        <v>2180</v>
      </c>
      <c r="BB152" s="184"/>
      <c r="BC152" s="184"/>
      <c r="BD152" s="184"/>
      <c r="BE152" s="184"/>
      <c r="BF152" s="184">
        <v>1870</v>
      </c>
      <c r="BG152" s="184">
        <v>1870</v>
      </c>
      <c r="BH152" s="184">
        <v>1870</v>
      </c>
      <c r="BI152" s="184"/>
      <c r="BJ152" s="184"/>
      <c r="BK152" s="184"/>
      <c r="BL152" s="184">
        <v>1670</v>
      </c>
      <c r="BM152" s="184">
        <v>1670</v>
      </c>
      <c r="BN152" s="184">
        <v>1670</v>
      </c>
      <c r="BO152" s="184">
        <v>1850</v>
      </c>
      <c r="BP152" s="184">
        <v>1850</v>
      </c>
      <c r="BQ152" s="184">
        <v>1850</v>
      </c>
      <c r="BR152" s="184"/>
      <c r="BS152" s="184"/>
      <c r="BT152" s="184"/>
      <c r="BU152" s="146" cm="1">
        <f t="array" ref="BU152">LOOKUP(2,1/(Y152:BT152&lt;&gt;""),Y152:BH152)</f>
        <v>1850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46199</v>
      </c>
      <c r="BW152" s="211" cm="1">
        <f t="array" ref="BW152">(LOOKUP(2,1/(BH152:BT152&lt;&gt;""),BH152:BT152))/(INDEX(BH152:BT152,MATCH(TRUE,INDEX((BH152:BT152&lt;&gt;0),0),0)))-1</f>
        <v>-1.0695187165775444E-2</v>
      </c>
      <c r="BX152" s="212">
        <f t="shared" si="50"/>
        <v>1.85</v>
      </c>
      <c r="BY152" s="212">
        <f t="shared" si="49"/>
        <v>10.915000000000001</v>
      </c>
      <c r="BZ152" s="212">
        <f ca="1">IF(L152="BR",'Impostos e Frete'!$F$6,IF(L152="EU",'Impostos e Frete'!$I$3,IF(L152="CN",'Impostos e Frete'!$I$4,IF(L152="JP",'Impostos e Frete'!$I$5,IF(L152="RU",'Impostos e Frete'!$I$7,"ERRO")))))</f>
        <v>0.14176320000000001</v>
      </c>
      <c r="CA152" s="212">
        <f>VLOOKUP(L152,'Impostos e Frete'!$A$3:$B$7,2,0)*'Preços e Condições'!BY152</f>
        <v>1.4189500000000002</v>
      </c>
      <c r="CB152" s="147">
        <f t="shared" si="51"/>
        <v>0</v>
      </c>
      <c r="CC152" s="147">
        <f>IF(X152="BRL",'Impostos e Frete'!$B$11,'Impostos e Frete'!$B$12)</f>
        <v>9.1999999999999998E-2</v>
      </c>
      <c r="CD152" s="213">
        <f t="shared" ca="1" si="52"/>
        <v>12.567713200000002</v>
      </c>
      <c r="CE152" s="214">
        <f t="shared" ca="1" si="53"/>
        <v>0.9802816296000002</v>
      </c>
      <c r="CF152" s="215">
        <f>VLOOKUP(L152,'Impostos e Frete'!$A$3:$C$7,3,0)</f>
        <v>105</v>
      </c>
      <c r="CG152" s="215">
        <f t="shared" si="54"/>
        <v>30</v>
      </c>
      <c r="CH152" s="215">
        <f t="shared" si="55"/>
        <v>-75</v>
      </c>
      <c r="CI152" s="216">
        <f t="shared" ca="1" si="56"/>
        <v>0.47660447927426475</v>
      </c>
      <c r="CJ152" s="217">
        <f t="shared" ca="1" si="57"/>
        <v>13.044317679274267</v>
      </c>
      <c r="CK152" s="218">
        <f t="shared" ca="1" si="58"/>
        <v>1.0174567789833928</v>
      </c>
    </row>
    <row r="153" spans="1:89">
      <c r="A153" s="176">
        <v>19534</v>
      </c>
      <c r="B153" s="177">
        <v>104</v>
      </c>
      <c r="C153" s="178">
        <v>78</v>
      </c>
      <c r="D153" s="178">
        <v>1855</v>
      </c>
      <c r="E153" s="178" t="s">
        <v>49</v>
      </c>
      <c r="F153" s="179" t="s">
        <v>108</v>
      </c>
      <c r="G153" s="189" t="s">
        <v>114</v>
      </c>
      <c r="H153" s="178" t="s">
        <v>43</v>
      </c>
      <c r="I153" s="178" t="s">
        <v>118</v>
      </c>
      <c r="J153" s="178"/>
      <c r="K153" s="178"/>
      <c r="L153" s="178" t="s">
        <v>59</v>
      </c>
      <c r="M153" s="178">
        <v>30</v>
      </c>
      <c r="N153" s="178">
        <v>500</v>
      </c>
      <c r="O153" s="178"/>
      <c r="P153" s="178"/>
      <c r="Q153" s="178"/>
      <c r="R153" s="178" t="s">
        <v>19</v>
      </c>
      <c r="S153" s="181"/>
      <c r="T153" s="181"/>
      <c r="U153" s="182"/>
      <c r="V153" s="182" t="s">
        <v>35</v>
      </c>
      <c r="W153" s="183">
        <v>20</v>
      </c>
      <c r="X153" s="182" t="s">
        <v>51</v>
      </c>
      <c r="Y153" s="184">
        <v>3200</v>
      </c>
      <c r="Z153" s="184">
        <v>3200</v>
      </c>
      <c r="AA153" s="184">
        <v>3200</v>
      </c>
      <c r="AB153" s="184">
        <v>3200</v>
      </c>
      <c r="AC153" s="184">
        <v>3200</v>
      </c>
      <c r="AD153" s="184">
        <v>3200</v>
      </c>
      <c r="AE153" s="184">
        <v>2900</v>
      </c>
      <c r="AF153" s="184">
        <v>2900</v>
      </c>
      <c r="AG153" s="184">
        <v>2900</v>
      </c>
      <c r="AH153" s="184">
        <v>2650</v>
      </c>
      <c r="AI153" s="184">
        <v>2650</v>
      </c>
      <c r="AJ153" s="184">
        <v>2650</v>
      </c>
      <c r="AK153" s="184">
        <v>2650</v>
      </c>
      <c r="AL153" s="184">
        <v>2650</v>
      </c>
      <c r="AM153" s="184">
        <v>2650</v>
      </c>
      <c r="AN153" s="184">
        <v>2650</v>
      </c>
      <c r="AO153" s="184">
        <v>2650</v>
      </c>
      <c r="AP153" s="184">
        <v>2650</v>
      </c>
      <c r="AQ153" s="184">
        <v>2670</v>
      </c>
      <c r="AR153" s="184">
        <v>2750</v>
      </c>
      <c r="AS153" s="184">
        <v>2750</v>
      </c>
      <c r="AT153" s="184">
        <v>2750</v>
      </c>
      <c r="AU153" s="184">
        <v>2750</v>
      </c>
      <c r="AV153" s="184">
        <v>2750</v>
      </c>
      <c r="AW153" s="184">
        <v>2730</v>
      </c>
      <c r="AX153" s="184">
        <v>2730</v>
      </c>
      <c r="AY153" s="146">
        <f t="shared" si="63"/>
        <v>2230</v>
      </c>
      <c r="AZ153" s="146">
        <f t="shared" si="59"/>
        <v>2230</v>
      </c>
      <c r="BA153" s="146">
        <f t="shared" si="59"/>
        <v>2230</v>
      </c>
      <c r="BB153" s="184"/>
      <c r="BC153" s="184"/>
      <c r="BD153" s="184"/>
      <c r="BE153" s="184"/>
      <c r="BF153" s="184">
        <v>1920</v>
      </c>
      <c r="BG153" s="184">
        <v>1920</v>
      </c>
      <c r="BH153" s="184">
        <v>1920</v>
      </c>
      <c r="BI153" s="184"/>
      <c r="BJ153" s="184"/>
      <c r="BK153" s="184"/>
      <c r="BL153" s="184">
        <v>1720</v>
      </c>
      <c r="BM153" s="184">
        <v>1720</v>
      </c>
      <c r="BN153" s="184">
        <v>1720</v>
      </c>
      <c r="BO153" s="184">
        <v>2350</v>
      </c>
      <c r="BP153" s="184">
        <v>2350</v>
      </c>
      <c r="BQ153" s="184">
        <v>2350</v>
      </c>
      <c r="BR153" s="184"/>
      <c r="BS153" s="184"/>
      <c r="BT153" s="184"/>
      <c r="BU153" s="146" cm="1">
        <f t="array" ref="BU153">LOOKUP(2,1/(Y153:BT153&lt;&gt;""),Y153:BH153)</f>
        <v>2350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46199</v>
      </c>
      <c r="BW153" s="211" cm="1">
        <f t="array" ref="BW153">(LOOKUP(2,1/(BH153:BT153&lt;&gt;""),BH153:BT153))/(INDEX(BH153:BT153,MATCH(TRUE,INDEX((BH153:BT153&lt;&gt;0),0),0)))-1</f>
        <v>0.22395833333333326</v>
      </c>
      <c r="BX153" s="212">
        <f t="shared" si="50"/>
        <v>2.35</v>
      </c>
      <c r="BY153" s="212">
        <f t="shared" si="49"/>
        <v>13.865000000000002</v>
      </c>
      <c r="BZ153" s="212">
        <f ca="1">IF(L153="BR",'Impostos e Frete'!$F$6,IF(L153="EU",'Impostos e Frete'!$I$3,IF(L153="CN",'Impostos e Frete'!$I$4,IF(L153="JP",'Impostos e Frete'!$I$5,IF(L153="RU",'Impostos e Frete'!$I$7,"ERRO")))))</f>
        <v>0.14176320000000001</v>
      </c>
      <c r="CA153" s="212">
        <f>VLOOKUP(L153,'Impostos e Frete'!$A$3:$B$7,2,0)*'Preços e Condições'!BY153</f>
        <v>1.8024500000000003</v>
      </c>
      <c r="CB153" s="147">
        <f t="shared" si="51"/>
        <v>0</v>
      </c>
      <c r="CC153" s="147">
        <f>IF(X153="BRL",'Impostos e Frete'!$B$11,'Impostos e Frete'!$B$12)</f>
        <v>9.1999999999999998E-2</v>
      </c>
      <c r="CD153" s="213">
        <f t="shared" ca="1" si="52"/>
        <v>15.901213200000003</v>
      </c>
      <c r="CE153" s="214">
        <f t="shared" ca="1" si="53"/>
        <v>1.2402946296000004</v>
      </c>
      <c r="CF153" s="215">
        <f>VLOOKUP(L153,'Impostos e Frete'!$A$3:$C$7,3,0)</f>
        <v>105</v>
      </c>
      <c r="CG153" s="215">
        <f t="shared" si="54"/>
        <v>30</v>
      </c>
      <c r="CH153" s="215">
        <f t="shared" si="55"/>
        <v>-75</v>
      </c>
      <c r="CI153" s="216">
        <f t="shared" ca="1" si="56"/>
        <v>0.60302055882490002</v>
      </c>
      <c r="CJ153" s="217">
        <f t="shared" ca="1" si="57"/>
        <v>16.504233758824903</v>
      </c>
      <c r="CK153" s="218">
        <f t="shared" ca="1" si="58"/>
        <v>1.2873302331883423</v>
      </c>
    </row>
    <row r="154" spans="1:89">
      <c r="A154" s="176">
        <v>19542</v>
      </c>
      <c r="B154" s="177">
        <v>104</v>
      </c>
      <c r="C154" s="178">
        <v>78</v>
      </c>
      <c r="D154" s="178">
        <v>1550</v>
      </c>
      <c r="E154" s="178" t="s">
        <v>49</v>
      </c>
      <c r="F154" s="179" t="s">
        <v>108</v>
      </c>
      <c r="G154" s="189" t="s">
        <v>114</v>
      </c>
      <c r="H154" s="178" t="s">
        <v>43</v>
      </c>
      <c r="I154" s="178" t="s">
        <v>118</v>
      </c>
      <c r="J154" s="178"/>
      <c r="K154" s="178"/>
      <c r="L154" s="178" t="s">
        <v>59</v>
      </c>
      <c r="M154" s="178">
        <v>30</v>
      </c>
      <c r="N154" s="178">
        <v>500</v>
      </c>
      <c r="O154" s="178"/>
      <c r="P154" s="178"/>
      <c r="Q154" s="178"/>
      <c r="R154" s="178" t="s">
        <v>19</v>
      </c>
      <c r="S154" s="181"/>
      <c r="T154" s="181"/>
      <c r="U154" s="182"/>
      <c r="V154" s="182" t="s">
        <v>35</v>
      </c>
      <c r="W154" s="183">
        <v>80</v>
      </c>
      <c r="X154" s="182" t="s">
        <v>51</v>
      </c>
      <c r="Y154" s="184">
        <v>2530</v>
      </c>
      <c r="Z154" s="184">
        <v>2530</v>
      </c>
      <c r="AA154" s="184">
        <v>2530</v>
      </c>
      <c r="AB154" s="184">
        <v>2530</v>
      </c>
      <c r="AC154" s="184">
        <v>2530</v>
      </c>
      <c r="AD154" s="184">
        <v>2530</v>
      </c>
      <c r="AE154" s="184">
        <v>2430</v>
      </c>
      <c r="AF154" s="184">
        <v>2430</v>
      </c>
      <c r="AG154" s="184">
        <v>2430</v>
      </c>
      <c r="AH154" s="184">
        <v>2050</v>
      </c>
      <c r="AI154" s="184">
        <v>2050</v>
      </c>
      <c r="AJ154" s="184">
        <v>2050</v>
      </c>
      <c r="AK154" s="184">
        <v>2050</v>
      </c>
      <c r="AL154" s="184">
        <v>2050</v>
      </c>
      <c r="AM154" s="184">
        <v>2050</v>
      </c>
      <c r="AN154" s="184">
        <v>2050</v>
      </c>
      <c r="AO154" s="184">
        <v>2050</v>
      </c>
      <c r="AP154" s="184">
        <v>2050</v>
      </c>
      <c r="AQ154" s="184">
        <v>2050</v>
      </c>
      <c r="AR154" s="184">
        <v>2050</v>
      </c>
      <c r="AS154" s="184">
        <v>2050</v>
      </c>
      <c r="AT154" s="184">
        <v>2050</v>
      </c>
      <c r="AU154" s="184">
        <v>2050</v>
      </c>
      <c r="AV154" s="184">
        <v>2050</v>
      </c>
      <c r="AW154" s="184">
        <v>2550</v>
      </c>
      <c r="AX154" s="184">
        <v>2550</v>
      </c>
      <c r="AY154" s="146">
        <f t="shared" si="63"/>
        <v>2050</v>
      </c>
      <c r="AZ154" s="146">
        <f t="shared" si="59"/>
        <v>2050</v>
      </c>
      <c r="BA154" s="146">
        <f t="shared" si="59"/>
        <v>2050</v>
      </c>
      <c r="BB154" s="184"/>
      <c r="BC154" s="184"/>
      <c r="BD154" s="184"/>
      <c r="BE154" s="184"/>
      <c r="BF154" s="184">
        <v>1850</v>
      </c>
      <c r="BG154" s="184">
        <v>1850</v>
      </c>
      <c r="BH154" s="184">
        <v>1850</v>
      </c>
      <c r="BI154" s="184"/>
      <c r="BJ154" s="184"/>
      <c r="BK154" s="184"/>
      <c r="BL154" s="184"/>
      <c r="BM154" s="184"/>
      <c r="BN154" s="184"/>
      <c r="BO154" s="184">
        <v>1850</v>
      </c>
      <c r="BP154" s="184">
        <v>1850</v>
      </c>
      <c r="BQ154" s="184">
        <v>1850</v>
      </c>
      <c r="BR154" s="184"/>
      <c r="BS154" s="184"/>
      <c r="BT154" s="184"/>
      <c r="BU154" s="146" cm="1">
        <f t="array" ref="BU154">LOOKUP(2,1/(Y154:BT154&lt;&gt;""),Y154:BH154)</f>
        <v>1850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46199</v>
      </c>
      <c r="BW154" s="211" cm="1">
        <f t="array" ref="BW154">(LOOKUP(2,1/(BH154:BT154&lt;&gt;""),BH154:BT154))/(INDEX(BH154:BT154,MATCH(TRUE,INDEX((BH154:BT154&lt;&gt;0),0),0)))-1</f>
        <v>0</v>
      </c>
      <c r="BX154" s="212">
        <f t="shared" si="50"/>
        <v>1.85</v>
      </c>
      <c r="BY154" s="212">
        <f t="shared" si="49"/>
        <v>10.915000000000001</v>
      </c>
      <c r="BZ154" s="212">
        <f ca="1">IF(L154="BR",'Impostos e Frete'!$F$6,IF(L154="EU",'Impostos e Frete'!$I$3,IF(L154="CN",'Impostos e Frete'!$I$4,IF(L154="JP",'Impostos e Frete'!$I$5,IF(L154="RU",'Impostos e Frete'!$I$7,"ERRO")))))</f>
        <v>0.14176320000000001</v>
      </c>
      <c r="CA154" s="212">
        <f>VLOOKUP(L154,'Impostos e Frete'!$A$3:$B$7,2,0)*'Preços e Condições'!BY154</f>
        <v>1.4189500000000002</v>
      </c>
      <c r="CB154" s="147">
        <f t="shared" si="51"/>
        <v>0</v>
      </c>
      <c r="CC154" s="147">
        <f>IF(X154="BRL",'Impostos e Frete'!$B$11,'Impostos e Frete'!$B$12)</f>
        <v>9.1999999999999998E-2</v>
      </c>
      <c r="CD154" s="213">
        <f t="shared" ca="1" si="52"/>
        <v>12.567713200000002</v>
      </c>
      <c r="CE154" s="214">
        <f t="shared" ca="1" si="53"/>
        <v>0.9802816296000002</v>
      </c>
      <c r="CF154" s="215">
        <f>VLOOKUP(L154,'Impostos e Frete'!$A$3:$C$7,3,0)</f>
        <v>105</v>
      </c>
      <c r="CG154" s="215">
        <f t="shared" si="54"/>
        <v>30</v>
      </c>
      <c r="CH154" s="215">
        <f t="shared" si="55"/>
        <v>-75</v>
      </c>
      <c r="CI154" s="216">
        <f t="shared" ca="1" si="56"/>
        <v>0.47660447927426475</v>
      </c>
      <c r="CJ154" s="217">
        <f t="shared" ca="1" si="57"/>
        <v>13.044317679274267</v>
      </c>
      <c r="CK154" s="218">
        <f t="shared" ca="1" si="58"/>
        <v>1.0174567789833928</v>
      </c>
    </row>
    <row r="155" spans="1:89">
      <c r="A155" s="176">
        <v>19505</v>
      </c>
      <c r="B155" s="186" t="s">
        <v>374</v>
      </c>
      <c r="C155" s="178">
        <v>65</v>
      </c>
      <c r="D155" s="178">
        <v>1870</v>
      </c>
      <c r="E155" s="178" t="s">
        <v>50</v>
      </c>
      <c r="F155" s="179" t="s">
        <v>108</v>
      </c>
      <c r="G155" s="189" t="s">
        <v>115</v>
      </c>
      <c r="H155" s="178" t="s">
        <v>43</v>
      </c>
      <c r="I155" s="178" t="s">
        <v>119</v>
      </c>
      <c r="J155" s="178"/>
      <c r="K155" s="178"/>
      <c r="L155" s="178" t="s">
        <v>59</v>
      </c>
      <c r="M155" s="178">
        <v>30</v>
      </c>
      <c r="N155" s="178">
        <v>500</v>
      </c>
      <c r="O155" s="178"/>
      <c r="P155" s="178"/>
      <c r="Q155" s="178"/>
      <c r="R155" s="178" t="s">
        <v>19</v>
      </c>
      <c r="S155" s="181"/>
      <c r="T155" s="181"/>
      <c r="U155" s="182"/>
      <c r="V155" s="182" t="s">
        <v>35</v>
      </c>
      <c r="W155" s="183">
        <v>80</v>
      </c>
      <c r="X155" s="182" t="s">
        <v>51</v>
      </c>
      <c r="Y155" s="184">
        <v>2280</v>
      </c>
      <c r="Z155" s="184">
        <v>2280</v>
      </c>
      <c r="AA155" s="184">
        <v>2280</v>
      </c>
      <c r="AB155" s="184">
        <v>2210</v>
      </c>
      <c r="AC155" s="184">
        <v>2210</v>
      </c>
      <c r="AD155" s="184">
        <v>2210</v>
      </c>
      <c r="AE155" s="184">
        <v>2060</v>
      </c>
      <c r="AF155" s="184">
        <v>2060</v>
      </c>
      <c r="AG155" s="184">
        <v>2060</v>
      </c>
      <c r="AH155" s="184">
        <v>1910</v>
      </c>
      <c r="AI155" s="184">
        <v>1910</v>
      </c>
      <c r="AJ155" s="184">
        <v>1910</v>
      </c>
      <c r="AK155" s="184">
        <v>1910</v>
      </c>
      <c r="AL155" s="184">
        <v>1910</v>
      </c>
      <c r="AM155" s="184">
        <v>1910</v>
      </c>
      <c r="AN155" s="184">
        <v>1910</v>
      </c>
      <c r="AO155" s="184">
        <v>1910</v>
      </c>
      <c r="AP155" s="184">
        <v>1910</v>
      </c>
      <c r="AQ155" s="184">
        <v>1960</v>
      </c>
      <c r="AR155" s="184">
        <v>2110</v>
      </c>
      <c r="AS155" s="184">
        <v>2110</v>
      </c>
      <c r="AT155" s="184">
        <v>2110</v>
      </c>
      <c r="AU155" s="184">
        <v>2110</v>
      </c>
      <c r="AV155" s="184">
        <v>2110</v>
      </c>
      <c r="AW155" s="184">
        <v>2510</v>
      </c>
      <c r="AX155" s="184">
        <v>2510</v>
      </c>
      <c r="AY155" s="146">
        <f t="shared" si="63"/>
        <v>2010</v>
      </c>
      <c r="AZ155" s="146">
        <f t="shared" si="59"/>
        <v>2010</v>
      </c>
      <c r="BA155" s="146">
        <f t="shared" si="59"/>
        <v>2010</v>
      </c>
      <c r="BB155" s="184">
        <v>2140</v>
      </c>
      <c r="BC155" s="184">
        <v>2140</v>
      </c>
      <c r="BD155" s="184">
        <v>2140</v>
      </c>
      <c r="BE155" s="184">
        <v>2140</v>
      </c>
      <c r="BF155" s="184">
        <v>1990</v>
      </c>
      <c r="BG155" s="184">
        <v>1990</v>
      </c>
      <c r="BH155" s="184">
        <v>1990</v>
      </c>
      <c r="BI155" s="184"/>
      <c r="BJ155" s="184"/>
      <c r="BK155" s="184"/>
      <c r="BL155" s="184">
        <v>1960</v>
      </c>
      <c r="BM155" s="184">
        <v>1960</v>
      </c>
      <c r="BN155" s="184">
        <v>1960</v>
      </c>
      <c r="BO155" s="184">
        <v>2040</v>
      </c>
      <c r="BP155" s="184">
        <v>2040</v>
      </c>
      <c r="BQ155" s="184">
        <v>2040</v>
      </c>
      <c r="BR155" s="184"/>
      <c r="BS155" s="184"/>
      <c r="BT155" s="184"/>
      <c r="BU155" s="146" cm="1">
        <f t="array" ref="BU155">LOOKUP(2,1/(Y155:BT155&lt;&gt;""),Y155:BH155)</f>
        <v>2040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46199</v>
      </c>
      <c r="BW155" s="211" cm="1">
        <f t="array" ref="BW155">(LOOKUP(2,1/(BH155:BT155&lt;&gt;""),BH155:BT155))/(INDEX(BH155:BT155,MATCH(TRUE,INDEX((BH155:BT155&lt;&gt;0),0),0)))-1</f>
        <v>2.5125628140703515E-2</v>
      </c>
      <c r="BX155" s="212">
        <f t="shared" si="50"/>
        <v>2.04</v>
      </c>
      <c r="BY155" s="212">
        <f t="shared" si="49"/>
        <v>12.036000000000001</v>
      </c>
      <c r="BZ155" s="212">
        <f ca="1">IF(L155="BR",'Impostos e Frete'!$F$6,IF(L155="EU",'Impostos e Frete'!$I$3,IF(L155="CN",'Impostos e Frete'!$I$4,IF(L155="JP",'Impostos e Frete'!$I$5,IF(L155="RU",'Impostos e Frete'!$I$7,"ERRO")))))</f>
        <v>0.14176320000000001</v>
      </c>
      <c r="CA155" s="212">
        <f>VLOOKUP(L155,'Impostos e Frete'!$A$3:$B$7,2,0)*'Preços e Condições'!BY155</f>
        <v>1.5646800000000003</v>
      </c>
      <c r="CB155" s="147">
        <f t="shared" si="51"/>
        <v>0</v>
      </c>
      <c r="CC155" s="147">
        <f>IF(X155="BRL",'Impostos e Frete'!$B$11,'Impostos e Frete'!$B$12)</f>
        <v>9.1999999999999998E-2</v>
      </c>
      <c r="CD155" s="213">
        <f t="shared" ca="1" si="52"/>
        <v>13.834443200000003</v>
      </c>
      <c r="CE155" s="214">
        <f t="shared" ca="1" si="53"/>
        <v>0.89923880800000022</v>
      </c>
      <c r="CF155" s="215">
        <f>VLOOKUP(L155,'Impostos e Frete'!$A$3:$C$7,3,0)</f>
        <v>105</v>
      </c>
      <c r="CG155" s="215">
        <f t="shared" si="54"/>
        <v>30</v>
      </c>
      <c r="CH155" s="215">
        <f t="shared" si="55"/>
        <v>-75</v>
      </c>
      <c r="CI155" s="216">
        <f t="shared" ca="1" si="56"/>
        <v>0.52464258950350562</v>
      </c>
      <c r="CJ155" s="217">
        <f t="shared" ca="1" si="57"/>
        <v>14.359085789503508</v>
      </c>
      <c r="CK155" s="218">
        <f t="shared" ca="1" si="58"/>
        <v>0.93334057631772804</v>
      </c>
    </row>
    <row r="156" spans="1:89">
      <c r="A156" s="176">
        <v>19505</v>
      </c>
      <c r="B156" s="186" t="s">
        <v>374</v>
      </c>
      <c r="C156" s="178">
        <v>65</v>
      </c>
      <c r="D156" s="178">
        <v>1870</v>
      </c>
      <c r="E156" s="178" t="s">
        <v>50</v>
      </c>
      <c r="F156" s="179" t="s">
        <v>108</v>
      </c>
      <c r="G156" s="189" t="s">
        <v>115</v>
      </c>
      <c r="H156" s="178" t="s">
        <v>43</v>
      </c>
      <c r="I156" s="178" t="s">
        <v>119</v>
      </c>
      <c r="J156" s="178"/>
      <c r="K156" s="178"/>
      <c r="L156" s="178" t="s">
        <v>59</v>
      </c>
      <c r="M156" s="178">
        <v>30</v>
      </c>
      <c r="N156" s="178">
        <v>500</v>
      </c>
      <c r="O156" s="178"/>
      <c r="P156" s="178"/>
      <c r="Q156" s="178"/>
      <c r="R156" s="178" t="s">
        <v>19</v>
      </c>
      <c r="S156" s="181"/>
      <c r="T156" s="181"/>
      <c r="U156" s="182"/>
      <c r="V156" s="182" t="s">
        <v>35</v>
      </c>
      <c r="W156" s="183">
        <v>50</v>
      </c>
      <c r="X156" s="182" t="s">
        <v>51</v>
      </c>
      <c r="Y156" s="184">
        <v>2480</v>
      </c>
      <c r="Z156" s="184">
        <v>2480</v>
      </c>
      <c r="AA156" s="184">
        <v>2480</v>
      </c>
      <c r="AB156" s="184">
        <v>2410</v>
      </c>
      <c r="AC156" s="184">
        <v>2410</v>
      </c>
      <c r="AD156" s="184">
        <v>2410</v>
      </c>
      <c r="AE156" s="184">
        <v>2260</v>
      </c>
      <c r="AF156" s="184">
        <v>2260</v>
      </c>
      <c r="AG156" s="184">
        <v>2260</v>
      </c>
      <c r="AH156" s="184">
        <v>2110</v>
      </c>
      <c r="AI156" s="184">
        <v>2110</v>
      </c>
      <c r="AJ156" s="184">
        <v>2110</v>
      </c>
      <c r="AK156" s="184">
        <v>2110</v>
      </c>
      <c r="AL156" s="184">
        <v>2110</v>
      </c>
      <c r="AM156" s="184">
        <v>2110</v>
      </c>
      <c r="AN156" s="184">
        <v>2110</v>
      </c>
      <c r="AO156" s="184">
        <v>2110</v>
      </c>
      <c r="AP156" s="184">
        <v>2110</v>
      </c>
      <c r="AQ156" s="184">
        <v>2160</v>
      </c>
      <c r="AR156" s="184">
        <v>2310</v>
      </c>
      <c r="AS156" s="184">
        <v>2310</v>
      </c>
      <c r="AT156" s="184">
        <v>2310</v>
      </c>
      <c r="AU156" s="184">
        <v>2310</v>
      </c>
      <c r="AV156" s="184">
        <v>2310</v>
      </c>
      <c r="AW156" s="184">
        <v>2530</v>
      </c>
      <c r="AX156" s="184">
        <v>2530</v>
      </c>
      <c r="AY156" s="146">
        <f t="shared" si="63"/>
        <v>2030</v>
      </c>
      <c r="AZ156" s="146">
        <f t="shared" si="59"/>
        <v>2030</v>
      </c>
      <c r="BA156" s="146">
        <f t="shared" si="59"/>
        <v>2030</v>
      </c>
      <c r="BB156" s="184">
        <v>2160</v>
      </c>
      <c r="BC156" s="184">
        <v>2160</v>
      </c>
      <c r="BD156" s="184">
        <v>2160</v>
      </c>
      <c r="BE156" s="184">
        <v>2160</v>
      </c>
      <c r="BF156" s="184">
        <v>2010</v>
      </c>
      <c r="BG156" s="184">
        <v>2010</v>
      </c>
      <c r="BH156" s="184">
        <v>2010</v>
      </c>
      <c r="BI156" s="184"/>
      <c r="BJ156" s="184"/>
      <c r="BK156" s="184"/>
      <c r="BL156" s="184">
        <v>1980</v>
      </c>
      <c r="BM156" s="184">
        <v>1980</v>
      </c>
      <c r="BN156" s="184">
        <v>1980</v>
      </c>
      <c r="BO156" s="184">
        <v>2240</v>
      </c>
      <c r="BP156" s="184">
        <v>2240</v>
      </c>
      <c r="BQ156" s="184">
        <v>2240</v>
      </c>
      <c r="BR156" s="184"/>
      <c r="BS156" s="184"/>
      <c r="BT156" s="184"/>
      <c r="BU156" s="146" cm="1">
        <f t="array" ref="BU156">LOOKUP(2,1/(Y156:BT156&lt;&gt;""),Y156:BH156)</f>
        <v>2240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46199</v>
      </c>
      <c r="BW156" s="211" cm="1">
        <f t="array" ref="BW156">(LOOKUP(2,1/(BH156:BT156&lt;&gt;""),BH156:BT156))/(INDEX(BH156:BT156,MATCH(TRUE,INDEX((BH156:BT156&lt;&gt;0),0),0)))-1</f>
        <v>0.11442786069651745</v>
      </c>
      <c r="BX156" s="212">
        <f t="shared" si="50"/>
        <v>2.2400000000000002</v>
      </c>
      <c r="BY156" s="212">
        <f t="shared" si="49"/>
        <v>13.216000000000003</v>
      </c>
      <c r="BZ156" s="212">
        <f ca="1">IF(L156="BR",'Impostos e Frete'!$F$6,IF(L156="EU",'Impostos e Frete'!$I$3,IF(L156="CN",'Impostos e Frete'!$I$4,IF(L156="JP",'Impostos e Frete'!$I$5,IF(L156="RU",'Impostos e Frete'!$I$7,"ERRO")))))</f>
        <v>0.14176320000000001</v>
      </c>
      <c r="CA156" s="212">
        <f>VLOOKUP(L156,'Impostos e Frete'!$A$3:$B$7,2,0)*'Preços e Condições'!BY156</f>
        <v>1.7180800000000005</v>
      </c>
      <c r="CB156" s="147">
        <f t="shared" si="51"/>
        <v>0</v>
      </c>
      <c r="CC156" s="147">
        <f>IF(X156="BRL",'Impostos e Frete'!$B$11,'Impostos e Frete'!$B$12)</f>
        <v>9.1999999999999998E-2</v>
      </c>
      <c r="CD156" s="213">
        <f t="shared" ca="1" si="52"/>
        <v>15.167843200000004</v>
      </c>
      <c r="CE156" s="214">
        <f t="shared" ca="1" si="53"/>
        <v>0.98590980800000017</v>
      </c>
      <c r="CF156" s="215">
        <f>VLOOKUP(L156,'Impostos e Frete'!$A$3:$C$7,3,0)</f>
        <v>105</v>
      </c>
      <c r="CG156" s="215">
        <f t="shared" si="54"/>
        <v>30</v>
      </c>
      <c r="CH156" s="215">
        <f t="shared" si="55"/>
        <v>-75</v>
      </c>
      <c r="CI156" s="216">
        <f t="shared" ca="1" si="56"/>
        <v>0.57520902132375973</v>
      </c>
      <c r="CJ156" s="217">
        <f t="shared" ca="1" si="57"/>
        <v>15.743052221323763</v>
      </c>
      <c r="CK156" s="218">
        <f t="shared" ca="1" si="58"/>
        <v>1.0232983943860445</v>
      </c>
    </row>
    <row r="157" spans="1:89">
      <c r="A157" s="176">
        <v>19505</v>
      </c>
      <c r="B157" s="186" t="s">
        <v>374</v>
      </c>
      <c r="C157" s="178">
        <v>65</v>
      </c>
      <c r="D157" s="178">
        <v>1870</v>
      </c>
      <c r="E157" s="178" t="s">
        <v>50</v>
      </c>
      <c r="F157" s="179" t="s">
        <v>108</v>
      </c>
      <c r="G157" s="189" t="s">
        <v>115</v>
      </c>
      <c r="H157" s="178" t="s">
        <v>43</v>
      </c>
      <c r="I157" s="178" t="s">
        <v>119</v>
      </c>
      <c r="J157" s="178"/>
      <c r="K157" s="178"/>
      <c r="L157" s="178" t="s">
        <v>59</v>
      </c>
      <c r="M157" s="178">
        <v>30</v>
      </c>
      <c r="N157" s="178">
        <v>500</v>
      </c>
      <c r="O157" s="178"/>
      <c r="P157" s="178"/>
      <c r="Q157" s="178"/>
      <c r="R157" s="178" t="s">
        <v>19</v>
      </c>
      <c r="S157" s="181"/>
      <c r="T157" s="181"/>
      <c r="U157" s="182"/>
      <c r="V157" s="182" t="s">
        <v>35</v>
      </c>
      <c r="W157" s="183">
        <v>20</v>
      </c>
      <c r="X157" s="182" t="s">
        <v>51</v>
      </c>
      <c r="Y157" s="184">
        <v>2980</v>
      </c>
      <c r="Z157" s="184">
        <v>2980</v>
      </c>
      <c r="AA157" s="184">
        <v>2980</v>
      </c>
      <c r="AB157" s="184">
        <v>2910</v>
      </c>
      <c r="AC157" s="184">
        <v>2910</v>
      </c>
      <c r="AD157" s="184">
        <v>2910</v>
      </c>
      <c r="AE157" s="184">
        <v>2760</v>
      </c>
      <c r="AF157" s="184">
        <v>2760</v>
      </c>
      <c r="AG157" s="184">
        <v>2760</v>
      </c>
      <c r="AH157" s="184">
        <v>2610</v>
      </c>
      <c r="AI157" s="184">
        <v>2610</v>
      </c>
      <c r="AJ157" s="184">
        <v>2610</v>
      </c>
      <c r="AK157" s="184">
        <v>2610</v>
      </c>
      <c r="AL157" s="184">
        <v>2610</v>
      </c>
      <c r="AM157" s="184">
        <v>2610</v>
      </c>
      <c r="AN157" s="184">
        <v>2610</v>
      </c>
      <c r="AO157" s="184">
        <v>2610</v>
      </c>
      <c r="AP157" s="184">
        <v>2610</v>
      </c>
      <c r="AQ157" s="184">
        <v>2660</v>
      </c>
      <c r="AR157" s="184">
        <v>2810</v>
      </c>
      <c r="AS157" s="184">
        <v>2810</v>
      </c>
      <c r="AT157" s="184">
        <v>2810</v>
      </c>
      <c r="AU157" s="184">
        <v>2810</v>
      </c>
      <c r="AV157" s="184">
        <v>2810</v>
      </c>
      <c r="AW157" s="184">
        <v>2580</v>
      </c>
      <c r="AX157" s="184">
        <v>2580</v>
      </c>
      <c r="AY157" s="146">
        <f t="shared" si="63"/>
        <v>2080</v>
      </c>
      <c r="AZ157" s="146">
        <f t="shared" si="59"/>
        <v>2080</v>
      </c>
      <c r="BA157" s="146">
        <f t="shared" si="59"/>
        <v>2080</v>
      </c>
      <c r="BB157" s="184">
        <v>2210</v>
      </c>
      <c r="BC157" s="184">
        <v>2210</v>
      </c>
      <c r="BD157" s="184">
        <v>2210</v>
      </c>
      <c r="BE157" s="184">
        <v>2210</v>
      </c>
      <c r="BF157" s="184">
        <v>2060</v>
      </c>
      <c r="BG157" s="184">
        <v>2060</v>
      </c>
      <c r="BH157" s="184">
        <v>2060</v>
      </c>
      <c r="BI157" s="184"/>
      <c r="BJ157" s="184"/>
      <c r="BK157" s="184"/>
      <c r="BL157" s="184">
        <v>2010</v>
      </c>
      <c r="BM157" s="184">
        <v>2010</v>
      </c>
      <c r="BN157" s="184">
        <v>2010</v>
      </c>
      <c r="BO157" s="184">
        <v>2740</v>
      </c>
      <c r="BP157" s="184">
        <v>2740</v>
      </c>
      <c r="BQ157" s="184">
        <v>2740</v>
      </c>
      <c r="BR157" s="184"/>
      <c r="BS157" s="184"/>
      <c r="BT157" s="184"/>
      <c r="BU157" s="146" cm="1">
        <f t="array" ref="BU157">LOOKUP(2,1/(Y157:BT157&lt;&gt;""),Y157:BH157)</f>
        <v>2740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46199</v>
      </c>
      <c r="BW157" s="211" cm="1">
        <f t="array" ref="BW157">(LOOKUP(2,1/(BH157:BT157&lt;&gt;""),BH157:BT157))/(INDEX(BH157:BT157,MATCH(TRUE,INDEX((BH157:BT157&lt;&gt;0),0),0)))-1</f>
        <v>0.33009708737864085</v>
      </c>
      <c r="BX157" s="212">
        <f t="shared" si="50"/>
        <v>2.74</v>
      </c>
      <c r="BY157" s="212">
        <f t="shared" si="49"/>
        <v>16.166000000000004</v>
      </c>
      <c r="BZ157" s="212">
        <f ca="1">IF(L157="BR",'Impostos e Frete'!$F$6,IF(L157="EU",'Impostos e Frete'!$I$3,IF(L157="CN",'Impostos e Frete'!$I$4,IF(L157="JP",'Impostos e Frete'!$I$5,IF(L157="RU",'Impostos e Frete'!$I$7,"ERRO")))))</f>
        <v>0.14176320000000001</v>
      </c>
      <c r="CA157" s="212">
        <f>VLOOKUP(L157,'Impostos e Frete'!$A$3:$B$7,2,0)*'Preços e Condições'!BY157</f>
        <v>2.1015800000000007</v>
      </c>
      <c r="CB157" s="147">
        <f t="shared" si="51"/>
        <v>0</v>
      </c>
      <c r="CC157" s="147">
        <f>IF(X157="BRL",'Impostos e Frete'!$B$11,'Impostos e Frete'!$B$12)</f>
        <v>9.1999999999999998E-2</v>
      </c>
      <c r="CD157" s="213">
        <f t="shared" ca="1" si="52"/>
        <v>18.501343200000004</v>
      </c>
      <c r="CE157" s="214">
        <f t="shared" ca="1" si="53"/>
        <v>1.2025873080000005</v>
      </c>
      <c r="CF157" s="215">
        <f>VLOOKUP(L157,'Impostos e Frete'!$A$3:$C$7,3,0)</f>
        <v>105</v>
      </c>
      <c r="CG157" s="215">
        <f t="shared" si="54"/>
        <v>30</v>
      </c>
      <c r="CH157" s="215">
        <f t="shared" si="55"/>
        <v>-75</v>
      </c>
      <c r="CI157" s="216">
        <f t="shared" ca="1" si="56"/>
        <v>0.701625100874395</v>
      </c>
      <c r="CJ157" s="217">
        <f t="shared" ca="1" si="57"/>
        <v>19.202968300874399</v>
      </c>
      <c r="CK157" s="218">
        <f t="shared" ca="1" si="58"/>
        <v>1.2481929395568359</v>
      </c>
    </row>
    <row r="158" spans="1:89">
      <c r="A158" s="176">
        <v>19526</v>
      </c>
      <c r="B158" s="186" t="s">
        <v>374</v>
      </c>
      <c r="C158" s="178">
        <v>65</v>
      </c>
      <c r="D158" s="178">
        <v>2175</v>
      </c>
      <c r="E158" s="178" t="s">
        <v>50</v>
      </c>
      <c r="F158" s="179" t="s">
        <v>108</v>
      </c>
      <c r="G158" s="189" t="s">
        <v>115</v>
      </c>
      <c r="H158" s="178" t="s">
        <v>43</v>
      </c>
      <c r="I158" s="178" t="s">
        <v>119</v>
      </c>
      <c r="J158" s="178"/>
      <c r="K158" s="178"/>
      <c r="L158" s="178" t="s">
        <v>59</v>
      </c>
      <c r="M158" s="178">
        <v>30</v>
      </c>
      <c r="N158" s="178">
        <v>500</v>
      </c>
      <c r="O158" s="178"/>
      <c r="P158" s="178"/>
      <c r="Q158" s="178"/>
      <c r="R158" s="178" t="s">
        <v>19</v>
      </c>
      <c r="S158" s="181"/>
      <c r="T158" s="181"/>
      <c r="U158" s="182"/>
      <c r="V158" s="182" t="s">
        <v>35</v>
      </c>
      <c r="W158" s="183">
        <v>80</v>
      </c>
      <c r="X158" s="182" t="s">
        <v>51</v>
      </c>
      <c r="Y158" s="184">
        <v>2280</v>
      </c>
      <c r="Z158" s="184">
        <v>2280</v>
      </c>
      <c r="AA158" s="184">
        <v>2280</v>
      </c>
      <c r="AB158" s="184">
        <v>2210</v>
      </c>
      <c r="AC158" s="184">
        <v>2210</v>
      </c>
      <c r="AD158" s="184">
        <v>2210</v>
      </c>
      <c r="AE158" s="184">
        <v>2060</v>
      </c>
      <c r="AF158" s="184">
        <v>2060</v>
      </c>
      <c r="AG158" s="184">
        <v>2060</v>
      </c>
      <c r="AH158" s="184">
        <v>1910</v>
      </c>
      <c r="AI158" s="184">
        <v>1910</v>
      </c>
      <c r="AJ158" s="184">
        <v>1910</v>
      </c>
      <c r="AK158" s="184">
        <v>1910</v>
      </c>
      <c r="AL158" s="184">
        <v>1910</v>
      </c>
      <c r="AM158" s="184">
        <v>1910</v>
      </c>
      <c r="AN158" s="184">
        <v>1910</v>
      </c>
      <c r="AO158" s="184">
        <v>1910</v>
      </c>
      <c r="AP158" s="184">
        <v>1910</v>
      </c>
      <c r="AQ158" s="184">
        <v>1960</v>
      </c>
      <c r="AR158" s="184">
        <v>2110</v>
      </c>
      <c r="AS158" s="184">
        <v>2110</v>
      </c>
      <c r="AT158" s="184">
        <v>2110</v>
      </c>
      <c r="AU158" s="184">
        <v>2110</v>
      </c>
      <c r="AV158" s="184">
        <v>2110</v>
      </c>
      <c r="AW158" s="184">
        <v>2510</v>
      </c>
      <c r="AX158" s="184">
        <v>2510</v>
      </c>
      <c r="AY158" s="146">
        <f t="shared" si="63"/>
        <v>2010</v>
      </c>
      <c r="AZ158" s="146">
        <f t="shared" si="59"/>
        <v>2010</v>
      </c>
      <c r="BA158" s="146">
        <f t="shared" si="59"/>
        <v>2010</v>
      </c>
      <c r="BB158" s="184">
        <v>2140</v>
      </c>
      <c r="BC158" s="184">
        <v>2140</v>
      </c>
      <c r="BD158" s="184">
        <v>2140</v>
      </c>
      <c r="BE158" s="184">
        <v>2140</v>
      </c>
      <c r="BF158" s="184">
        <v>1990</v>
      </c>
      <c r="BG158" s="184">
        <v>1990</v>
      </c>
      <c r="BH158" s="184">
        <v>1990</v>
      </c>
      <c r="BI158" s="184"/>
      <c r="BJ158" s="184"/>
      <c r="BK158" s="184"/>
      <c r="BL158" s="184">
        <v>1960</v>
      </c>
      <c r="BM158" s="184">
        <v>1960</v>
      </c>
      <c r="BN158" s="184">
        <v>1960</v>
      </c>
      <c r="BO158" s="184">
        <v>2040</v>
      </c>
      <c r="BP158" s="184">
        <v>2040</v>
      </c>
      <c r="BQ158" s="184">
        <v>2040</v>
      </c>
      <c r="BR158" s="184"/>
      <c r="BS158" s="184"/>
      <c r="BT158" s="184"/>
      <c r="BU158" s="146" cm="1">
        <f t="array" ref="BU158">LOOKUP(2,1/(Y158:BT158&lt;&gt;""),Y158:BH158)</f>
        <v>2040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46199</v>
      </c>
      <c r="BW158" s="211" cm="1">
        <f t="array" ref="BW158">(LOOKUP(2,1/(BH158:BT158&lt;&gt;""),BH158:BT158))/(INDEX(BH158:BT158,MATCH(TRUE,INDEX((BH158:BT158&lt;&gt;0),0),0)))-1</f>
        <v>2.5125628140703515E-2</v>
      </c>
      <c r="BX158" s="212">
        <f t="shared" si="50"/>
        <v>2.04</v>
      </c>
      <c r="BY158" s="212">
        <f t="shared" si="49"/>
        <v>12.036000000000001</v>
      </c>
      <c r="BZ158" s="212">
        <f ca="1">IF(L158="BR",'Impostos e Frete'!$F$6,IF(L158="EU",'Impostos e Frete'!$I$3,IF(L158="CN",'Impostos e Frete'!$I$4,IF(L158="JP",'Impostos e Frete'!$I$5,IF(L158="RU",'Impostos e Frete'!$I$7,"ERRO")))))</f>
        <v>0.14176320000000001</v>
      </c>
      <c r="CA158" s="212">
        <f>VLOOKUP(L158,'Impostos e Frete'!$A$3:$B$7,2,0)*'Preços e Condições'!BY158</f>
        <v>1.5646800000000003</v>
      </c>
      <c r="CB158" s="147">
        <f t="shared" si="51"/>
        <v>0</v>
      </c>
      <c r="CC158" s="147">
        <f>IF(X158="BRL",'Impostos e Frete'!$B$11,'Impostos e Frete'!$B$12)</f>
        <v>9.1999999999999998E-2</v>
      </c>
      <c r="CD158" s="213">
        <f t="shared" ca="1" si="52"/>
        <v>13.834443200000003</v>
      </c>
      <c r="CE158" s="214">
        <f t="shared" ca="1" si="53"/>
        <v>0.89923880800000022</v>
      </c>
      <c r="CF158" s="215">
        <f>VLOOKUP(L158,'Impostos e Frete'!$A$3:$C$7,3,0)</f>
        <v>105</v>
      </c>
      <c r="CG158" s="215">
        <f t="shared" si="54"/>
        <v>30</v>
      </c>
      <c r="CH158" s="215">
        <f t="shared" si="55"/>
        <v>-75</v>
      </c>
      <c r="CI158" s="216">
        <f t="shared" ca="1" si="56"/>
        <v>0.52464258950350562</v>
      </c>
      <c r="CJ158" s="217">
        <f t="shared" ca="1" si="57"/>
        <v>14.359085789503508</v>
      </c>
      <c r="CK158" s="218">
        <f t="shared" ca="1" si="58"/>
        <v>0.93334057631772804</v>
      </c>
    </row>
    <row r="159" spans="1:89">
      <c r="A159" s="176">
        <v>19526</v>
      </c>
      <c r="B159" s="186" t="s">
        <v>374</v>
      </c>
      <c r="C159" s="178">
        <v>65</v>
      </c>
      <c r="D159" s="178">
        <v>2175</v>
      </c>
      <c r="E159" s="178" t="s">
        <v>50</v>
      </c>
      <c r="F159" s="179" t="s">
        <v>108</v>
      </c>
      <c r="G159" s="189" t="s">
        <v>115</v>
      </c>
      <c r="H159" s="178" t="s">
        <v>43</v>
      </c>
      <c r="I159" s="178" t="s">
        <v>119</v>
      </c>
      <c r="J159" s="178"/>
      <c r="K159" s="178"/>
      <c r="L159" s="178" t="s">
        <v>59</v>
      </c>
      <c r="M159" s="178">
        <v>30</v>
      </c>
      <c r="N159" s="178">
        <v>500</v>
      </c>
      <c r="O159" s="178"/>
      <c r="P159" s="178"/>
      <c r="Q159" s="178"/>
      <c r="R159" s="178" t="s">
        <v>19</v>
      </c>
      <c r="S159" s="181"/>
      <c r="T159" s="181"/>
      <c r="U159" s="182"/>
      <c r="V159" s="182" t="s">
        <v>35</v>
      </c>
      <c r="W159" s="183">
        <v>50</v>
      </c>
      <c r="X159" s="182" t="s">
        <v>51</v>
      </c>
      <c r="Y159" s="184">
        <v>2480</v>
      </c>
      <c r="Z159" s="184">
        <v>2480</v>
      </c>
      <c r="AA159" s="184">
        <v>2480</v>
      </c>
      <c r="AB159" s="184">
        <v>2410</v>
      </c>
      <c r="AC159" s="184">
        <v>2410</v>
      </c>
      <c r="AD159" s="184">
        <v>2410</v>
      </c>
      <c r="AE159" s="184">
        <v>2260</v>
      </c>
      <c r="AF159" s="184">
        <v>2260</v>
      </c>
      <c r="AG159" s="184">
        <v>2260</v>
      </c>
      <c r="AH159" s="184">
        <v>2110</v>
      </c>
      <c r="AI159" s="184">
        <v>2110</v>
      </c>
      <c r="AJ159" s="184">
        <v>2110</v>
      </c>
      <c r="AK159" s="184">
        <v>2110</v>
      </c>
      <c r="AL159" s="184">
        <v>2110</v>
      </c>
      <c r="AM159" s="184">
        <v>2110</v>
      </c>
      <c r="AN159" s="184">
        <v>2110</v>
      </c>
      <c r="AO159" s="184">
        <v>2110</v>
      </c>
      <c r="AP159" s="184">
        <v>2110</v>
      </c>
      <c r="AQ159" s="184">
        <v>2160</v>
      </c>
      <c r="AR159" s="184">
        <v>2310</v>
      </c>
      <c r="AS159" s="184">
        <v>2310</v>
      </c>
      <c r="AT159" s="184">
        <v>2310</v>
      </c>
      <c r="AU159" s="184">
        <v>2310</v>
      </c>
      <c r="AV159" s="184">
        <v>2310</v>
      </c>
      <c r="AW159" s="184">
        <v>2530</v>
      </c>
      <c r="AX159" s="184">
        <v>2530</v>
      </c>
      <c r="AY159" s="146">
        <f t="shared" si="63"/>
        <v>2030</v>
      </c>
      <c r="AZ159" s="146">
        <f t="shared" si="59"/>
        <v>2030</v>
      </c>
      <c r="BA159" s="146">
        <f t="shared" si="59"/>
        <v>2030</v>
      </c>
      <c r="BB159" s="184">
        <v>2160</v>
      </c>
      <c r="BC159" s="184">
        <v>2160</v>
      </c>
      <c r="BD159" s="184">
        <v>2160</v>
      </c>
      <c r="BE159" s="184">
        <v>2160</v>
      </c>
      <c r="BF159" s="184">
        <v>2010</v>
      </c>
      <c r="BG159" s="184">
        <v>2010</v>
      </c>
      <c r="BH159" s="184">
        <v>2010</v>
      </c>
      <c r="BI159" s="184"/>
      <c r="BJ159" s="184"/>
      <c r="BK159" s="184"/>
      <c r="BL159" s="184">
        <v>1980</v>
      </c>
      <c r="BM159" s="184">
        <v>1980</v>
      </c>
      <c r="BN159" s="184">
        <v>1980</v>
      </c>
      <c r="BO159" s="184">
        <v>2240</v>
      </c>
      <c r="BP159" s="184">
        <v>2240</v>
      </c>
      <c r="BQ159" s="184">
        <v>2240</v>
      </c>
      <c r="BR159" s="184"/>
      <c r="BS159" s="184"/>
      <c r="BT159" s="184"/>
      <c r="BU159" s="146" cm="1">
        <f t="array" ref="BU159">LOOKUP(2,1/(Y159:BT159&lt;&gt;""),Y159:BH159)</f>
        <v>2240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46199</v>
      </c>
      <c r="BW159" s="211" cm="1">
        <f t="array" ref="BW159">(LOOKUP(2,1/(BH159:BT159&lt;&gt;""),BH159:BT159))/(INDEX(BH159:BT159,MATCH(TRUE,INDEX((BH159:BT159&lt;&gt;0),0),0)))-1</f>
        <v>0.11442786069651745</v>
      </c>
      <c r="BX159" s="212">
        <f t="shared" si="50"/>
        <v>2.2400000000000002</v>
      </c>
      <c r="BY159" s="212">
        <f t="shared" si="49"/>
        <v>13.216000000000003</v>
      </c>
      <c r="BZ159" s="212">
        <f ca="1">IF(L159="BR",'Impostos e Frete'!$F$6,IF(L159="EU",'Impostos e Frete'!$I$3,IF(L159="CN",'Impostos e Frete'!$I$4,IF(L159="JP",'Impostos e Frete'!$I$5,IF(L159="RU",'Impostos e Frete'!$I$7,"ERRO")))))</f>
        <v>0.14176320000000001</v>
      </c>
      <c r="CA159" s="212">
        <f>VLOOKUP(L159,'Impostos e Frete'!$A$3:$B$7,2,0)*'Preços e Condições'!BY159</f>
        <v>1.7180800000000005</v>
      </c>
      <c r="CB159" s="147">
        <f t="shared" si="51"/>
        <v>0</v>
      </c>
      <c r="CC159" s="147">
        <f>IF(X159="BRL",'Impostos e Frete'!$B$11,'Impostos e Frete'!$B$12)</f>
        <v>9.1999999999999998E-2</v>
      </c>
      <c r="CD159" s="213">
        <f t="shared" ca="1" si="52"/>
        <v>15.167843200000004</v>
      </c>
      <c r="CE159" s="214">
        <f t="shared" ca="1" si="53"/>
        <v>0.98590980800000017</v>
      </c>
      <c r="CF159" s="215">
        <f>VLOOKUP(L159,'Impostos e Frete'!$A$3:$C$7,3,0)</f>
        <v>105</v>
      </c>
      <c r="CG159" s="215">
        <f t="shared" si="54"/>
        <v>30</v>
      </c>
      <c r="CH159" s="215">
        <f t="shared" si="55"/>
        <v>-75</v>
      </c>
      <c r="CI159" s="216">
        <f t="shared" ca="1" si="56"/>
        <v>0.57520902132375973</v>
      </c>
      <c r="CJ159" s="217">
        <f t="shared" ca="1" si="57"/>
        <v>15.743052221323763</v>
      </c>
      <c r="CK159" s="218">
        <f t="shared" ca="1" si="58"/>
        <v>1.0232983943860445</v>
      </c>
    </row>
    <row r="160" spans="1:89">
      <c r="A160" s="176">
        <v>19526</v>
      </c>
      <c r="B160" s="186" t="s">
        <v>374</v>
      </c>
      <c r="C160" s="178">
        <v>65</v>
      </c>
      <c r="D160" s="178">
        <v>2175</v>
      </c>
      <c r="E160" s="178" t="s">
        <v>50</v>
      </c>
      <c r="F160" s="179" t="s">
        <v>108</v>
      </c>
      <c r="G160" s="189" t="s">
        <v>115</v>
      </c>
      <c r="H160" s="178" t="s">
        <v>43</v>
      </c>
      <c r="I160" s="178" t="s">
        <v>119</v>
      </c>
      <c r="J160" s="178"/>
      <c r="K160" s="178"/>
      <c r="L160" s="178" t="s">
        <v>59</v>
      </c>
      <c r="M160" s="178">
        <v>30</v>
      </c>
      <c r="N160" s="178">
        <v>500</v>
      </c>
      <c r="O160" s="178"/>
      <c r="P160" s="178"/>
      <c r="Q160" s="178"/>
      <c r="R160" s="178" t="s">
        <v>19</v>
      </c>
      <c r="S160" s="181"/>
      <c r="T160" s="181"/>
      <c r="U160" s="182"/>
      <c r="V160" s="182" t="s">
        <v>35</v>
      </c>
      <c r="W160" s="183">
        <v>20</v>
      </c>
      <c r="X160" s="182" t="s">
        <v>51</v>
      </c>
      <c r="Y160" s="184">
        <v>2980</v>
      </c>
      <c r="Z160" s="184">
        <v>2980</v>
      </c>
      <c r="AA160" s="184">
        <v>2980</v>
      </c>
      <c r="AB160" s="184">
        <v>2910</v>
      </c>
      <c r="AC160" s="184">
        <v>2910</v>
      </c>
      <c r="AD160" s="184">
        <v>2910</v>
      </c>
      <c r="AE160" s="184">
        <v>2760</v>
      </c>
      <c r="AF160" s="184">
        <v>2760</v>
      </c>
      <c r="AG160" s="184">
        <v>2760</v>
      </c>
      <c r="AH160" s="184">
        <v>2610</v>
      </c>
      <c r="AI160" s="184">
        <v>2610</v>
      </c>
      <c r="AJ160" s="184">
        <v>2610</v>
      </c>
      <c r="AK160" s="184">
        <v>2610</v>
      </c>
      <c r="AL160" s="184">
        <v>2610</v>
      </c>
      <c r="AM160" s="184">
        <v>2610</v>
      </c>
      <c r="AN160" s="184">
        <v>2610</v>
      </c>
      <c r="AO160" s="184">
        <v>2610</v>
      </c>
      <c r="AP160" s="184">
        <v>2610</v>
      </c>
      <c r="AQ160" s="184">
        <v>2660</v>
      </c>
      <c r="AR160" s="184">
        <v>2810</v>
      </c>
      <c r="AS160" s="184">
        <v>2810</v>
      </c>
      <c r="AT160" s="184">
        <v>2810</v>
      </c>
      <c r="AU160" s="184">
        <v>2810</v>
      </c>
      <c r="AV160" s="184">
        <v>2810</v>
      </c>
      <c r="AW160" s="184">
        <v>2580</v>
      </c>
      <c r="AX160" s="184">
        <v>2580</v>
      </c>
      <c r="AY160" s="146">
        <f t="shared" si="63"/>
        <v>2080</v>
      </c>
      <c r="AZ160" s="146">
        <f t="shared" ref="AZ160:BA175" si="64">AY160</f>
        <v>2080</v>
      </c>
      <c r="BA160" s="146">
        <f t="shared" si="64"/>
        <v>2080</v>
      </c>
      <c r="BB160" s="184">
        <v>2210</v>
      </c>
      <c r="BC160" s="184">
        <v>2210</v>
      </c>
      <c r="BD160" s="184">
        <v>2210</v>
      </c>
      <c r="BE160" s="184">
        <v>2210</v>
      </c>
      <c r="BF160" s="184">
        <v>2060</v>
      </c>
      <c r="BG160" s="184">
        <v>2060</v>
      </c>
      <c r="BH160" s="184">
        <v>2060</v>
      </c>
      <c r="BI160" s="184"/>
      <c r="BJ160" s="184"/>
      <c r="BK160" s="184"/>
      <c r="BL160" s="184">
        <v>2010</v>
      </c>
      <c r="BM160" s="184">
        <v>2010</v>
      </c>
      <c r="BN160" s="184">
        <v>2010</v>
      </c>
      <c r="BO160" s="184">
        <v>2740</v>
      </c>
      <c r="BP160" s="184">
        <v>2740</v>
      </c>
      <c r="BQ160" s="184">
        <v>2740</v>
      </c>
      <c r="BR160" s="184"/>
      <c r="BS160" s="184"/>
      <c r="BT160" s="184"/>
      <c r="BU160" s="146" cm="1">
        <f t="array" ref="BU160">LOOKUP(2,1/(Y160:BT160&lt;&gt;""),Y160:BH160)</f>
        <v>2740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46199</v>
      </c>
      <c r="BW160" s="211" cm="1">
        <f t="array" ref="BW160">(LOOKUP(2,1/(BH160:BT160&lt;&gt;""),BH160:BT160))/(INDEX(BH160:BT160,MATCH(TRUE,INDEX((BH160:BT160&lt;&gt;0),0),0)))-1</f>
        <v>0.33009708737864085</v>
      </c>
      <c r="BX160" s="212">
        <f t="shared" si="50"/>
        <v>2.74</v>
      </c>
      <c r="BY160" s="212">
        <f t="shared" si="49"/>
        <v>16.166000000000004</v>
      </c>
      <c r="BZ160" s="212">
        <f ca="1">IF(L160="BR",'Impostos e Frete'!$F$6,IF(L160="EU",'Impostos e Frete'!$I$3,IF(L160="CN",'Impostos e Frete'!$I$4,IF(L160="JP",'Impostos e Frete'!$I$5,IF(L160="RU",'Impostos e Frete'!$I$7,"ERRO")))))</f>
        <v>0.14176320000000001</v>
      </c>
      <c r="CA160" s="212">
        <f>VLOOKUP(L160,'Impostos e Frete'!$A$3:$B$7,2,0)*'Preços e Condições'!BY160</f>
        <v>2.1015800000000007</v>
      </c>
      <c r="CB160" s="147">
        <f t="shared" si="51"/>
        <v>0</v>
      </c>
      <c r="CC160" s="147">
        <f>IF(X160="BRL",'Impostos e Frete'!$B$11,'Impostos e Frete'!$B$12)</f>
        <v>9.1999999999999998E-2</v>
      </c>
      <c r="CD160" s="213">
        <f t="shared" ca="1" si="52"/>
        <v>18.501343200000004</v>
      </c>
      <c r="CE160" s="214">
        <f t="shared" ca="1" si="53"/>
        <v>1.2025873080000005</v>
      </c>
      <c r="CF160" s="215">
        <f>VLOOKUP(L160,'Impostos e Frete'!$A$3:$C$7,3,0)</f>
        <v>105</v>
      </c>
      <c r="CG160" s="215">
        <f t="shared" si="54"/>
        <v>30</v>
      </c>
      <c r="CH160" s="215">
        <f t="shared" si="55"/>
        <v>-75</v>
      </c>
      <c r="CI160" s="216">
        <f t="shared" ca="1" si="56"/>
        <v>0.701625100874395</v>
      </c>
      <c r="CJ160" s="217">
        <f t="shared" ca="1" si="57"/>
        <v>19.202968300874399</v>
      </c>
      <c r="CK160" s="218">
        <f t="shared" ca="1" si="58"/>
        <v>1.2481929395568359</v>
      </c>
    </row>
    <row r="161" spans="1:89">
      <c r="A161" s="176">
        <v>19535</v>
      </c>
      <c r="B161" s="186" t="s">
        <v>374</v>
      </c>
      <c r="C161" s="178">
        <v>65</v>
      </c>
      <c r="D161" s="178">
        <v>1270</v>
      </c>
      <c r="E161" s="178" t="s">
        <v>50</v>
      </c>
      <c r="F161" s="179" t="s">
        <v>108</v>
      </c>
      <c r="G161" s="189" t="s">
        <v>115</v>
      </c>
      <c r="H161" s="178" t="s">
        <v>43</v>
      </c>
      <c r="I161" s="178" t="s">
        <v>119</v>
      </c>
      <c r="J161" s="178"/>
      <c r="K161" s="178"/>
      <c r="L161" s="178" t="s">
        <v>59</v>
      </c>
      <c r="M161" s="178">
        <v>30</v>
      </c>
      <c r="N161" s="178">
        <v>500</v>
      </c>
      <c r="O161" s="178"/>
      <c r="P161" s="178"/>
      <c r="Q161" s="178"/>
      <c r="R161" s="178" t="s">
        <v>19</v>
      </c>
      <c r="S161" s="181"/>
      <c r="T161" s="181"/>
      <c r="U161" s="182"/>
      <c r="V161" s="182" t="s">
        <v>35</v>
      </c>
      <c r="W161" s="183">
        <v>80</v>
      </c>
      <c r="X161" s="182" t="s">
        <v>51</v>
      </c>
      <c r="Y161" s="184">
        <v>2280</v>
      </c>
      <c r="Z161" s="184">
        <v>2280</v>
      </c>
      <c r="AA161" s="184">
        <v>2280</v>
      </c>
      <c r="AB161" s="184">
        <v>2210</v>
      </c>
      <c r="AC161" s="184">
        <v>2210</v>
      </c>
      <c r="AD161" s="184">
        <v>2210</v>
      </c>
      <c r="AE161" s="184">
        <v>2060</v>
      </c>
      <c r="AF161" s="184">
        <v>2060</v>
      </c>
      <c r="AG161" s="184">
        <v>2060</v>
      </c>
      <c r="AH161" s="184">
        <v>1910</v>
      </c>
      <c r="AI161" s="184">
        <v>1910</v>
      </c>
      <c r="AJ161" s="184">
        <v>1910</v>
      </c>
      <c r="AK161" s="184">
        <v>1910</v>
      </c>
      <c r="AL161" s="184">
        <v>1910</v>
      </c>
      <c r="AM161" s="184">
        <v>1910</v>
      </c>
      <c r="AN161" s="184">
        <v>1910</v>
      </c>
      <c r="AO161" s="184">
        <v>1910</v>
      </c>
      <c r="AP161" s="184">
        <v>1910</v>
      </c>
      <c r="AQ161" s="184">
        <v>1960</v>
      </c>
      <c r="AR161" s="184">
        <v>2110</v>
      </c>
      <c r="AS161" s="184">
        <v>2110</v>
      </c>
      <c r="AT161" s="184">
        <v>2110</v>
      </c>
      <c r="AU161" s="184">
        <v>2110</v>
      </c>
      <c r="AV161" s="184">
        <v>2110</v>
      </c>
      <c r="AW161" s="184">
        <v>2510</v>
      </c>
      <c r="AX161" s="184">
        <v>2510</v>
      </c>
      <c r="AY161" s="146">
        <f t="shared" si="63"/>
        <v>2010</v>
      </c>
      <c r="AZ161" s="146">
        <f t="shared" si="64"/>
        <v>2010</v>
      </c>
      <c r="BA161" s="146">
        <f t="shared" si="64"/>
        <v>2010</v>
      </c>
      <c r="BB161" s="184">
        <v>2340</v>
      </c>
      <c r="BC161" s="184">
        <v>2340</v>
      </c>
      <c r="BD161" s="184">
        <v>2340</v>
      </c>
      <c r="BE161" s="184">
        <v>2340</v>
      </c>
      <c r="BF161" s="184">
        <v>2190</v>
      </c>
      <c r="BG161" s="184">
        <v>2190</v>
      </c>
      <c r="BH161" s="184">
        <v>2190</v>
      </c>
      <c r="BI161" s="184"/>
      <c r="BJ161" s="184"/>
      <c r="BK161" s="184"/>
      <c r="BL161" s="184">
        <v>2160</v>
      </c>
      <c r="BM161" s="184">
        <v>2160</v>
      </c>
      <c r="BN161" s="184">
        <v>2160</v>
      </c>
      <c r="BO161" s="184">
        <v>2240</v>
      </c>
      <c r="BP161" s="184">
        <v>2240</v>
      </c>
      <c r="BQ161" s="184">
        <v>2240</v>
      </c>
      <c r="BR161" s="184"/>
      <c r="BS161" s="184"/>
      <c r="BT161" s="184"/>
      <c r="BU161" s="146" cm="1">
        <f t="array" ref="BU161">LOOKUP(2,1/(Y161:BT161&lt;&gt;""),Y161:BH161)</f>
        <v>2240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46199</v>
      </c>
      <c r="BW161" s="211" cm="1">
        <f t="array" ref="BW161">(LOOKUP(2,1/(BH161:BT161&lt;&gt;""),BH161:BT161))/(INDEX(BH161:BT161,MATCH(TRUE,INDEX((BH161:BT161&lt;&gt;0),0),0)))-1</f>
        <v>2.2831050228310446E-2</v>
      </c>
      <c r="BX161" s="212">
        <f t="shared" si="50"/>
        <v>2.2400000000000002</v>
      </c>
      <c r="BY161" s="212">
        <f t="shared" si="49"/>
        <v>13.216000000000003</v>
      </c>
      <c r="BZ161" s="212">
        <f ca="1">IF(L161="BR",'Impostos e Frete'!$F$6,IF(L161="EU",'Impostos e Frete'!$I$3,IF(L161="CN",'Impostos e Frete'!$I$4,IF(L161="JP",'Impostos e Frete'!$I$5,IF(L161="RU",'Impostos e Frete'!$I$7,"ERRO")))))</f>
        <v>0.14176320000000001</v>
      </c>
      <c r="CA161" s="212">
        <f>VLOOKUP(L161,'Impostos e Frete'!$A$3:$B$7,2,0)*'Preços e Condições'!BY161</f>
        <v>1.7180800000000005</v>
      </c>
      <c r="CB161" s="147">
        <f t="shared" si="51"/>
        <v>0</v>
      </c>
      <c r="CC161" s="147">
        <f>IF(X161="BRL",'Impostos e Frete'!$B$11,'Impostos e Frete'!$B$12)</f>
        <v>9.1999999999999998E-2</v>
      </c>
      <c r="CD161" s="213">
        <f t="shared" ca="1" si="52"/>
        <v>15.167843200000004</v>
      </c>
      <c r="CE161" s="214">
        <f t="shared" ca="1" si="53"/>
        <v>0.98590980800000017</v>
      </c>
      <c r="CF161" s="215">
        <f>VLOOKUP(L161,'Impostos e Frete'!$A$3:$C$7,3,0)</f>
        <v>105</v>
      </c>
      <c r="CG161" s="215">
        <f t="shared" si="54"/>
        <v>30</v>
      </c>
      <c r="CH161" s="215">
        <f t="shared" si="55"/>
        <v>-75</v>
      </c>
      <c r="CI161" s="216">
        <f t="shared" ca="1" si="56"/>
        <v>0.57520902132375973</v>
      </c>
      <c r="CJ161" s="217">
        <f t="shared" ca="1" si="57"/>
        <v>15.743052221323763</v>
      </c>
      <c r="CK161" s="218">
        <f t="shared" ca="1" si="58"/>
        <v>1.0232983943860445</v>
      </c>
    </row>
    <row r="162" spans="1:89">
      <c r="A162" s="176">
        <v>19535</v>
      </c>
      <c r="B162" s="186" t="s">
        <v>374</v>
      </c>
      <c r="C162" s="178">
        <v>65</v>
      </c>
      <c r="D162" s="178">
        <v>1270</v>
      </c>
      <c r="E162" s="178" t="s">
        <v>50</v>
      </c>
      <c r="F162" s="179" t="s">
        <v>108</v>
      </c>
      <c r="G162" s="189" t="s">
        <v>115</v>
      </c>
      <c r="H162" s="178" t="s">
        <v>43</v>
      </c>
      <c r="I162" s="178" t="s">
        <v>119</v>
      </c>
      <c r="J162" s="178"/>
      <c r="K162" s="178"/>
      <c r="L162" s="178" t="s">
        <v>59</v>
      </c>
      <c r="M162" s="178">
        <v>30</v>
      </c>
      <c r="N162" s="178">
        <v>500</v>
      </c>
      <c r="O162" s="178"/>
      <c r="P162" s="178"/>
      <c r="Q162" s="178"/>
      <c r="R162" s="178" t="s">
        <v>19</v>
      </c>
      <c r="S162" s="181"/>
      <c r="T162" s="181"/>
      <c r="U162" s="182"/>
      <c r="V162" s="182" t="s">
        <v>35</v>
      </c>
      <c r="W162" s="183">
        <v>50</v>
      </c>
      <c r="X162" s="182" t="s">
        <v>51</v>
      </c>
      <c r="Y162" s="184">
        <v>2480</v>
      </c>
      <c r="Z162" s="184">
        <v>2480</v>
      </c>
      <c r="AA162" s="184">
        <v>2480</v>
      </c>
      <c r="AB162" s="184">
        <v>2410</v>
      </c>
      <c r="AC162" s="184">
        <v>2410</v>
      </c>
      <c r="AD162" s="184">
        <v>2410</v>
      </c>
      <c r="AE162" s="184">
        <v>2260</v>
      </c>
      <c r="AF162" s="184">
        <v>2260</v>
      </c>
      <c r="AG162" s="184">
        <v>2260</v>
      </c>
      <c r="AH162" s="184">
        <v>2110</v>
      </c>
      <c r="AI162" s="184">
        <v>2110</v>
      </c>
      <c r="AJ162" s="184">
        <v>2110</v>
      </c>
      <c r="AK162" s="184">
        <v>2110</v>
      </c>
      <c r="AL162" s="184">
        <v>2110</v>
      </c>
      <c r="AM162" s="184">
        <v>2110</v>
      </c>
      <c r="AN162" s="184">
        <v>2110</v>
      </c>
      <c r="AO162" s="184">
        <v>2110</v>
      </c>
      <c r="AP162" s="184">
        <v>2110</v>
      </c>
      <c r="AQ162" s="184">
        <v>2160</v>
      </c>
      <c r="AR162" s="184">
        <v>2810</v>
      </c>
      <c r="AS162" s="184">
        <v>2810</v>
      </c>
      <c r="AT162" s="184">
        <v>2810</v>
      </c>
      <c r="AU162" s="184">
        <v>2810</v>
      </c>
      <c r="AV162" s="184">
        <v>2810</v>
      </c>
      <c r="AW162" s="184">
        <v>2530</v>
      </c>
      <c r="AX162" s="184">
        <v>2530</v>
      </c>
      <c r="AY162" s="146">
        <f t="shared" si="63"/>
        <v>2030</v>
      </c>
      <c r="AZ162" s="146">
        <f t="shared" si="64"/>
        <v>2030</v>
      </c>
      <c r="BA162" s="146">
        <f t="shared" si="64"/>
        <v>2030</v>
      </c>
      <c r="BB162" s="184">
        <v>2360</v>
      </c>
      <c r="BC162" s="184">
        <v>2360</v>
      </c>
      <c r="BD162" s="184">
        <v>2360</v>
      </c>
      <c r="BE162" s="184">
        <v>2360</v>
      </c>
      <c r="BF162" s="184">
        <v>2210</v>
      </c>
      <c r="BG162" s="184">
        <v>2210</v>
      </c>
      <c r="BH162" s="184">
        <v>2210</v>
      </c>
      <c r="BI162" s="184"/>
      <c r="BJ162" s="184"/>
      <c r="BK162" s="184"/>
      <c r="BL162" s="184">
        <v>2180</v>
      </c>
      <c r="BM162" s="184">
        <v>2180</v>
      </c>
      <c r="BN162" s="184">
        <v>2180</v>
      </c>
      <c r="BO162" s="184">
        <v>2440</v>
      </c>
      <c r="BP162" s="184">
        <v>2440</v>
      </c>
      <c r="BQ162" s="184">
        <v>2440</v>
      </c>
      <c r="BR162" s="184"/>
      <c r="BS162" s="184"/>
      <c r="BT162" s="184"/>
      <c r="BU162" s="146" cm="1">
        <f t="array" ref="BU162">LOOKUP(2,1/(Y162:BT162&lt;&gt;""),Y162:BH162)</f>
        <v>2440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46199</v>
      </c>
      <c r="BW162" s="211" cm="1">
        <f t="array" ref="BW162">(LOOKUP(2,1/(BH162:BT162&lt;&gt;""),BH162:BT162))/(INDEX(BH162:BT162,MATCH(TRUE,INDEX((BH162:BT162&lt;&gt;0),0),0)))-1</f>
        <v>0.10407239819004532</v>
      </c>
      <c r="BX162" s="212">
        <f t="shared" si="50"/>
        <v>2.44</v>
      </c>
      <c r="BY162" s="212">
        <f t="shared" si="49"/>
        <v>14.396000000000001</v>
      </c>
      <c r="BZ162" s="212">
        <f ca="1">IF(L162="BR",'Impostos e Frete'!$F$6,IF(L162="EU",'Impostos e Frete'!$I$3,IF(L162="CN",'Impostos e Frete'!$I$4,IF(L162="JP",'Impostos e Frete'!$I$5,IF(L162="RU",'Impostos e Frete'!$I$7,"ERRO")))))</f>
        <v>0.14176320000000001</v>
      </c>
      <c r="CA162" s="212">
        <f>VLOOKUP(L162,'Impostos e Frete'!$A$3:$B$7,2,0)*'Preços e Condições'!BY162</f>
        <v>1.8714800000000003</v>
      </c>
      <c r="CB162" s="147">
        <f t="shared" si="51"/>
        <v>0</v>
      </c>
      <c r="CC162" s="147">
        <f>IF(X162="BRL",'Impostos e Frete'!$B$11,'Impostos e Frete'!$B$12)</f>
        <v>9.1999999999999998E-2</v>
      </c>
      <c r="CD162" s="213">
        <f t="shared" ca="1" si="52"/>
        <v>16.501243200000001</v>
      </c>
      <c r="CE162" s="214">
        <f t="shared" ca="1" si="53"/>
        <v>1.0725808080000001</v>
      </c>
      <c r="CF162" s="215">
        <f>VLOOKUP(L162,'Impostos e Frete'!$A$3:$C$7,3,0)</f>
        <v>105</v>
      </c>
      <c r="CG162" s="215">
        <f t="shared" si="54"/>
        <v>30</v>
      </c>
      <c r="CH162" s="215">
        <f t="shared" si="55"/>
        <v>-75</v>
      </c>
      <c r="CI162" s="216">
        <f t="shared" ca="1" si="56"/>
        <v>0.62577545314401206</v>
      </c>
      <c r="CJ162" s="217">
        <f t="shared" ca="1" si="57"/>
        <v>17.127018653144013</v>
      </c>
      <c r="CK162" s="218">
        <f t="shared" ca="1" si="58"/>
        <v>1.1132562124543608</v>
      </c>
    </row>
    <row r="163" spans="1:89">
      <c r="A163" s="176">
        <v>19535</v>
      </c>
      <c r="B163" s="186" t="s">
        <v>374</v>
      </c>
      <c r="C163" s="178">
        <v>65</v>
      </c>
      <c r="D163" s="178">
        <v>1270</v>
      </c>
      <c r="E163" s="178" t="s">
        <v>50</v>
      </c>
      <c r="F163" s="179" t="s">
        <v>108</v>
      </c>
      <c r="G163" s="189" t="s">
        <v>115</v>
      </c>
      <c r="H163" s="178" t="s">
        <v>43</v>
      </c>
      <c r="I163" s="178" t="s">
        <v>119</v>
      </c>
      <c r="J163" s="178"/>
      <c r="K163" s="178"/>
      <c r="L163" s="178" t="s">
        <v>59</v>
      </c>
      <c r="M163" s="178">
        <v>30</v>
      </c>
      <c r="N163" s="178">
        <v>500</v>
      </c>
      <c r="O163" s="178"/>
      <c r="P163" s="178"/>
      <c r="Q163" s="178"/>
      <c r="R163" s="178" t="s">
        <v>19</v>
      </c>
      <c r="S163" s="181"/>
      <c r="T163" s="181"/>
      <c r="U163" s="182"/>
      <c r="V163" s="182" t="s">
        <v>35</v>
      </c>
      <c r="W163" s="183">
        <v>20</v>
      </c>
      <c r="X163" s="182" t="s">
        <v>51</v>
      </c>
      <c r="Y163" s="184">
        <v>2980</v>
      </c>
      <c r="Z163" s="184">
        <v>2980</v>
      </c>
      <c r="AA163" s="184">
        <v>2980</v>
      </c>
      <c r="AB163" s="184">
        <v>2910</v>
      </c>
      <c r="AC163" s="184">
        <v>2910</v>
      </c>
      <c r="AD163" s="184">
        <v>2910</v>
      </c>
      <c r="AE163" s="184">
        <v>2760</v>
      </c>
      <c r="AF163" s="184">
        <v>2760</v>
      </c>
      <c r="AG163" s="184">
        <v>2760</v>
      </c>
      <c r="AH163" s="184">
        <v>2610</v>
      </c>
      <c r="AI163" s="184">
        <v>2610</v>
      </c>
      <c r="AJ163" s="184">
        <v>2610</v>
      </c>
      <c r="AK163" s="184">
        <v>2610</v>
      </c>
      <c r="AL163" s="184">
        <v>2610</v>
      </c>
      <c r="AM163" s="184">
        <v>2610</v>
      </c>
      <c r="AN163" s="184">
        <v>2610</v>
      </c>
      <c r="AO163" s="184">
        <v>2610</v>
      </c>
      <c r="AP163" s="184">
        <v>2610</v>
      </c>
      <c r="AQ163" s="184">
        <v>2660</v>
      </c>
      <c r="AR163" s="184">
        <v>2810</v>
      </c>
      <c r="AS163" s="184">
        <v>2810</v>
      </c>
      <c r="AT163" s="184">
        <v>2810</v>
      </c>
      <c r="AU163" s="184">
        <v>2810</v>
      </c>
      <c r="AV163" s="184">
        <v>2810</v>
      </c>
      <c r="AW163" s="184">
        <v>2580</v>
      </c>
      <c r="AX163" s="184">
        <v>2580</v>
      </c>
      <c r="AY163" s="146">
        <f t="shared" si="63"/>
        <v>2080</v>
      </c>
      <c r="AZ163" s="146">
        <f t="shared" si="64"/>
        <v>2080</v>
      </c>
      <c r="BA163" s="146">
        <f t="shared" si="64"/>
        <v>2080</v>
      </c>
      <c r="BB163" s="184">
        <v>2410</v>
      </c>
      <c r="BC163" s="184">
        <v>2410</v>
      </c>
      <c r="BD163" s="184">
        <v>2410</v>
      </c>
      <c r="BE163" s="184">
        <v>2410</v>
      </c>
      <c r="BF163" s="184">
        <v>2260</v>
      </c>
      <c r="BG163" s="184">
        <v>2260</v>
      </c>
      <c r="BH163" s="184">
        <v>2260</v>
      </c>
      <c r="BI163" s="184"/>
      <c r="BJ163" s="184"/>
      <c r="BK163" s="184"/>
      <c r="BL163" s="184">
        <v>2210</v>
      </c>
      <c r="BM163" s="184">
        <v>2210</v>
      </c>
      <c r="BN163" s="184">
        <v>2210</v>
      </c>
      <c r="BO163" s="184">
        <v>2940</v>
      </c>
      <c r="BP163" s="184">
        <v>2940</v>
      </c>
      <c r="BQ163" s="184">
        <v>2940</v>
      </c>
      <c r="BR163" s="184"/>
      <c r="BS163" s="184"/>
      <c r="BT163" s="184"/>
      <c r="BU163" s="146" cm="1">
        <f t="array" ref="BU163">LOOKUP(2,1/(Y163:BT163&lt;&gt;""),Y163:BH163)</f>
        <v>2940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46199</v>
      </c>
      <c r="BW163" s="211" cm="1">
        <f t="array" ref="BW163">(LOOKUP(2,1/(BH163:BT163&lt;&gt;""),BH163:BT163))/(INDEX(BH163:BT163,MATCH(TRUE,INDEX((BH163:BT163&lt;&gt;0),0),0)))-1</f>
        <v>0.30088495575221241</v>
      </c>
      <c r="BX163" s="212">
        <f t="shared" si="50"/>
        <v>2.94</v>
      </c>
      <c r="BY163" s="212">
        <f t="shared" si="49"/>
        <v>17.346</v>
      </c>
      <c r="BZ163" s="212">
        <f ca="1">IF(L163="BR",'Impostos e Frete'!$F$6,IF(L163="EU",'Impostos e Frete'!$I$3,IF(L163="CN",'Impostos e Frete'!$I$4,IF(L163="JP",'Impostos e Frete'!$I$5,IF(L163="RU",'Impostos e Frete'!$I$7,"ERRO")))))</f>
        <v>0.14176320000000001</v>
      </c>
      <c r="CA163" s="212">
        <f>VLOOKUP(L163,'Impostos e Frete'!$A$3:$B$7,2,0)*'Preços e Condições'!BY163</f>
        <v>2.2549800000000002</v>
      </c>
      <c r="CB163" s="147">
        <f t="shared" si="51"/>
        <v>0</v>
      </c>
      <c r="CC163" s="147">
        <f>IF(X163="BRL",'Impostos e Frete'!$B$11,'Impostos e Frete'!$B$12)</f>
        <v>9.1999999999999998E-2</v>
      </c>
      <c r="CD163" s="213">
        <f t="shared" ca="1" si="52"/>
        <v>19.834743199999998</v>
      </c>
      <c r="CE163" s="214">
        <f t="shared" ca="1" si="53"/>
        <v>1.2892583079999997</v>
      </c>
      <c r="CF163" s="215">
        <f>VLOOKUP(L163,'Impostos e Frete'!$A$3:$C$7,3,0)</f>
        <v>105</v>
      </c>
      <c r="CG163" s="215">
        <f t="shared" si="54"/>
        <v>30</v>
      </c>
      <c r="CH163" s="215">
        <f t="shared" si="55"/>
        <v>-75</v>
      </c>
      <c r="CI163" s="216">
        <f t="shared" ca="1" si="56"/>
        <v>0.75219153269464911</v>
      </c>
      <c r="CJ163" s="217">
        <f t="shared" ca="1" si="57"/>
        <v>20.586934732694647</v>
      </c>
      <c r="CK163" s="218">
        <f t="shared" ca="1" si="58"/>
        <v>1.3381507576251521</v>
      </c>
    </row>
    <row r="164" spans="1:89">
      <c r="A164" s="176">
        <v>19507</v>
      </c>
      <c r="B164" s="177">
        <v>244</v>
      </c>
      <c r="C164" s="178">
        <v>65</v>
      </c>
      <c r="D164" s="178">
        <v>1870</v>
      </c>
      <c r="E164" s="178" t="s">
        <v>50</v>
      </c>
      <c r="F164" s="179" t="s">
        <v>108</v>
      </c>
      <c r="G164" s="189" t="s">
        <v>116</v>
      </c>
      <c r="H164" s="178" t="s">
        <v>42</v>
      </c>
      <c r="I164" s="178" t="s">
        <v>121</v>
      </c>
      <c r="J164" s="178"/>
      <c r="K164" s="178"/>
      <c r="L164" s="178" t="s">
        <v>59</v>
      </c>
      <c r="M164" s="178">
        <v>30</v>
      </c>
      <c r="N164" s="178">
        <v>500</v>
      </c>
      <c r="O164" s="178"/>
      <c r="P164" s="178"/>
      <c r="Q164" s="178"/>
      <c r="R164" s="178" t="s">
        <v>19</v>
      </c>
      <c r="S164" s="181"/>
      <c r="T164" s="181"/>
      <c r="U164" s="182"/>
      <c r="V164" s="182" t="s">
        <v>35</v>
      </c>
      <c r="W164" s="183">
        <v>80</v>
      </c>
      <c r="X164" s="182" t="s">
        <v>51</v>
      </c>
      <c r="Y164" s="184">
        <v>2280</v>
      </c>
      <c r="Z164" s="184">
        <v>2280</v>
      </c>
      <c r="AA164" s="184">
        <v>2280</v>
      </c>
      <c r="AB164" s="184">
        <v>2130</v>
      </c>
      <c r="AC164" s="184">
        <v>2130</v>
      </c>
      <c r="AD164" s="184">
        <v>2130</v>
      </c>
      <c r="AE164" s="184">
        <v>2030</v>
      </c>
      <c r="AF164" s="184">
        <v>2030</v>
      </c>
      <c r="AG164" s="184">
        <v>2030</v>
      </c>
      <c r="AH164" s="184">
        <v>1830</v>
      </c>
      <c r="AI164" s="184">
        <v>1830</v>
      </c>
      <c r="AJ164" s="184">
        <v>1830</v>
      </c>
      <c r="AK164" s="184">
        <v>1830</v>
      </c>
      <c r="AL164" s="184">
        <v>1830</v>
      </c>
      <c r="AM164" s="184">
        <v>1830</v>
      </c>
      <c r="AN164" s="184">
        <v>1830</v>
      </c>
      <c r="AO164" s="184">
        <v>1830</v>
      </c>
      <c r="AP164" s="184">
        <v>1830</v>
      </c>
      <c r="AQ164" s="184">
        <v>1880</v>
      </c>
      <c r="AR164" s="184">
        <v>2080</v>
      </c>
      <c r="AS164" s="184">
        <v>2080</v>
      </c>
      <c r="AT164" s="184">
        <v>2080</v>
      </c>
      <c r="AU164" s="184">
        <v>2080</v>
      </c>
      <c r="AV164" s="184">
        <v>2080</v>
      </c>
      <c r="AW164" s="184">
        <v>2480</v>
      </c>
      <c r="AX164" s="184">
        <v>2480</v>
      </c>
      <c r="AY164" s="146">
        <f t="shared" si="63"/>
        <v>1980</v>
      </c>
      <c r="AZ164" s="146">
        <f t="shared" si="64"/>
        <v>1980</v>
      </c>
      <c r="BA164" s="146">
        <f t="shared" si="64"/>
        <v>1980</v>
      </c>
      <c r="BB164" s="184">
        <v>2110</v>
      </c>
      <c r="BC164" s="184">
        <v>2110</v>
      </c>
      <c r="BD164" s="184">
        <v>2110</v>
      </c>
      <c r="BE164" s="184">
        <v>2110</v>
      </c>
      <c r="BF164" s="184">
        <v>2020</v>
      </c>
      <c r="BG164" s="184">
        <v>2020</v>
      </c>
      <c r="BH164" s="184">
        <v>2020</v>
      </c>
      <c r="BI164" s="184"/>
      <c r="BJ164" s="184"/>
      <c r="BK164" s="184"/>
      <c r="BL164" s="184">
        <v>1990</v>
      </c>
      <c r="BM164" s="184">
        <v>1990</v>
      </c>
      <c r="BN164" s="184">
        <v>1990</v>
      </c>
      <c r="BO164" s="184">
        <v>2070</v>
      </c>
      <c r="BP164" s="184">
        <v>2070</v>
      </c>
      <c r="BQ164" s="184">
        <v>2070</v>
      </c>
      <c r="BR164" s="184"/>
      <c r="BS164" s="184"/>
      <c r="BT164" s="184"/>
      <c r="BU164" s="146" cm="1">
        <f t="array" ref="BU164">LOOKUP(2,1/(Y164:BT164&lt;&gt;""),Y164:BH164)</f>
        <v>2070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46199</v>
      </c>
      <c r="BW164" s="211" cm="1">
        <f t="array" ref="BW164">(LOOKUP(2,1/(BH164:BT164&lt;&gt;""),BH164:BT164))/(INDEX(BH164:BT164,MATCH(TRUE,INDEX((BH164:BT164&lt;&gt;0),0),0)))-1</f>
        <v>2.4752475247524774E-2</v>
      </c>
      <c r="BX164" s="212">
        <f t="shared" si="50"/>
        <v>2.0699999999999998</v>
      </c>
      <c r="BY164" s="212">
        <f t="shared" si="49"/>
        <v>12.212999999999999</v>
      </c>
      <c r="BZ164" s="212">
        <f ca="1">IF(L164="BR",'Impostos e Frete'!$F$6,IF(L164="EU",'Impostos e Frete'!$I$3,IF(L164="CN",'Impostos e Frete'!$I$4,IF(L164="JP",'Impostos e Frete'!$I$5,IF(L164="RU",'Impostos e Frete'!$I$7,"ERRO")))))</f>
        <v>0.14176320000000001</v>
      </c>
      <c r="CA164" s="212">
        <f>VLOOKUP(L164,'Impostos e Frete'!$A$3:$B$7,2,0)*'Preços e Condições'!BY164</f>
        <v>1.58769</v>
      </c>
      <c r="CB164" s="147">
        <f t="shared" si="51"/>
        <v>0</v>
      </c>
      <c r="CC164" s="147">
        <f>IF(X164="BRL",'Impostos e Frete'!$B$11,'Impostos e Frete'!$B$12)</f>
        <v>9.1999999999999998E-2</v>
      </c>
      <c r="CD164" s="213">
        <f t="shared" ca="1" si="52"/>
        <v>14.0344532</v>
      </c>
      <c r="CE164" s="214">
        <f t="shared" ca="1" si="53"/>
        <v>0.91223945799999995</v>
      </c>
      <c r="CF164" s="215">
        <f>VLOOKUP(L164,'Impostos e Frete'!$A$3:$C$7,3,0)</f>
        <v>105</v>
      </c>
      <c r="CG164" s="215">
        <f t="shared" si="54"/>
        <v>30</v>
      </c>
      <c r="CH164" s="215">
        <f t="shared" si="55"/>
        <v>-75</v>
      </c>
      <c r="CI164" s="216">
        <f t="shared" ca="1" si="56"/>
        <v>0.53222755427654356</v>
      </c>
      <c r="CJ164" s="217">
        <f t="shared" ca="1" si="57"/>
        <v>14.566680754276543</v>
      </c>
      <c r="CK164" s="218">
        <f t="shared" ca="1" si="58"/>
        <v>0.94683424902797531</v>
      </c>
    </row>
    <row r="165" spans="1:89">
      <c r="A165" s="176">
        <v>19507</v>
      </c>
      <c r="B165" s="177">
        <v>244</v>
      </c>
      <c r="C165" s="178">
        <v>65</v>
      </c>
      <c r="D165" s="178">
        <v>1870</v>
      </c>
      <c r="E165" s="178" t="s">
        <v>50</v>
      </c>
      <c r="F165" s="179" t="s">
        <v>108</v>
      </c>
      <c r="G165" s="189" t="s">
        <v>116</v>
      </c>
      <c r="H165" s="178" t="s">
        <v>42</v>
      </c>
      <c r="I165" s="178" t="s">
        <v>121</v>
      </c>
      <c r="J165" s="178"/>
      <c r="K165" s="178"/>
      <c r="L165" s="178" t="s">
        <v>59</v>
      </c>
      <c r="M165" s="178">
        <v>30</v>
      </c>
      <c r="N165" s="178">
        <v>500</v>
      </c>
      <c r="O165" s="178"/>
      <c r="P165" s="178"/>
      <c r="Q165" s="178"/>
      <c r="R165" s="178" t="s">
        <v>19</v>
      </c>
      <c r="S165" s="181"/>
      <c r="T165" s="181"/>
      <c r="U165" s="182"/>
      <c r="V165" s="182" t="s">
        <v>35</v>
      </c>
      <c r="W165" s="183">
        <v>50</v>
      </c>
      <c r="X165" s="182" t="s">
        <v>51</v>
      </c>
      <c r="Y165" s="184">
        <v>2480</v>
      </c>
      <c r="Z165" s="184">
        <v>2480</v>
      </c>
      <c r="AA165" s="184">
        <v>2480</v>
      </c>
      <c r="AB165" s="184">
        <v>2330</v>
      </c>
      <c r="AC165" s="184">
        <v>2330</v>
      </c>
      <c r="AD165" s="184">
        <v>2330</v>
      </c>
      <c r="AE165" s="184">
        <v>2230</v>
      </c>
      <c r="AF165" s="184">
        <v>2230</v>
      </c>
      <c r="AG165" s="184">
        <v>2230</v>
      </c>
      <c r="AH165" s="184">
        <v>2030</v>
      </c>
      <c r="AI165" s="184">
        <v>2030</v>
      </c>
      <c r="AJ165" s="184">
        <v>2030</v>
      </c>
      <c r="AK165" s="184">
        <v>2030</v>
      </c>
      <c r="AL165" s="184">
        <v>2030</v>
      </c>
      <c r="AM165" s="184">
        <v>2030</v>
      </c>
      <c r="AN165" s="184">
        <v>2030</v>
      </c>
      <c r="AO165" s="184">
        <v>2030</v>
      </c>
      <c r="AP165" s="184">
        <v>2030</v>
      </c>
      <c r="AQ165" s="184">
        <v>2080</v>
      </c>
      <c r="AR165" s="184">
        <v>2280</v>
      </c>
      <c r="AS165" s="184">
        <v>2280</v>
      </c>
      <c r="AT165" s="184">
        <v>2280</v>
      </c>
      <c r="AU165" s="184">
        <v>2280</v>
      </c>
      <c r="AV165" s="184">
        <v>2280</v>
      </c>
      <c r="AW165" s="184">
        <v>2500</v>
      </c>
      <c r="AX165" s="184">
        <v>2500</v>
      </c>
      <c r="AY165" s="146">
        <f t="shared" si="63"/>
        <v>2000</v>
      </c>
      <c r="AZ165" s="146">
        <f t="shared" si="64"/>
        <v>2000</v>
      </c>
      <c r="BA165" s="146">
        <f t="shared" si="64"/>
        <v>2000</v>
      </c>
      <c r="BB165" s="184">
        <v>2130</v>
      </c>
      <c r="BC165" s="184">
        <v>2130</v>
      </c>
      <c r="BD165" s="184">
        <v>2130</v>
      </c>
      <c r="BE165" s="184">
        <v>2130</v>
      </c>
      <c r="BF165" s="184">
        <v>2040</v>
      </c>
      <c r="BG165" s="184">
        <v>2040</v>
      </c>
      <c r="BH165" s="184">
        <v>2040</v>
      </c>
      <c r="BI165" s="184"/>
      <c r="BJ165" s="184"/>
      <c r="BK165" s="184"/>
      <c r="BL165" s="184">
        <v>2010</v>
      </c>
      <c r="BM165" s="184">
        <v>2010</v>
      </c>
      <c r="BN165" s="184">
        <v>2010</v>
      </c>
      <c r="BO165" s="184">
        <v>2270</v>
      </c>
      <c r="BP165" s="184">
        <v>2270</v>
      </c>
      <c r="BQ165" s="184">
        <v>2270</v>
      </c>
      <c r="BR165" s="184"/>
      <c r="BS165" s="184"/>
      <c r="BT165" s="184"/>
      <c r="BU165" s="146" cm="1">
        <f t="array" ref="BU165">LOOKUP(2,1/(Y165:BT165&lt;&gt;""),Y165:BH165)</f>
        <v>2270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46199</v>
      </c>
      <c r="BW165" s="211" cm="1">
        <f t="array" ref="BW165">(LOOKUP(2,1/(BH165:BT165&lt;&gt;""),BH165:BT165))/(INDEX(BH165:BT165,MATCH(TRUE,INDEX((BH165:BT165&lt;&gt;0),0),0)))-1</f>
        <v>0.11274509803921573</v>
      </c>
      <c r="BX165" s="212">
        <f t="shared" si="50"/>
        <v>2.27</v>
      </c>
      <c r="BY165" s="212">
        <f t="shared" si="49"/>
        <v>13.393000000000001</v>
      </c>
      <c r="BZ165" s="212">
        <f ca="1">IF(L165="BR",'Impostos e Frete'!$F$6,IF(L165="EU",'Impostos e Frete'!$I$3,IF(L165="CN",'Impostos e Frete'!$I$4,IF(L165="JP",'Impostos e Frete'!$I$5,IF(L165="RU",'Impostos e Frete'!$I$7,"ERRO")))))</f>
        <v>0.14176320000000001</v>
      </c>
      <c r="CA165" s="212">
        <f>VLOOKUP(L165,'Impostos e Frete'!$A$3:$B$7,2,0)*'Preços e Condições'!BY165</f>
        <v>1.7410900000000002</v>
      </c>
      <c r="CB165" s="147">
        <f t="shared" si="51"/>
        <v>0</v>
      </c>
      <c r="CC165" s="147">
        <f>IF(X165="BRL",'Impostos e Frete'!$B$11,'Impostos e Frete'!$B$12)</f>
        <v>9.1999999999999998E-2</v>
      </c>
      <c r="CD165" s="213">
        <f t="shared" ca="1" si="52"/>
        <v>15.367853200000001</v>
      </c>
      <c r="CE165" s="214">
        <f t="shared" ca="1" si="53"/>
        <v>0.998910458</v>
      </c>
      <c r="CF165" s="215">
        <f>VLOOKUP(L165,'Impostos e Frete'!$A$3:$C$7,3,0)</f>
        <v>105</v>
      </c>
      <c r="CG165" s="215">
        <f t="shared" si="54"/>
        <v>30</v>
      </c>
      <c r="CH165" s="215">
        <f t="shared" si="55"/>
        <v>-75</v>
      </c>
      <c r="CI165" s="216">
        <f t="shared" ca="1" si="56"/>
        <v>0.58279398609679767</v>
      </c>
      <c r="CJ165" s="217">
        <f t="shared" ca="1" si="57"/>
        <v>15.950647186096798</v>
      </c>
      <c r="CK165" s="218">
        <f t="shared" ca="1" si="58"/>
        <v>1.036792067096292</v>
      </c>
    </row>
    <row r="166" spans="1:89">
      <c r="A166" s="176">
        <v>19507</v>
      </c>
      <c r="B166" s="177">
        <v>244</v>
      </c>
      <c r="C166" s="178">
        <v>65</v>
      </c>
      <c r="D166" s="178">
        <v>1870</v>
      </c>
      <c r="E166" s="178" t="s">
        <v>50</v>
      </c>
      <c r="F166" s="179" t="s">
        <v>108</v>
      </c>
      <c r="G166" s="189" t="s">
        <v>116</v>
      </c>
      <c r="H166" s="178" t="s">
        <v>42</v>
      </c>
      <c r="I166" s="178" t="s">
        <v>121</v>
      </c>
      <c r="J166" s="178"/>
      <c r="K166" s="178"/>
      <c r="L166" s="178" t="s">
        <v>59</v>
      </c>
      <c r="M166" s="178">
        <v>30</v>
      </c>
      <c r="N166" s="178">
        <v>500</v>
      </c>
      <c r="O166" s="178"/>
      <c r="P166" s="178"/>
      <c r="Q166" s="178"/>
      <c r="R166" s="178" t="s">
        <v>19</v>
      </c>
      <c r="S166" s="181"/>
      <c r="T166" s="181"/>
      <c r="U166" s="182"/>
      <c r="V166" s="182" t="s">
        <v>35</v>
      </c>
      <c r="W166" s="183">
        <v>20</v>
      </c>
      <c r="X166" s="182" t="s">
        <v>51</v>
      </c>
      <c r="Y166" s="184">
        <v>2980</v>
      </c>
      <c r="Z166" s="184">
        <v>2980</v>
      </c>
      <c r="AA166" s="184">
        <v>2980</v>
      </c>
      <c r="AB166" s="184">
        <v>2830</v>
      </c>
      <c r="AC166" s="184">
        <v>2830</v>
      </c>
      <c r="AD166" s="184">
        <v>2830</v>
      </c>
      <c r="AE166" s="184">
        <v>2730</v>
      </c>
      <c r="AF166" s="184">
        <v>2730</v>
      </c>
      <c r="AG166" s="184">
        <v>2730</v>
      </c>
      <c r="AH166" s="184">
        <v>2530</v>
      </c>
      <c r="AI166" s="184">
        <v>2530</v>
      </c>
      <c r="AJ166" s="184">
        <v>2530</v>
      </c>
      <c r="AK166" s="184">
        <v>2530</v>
      </c>
      <c r="AL166" s="184">
        <v>2530</v>
      </c>
      <c r="AM166" s="184">
        <v>2530</v>
      </c>
      <c r="AN166" s="184">
        <v>2530</v>
      </c>
      <c r="AO166" s="184">
        <v>2530</v>
      </c>
      <c r="AP166" s="184">
        <v>2530</v>
      </c>
      <c r="AQ166" s="184">
        <v>2580</v>
      </c>
      <c r="AR166" s="184">
        <v>2780</v>
      </c>
      <c r="AS166" s="184">
        <v>2780</v>
      </c>
      <c r="AT166" s="184">
        <v>2780</v>
      </c>
      <c r="AU166" s="184">
        <v>2780</v>
      </c>
      <c r="AV166" s="184">
        <v>2780</v>
      </c>
      <c r="AW166" s="184">
        <v>2550</v>
      </c>
      <c r="AX166" s="184">
        <v>2550</v>
      </c>
      <c r="AY166" s="146">
        <f t="shared" si="63"/>
        <v>2050</v>
      </c>
      <c r="AZ166" s="146">
        <f t="shared" si="64"/>
        <v>2050</v>
      </c>
      <c r="BA166" s="146">
        <f t="shared" si="64"/>
        <v>2050</v>
      </c>
      <c r="BB166" s="184">
        <v>2180</v>
      </c>
      <c r="BC166" s="184">
        <v>2180</v>
      </c>
      <c r="BD166" s="184">
        <v>2180</v>
      </c>
      <c r="BE166" s="184">
        <v>2180</v>
      </c>
      <c r="BF166" s="184">
        <v>2090</v>
      </c>
      <c r="BG166" s="184">
        <v>2090</v>
      </c>
      <c r="BH166" s="184">
        <v>2090</v>
      </c>
      <c r="BI166" s="184"/>
      <c r="BJ166" s="184"/>
      <c r="BK166" s="184"/>
      <c r="BL166" s="184">
        <v>2040</v>
      </c>
      <c r="BM166" s="184">
        <v>2040</v>
      </c>
      <c r="BN166" s="184">
        <v>2040</v>
      </c>
      <c r="BO166" s="184">
        <v>2770</v>
      </c>
      <c r="BP166" s="184">
        <v>2770</v>
      </c>
      <c r="BQ166" s="184">
        <v>2770</v>
      </c>
      <c r="BR166" s="184"/>
      <c r="BS166" s="184"/>
      <c r="BT166" s="184"/>
      <c r="BU166" s="146" cm="1">
        <f t="array" ref="BU166">LOOKUP(2,1/(Y166:BT166&lt;&gt;""),Y166:BH166)</f>
        <v>2770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46199</v>
      </c>
      <c r="BW166" s="211" cm="1">
        <f t="array" ref="BW166">(LOOKUP(2,1/(BH166:BT166&lt;&gt;""),BH166:BT166))/(INDEX(BH166:BT166,MATCH(TRUE,INDEX((BH166:BT166&lt;&gt;0),0),0)))-1</f>
        <v>0.32535885167464107</v>
      </c>
      <c r="BX166" s="212">
        <f t="shared" si="50"/>
        <v>2.77</v>
      </c>
      <c r="BY166" s="212">
        <f t="shared" si="49"/>
        <v>16.343</v>
      </c>
      <c r="BZ166" s="212">
        <f ca="1">IF(L166="BR",'Impostos e Frete'!$F$6,IF(L166="EU",'Impostos e Frete'!$I$3,IF(L166="CN",'Impostos e Frete'!$I$4,IF(L166="JP",'Impostos e Frete'!$I$5,IF(L166="RU",'Impostos e Frete'!$I$7,"ERRO")))))</f>
        <v>0.14176320000000001</v>
      </c>
      <c r="CA166" s="212">
        <f>VLOOKUP(L166,'Impostos e Frete'!$A$3:$B$7,2,0)*'Preços e Condições'!BY166</f>
        <v>2.12459</v>
      </c>
      <c r="CB166" s="147">
        <f t="shared" si="51"/>
        <v>0</v>
      </c>
      <c r="CC166" s="147">
        <f>IF(X166="BRL",'Impostos e Frete'!$B$11,'Impostos e Frete'!$B$12)</f>
        <v>9.1999999999999998E-2</v>
      </c>
      <c r="CD166" s="213">
        <f t="shared" ca="1" si="52"/>
        <v>18.7013532</v>
      </c>
      <c r="CE166" s="214">
        <f t="shared" ca="1" si="53"/>
        <v>1.215587958</v>
      </c>
      <c r="CF166" s="215">
        <f>VLOOKUP(L166,'Impostos e Frete'!$A$3:$C$7,3,0)</f>
        <v>105</v>
      </c>
      <c r="CG166" s="215">
        <f t="shared" si="54"/>
        <v>30</v>
      </c>
      <c r="CH166" s="215">
        <f t="shared" si="55"/>
        <v>-75</v>
      </c>
      <c r="CI166" s="216">
        <f t="shared" ca="1" si="56"/>
        <v>0.70921006564743294</v>
      </c>
      <c r="CJ166" s="217">
        <f t="shared" ca="1" si="57"/>
        <v>19.410563265647433</v>
      </c>
      <c r="CK166" s="218">
        <f t="shared" ca="1" si="58"/>
        <v>1.2616866122670831</v>
      </c>
    </row>
    <row r="167" spans="1:89">
      <c r="A167" s="176">
        <v>19528</v>
      </c>
      <c r="B167" s="177">
        <v>244</v>
      </c>
      <c r="C167" s="178">
        <v>65</v>
      </c>
      <c r="D167" s="178">
        <v>1270</v>
      </c>
      <c r="E167" s="178" t="s">
        <v>50</v>
      </c>
      <c r="F167" s="179" t="s">
        <v>108</v>
      </c>
      <c r="G167" s="189" t="s">
        <v>116</v>
      </c>
      <c r="H167" s="178" t="s">
        <v>42</v>
      </c>
      <c r="I167" s="178" t="s">
        <v>121</v>
      </c>
      <c r="J167" s="178"/>
      <c r="K167" s="178"/>
      <c r="L167" s="178" t="s">
        <v>59</v>
      </c>
      <c r="M167" s="178">
        <v>30</v>
      </c>
      <c r="N167" s="178">
        <v>500</v>
      </c>
      <c r="O167" s="178"/>
      <c r="P167" s="178"/>
      <c r="Q167" s="178"/>
      <c r="R167" s="178" t="s">
        <v>19</v>
      </c>
      <c r="S167" s="181"/>
      <c r="T167" s="181"/>
      <c r="U167" s="182"/>
      <c r="V167" s="182" t="s">
        <v>35</v>
      </c>
      <c r="W167" s="183">
        <v>80</v>
      </c>
      <c r="X167" s="182" t="s">
        <v>51</v>
      </c>
      <c r="Y167" s="184">
        <v>2280</v>
      </c>
      <c r="Z167" s="184">
        <v>2280</v>
      </c>
      <c r="AA167" s="184">
        <v>2280</v>
      </c>
      <c r="AB167" s="184">
        <v>2130</v>
      </c>
      <c r="AC167" s="184">
        <v>2130</v>
      </c>
      <c r="AD167" s="184">
        <v>2130</v>
      </c>
      <c r="AE167" s="184">
        <v>2030</v>
      </c>
      <c r="AF167" s="184">
        <v>2030</v>
      </c>
      <c r="AG167" s="184">
        <v>2030</v>
      </c>
      <c r="AH167" s="184">
        <v>1830</v>
      </c>
      <c r="AI167" s="184">
        <v>1830</v>
      </c>
      <c r="AJ167" s="184">
        <v>1830</v>
      </c>
      <c r="AK167" s="184">
        <v>1830</v>
      </c>
      <c r="AL167" s="184">
        <v>1830</v>
      </c>
      <c r="AM167" s="184">
        <v>1830</v>
      </c>
      <c r="AN167" s="184">
        <v>1830</v>
      </c>
      <c r="AO167" s="184">
        <v>1830</v>
      </c>
      <c r="AP167" s="184">
        <v>1830</v>
      </c>
      <c r="AQ167" s="184">
        <v>1880</v>
      </c>
      <c r="AR167" s="184">
        <v>2080</v>
      </c>
      <c r="AS167" s="184">
        <v>2080</v>
      </c>
      <c r="AT167" s="184">
        <v>2080</v>
      </c>
      <c r="AU167" s="184">
        <v>2080</v>
      </c>
      <c r="AV167" s="184">
        <v>2080</v>
      </c>
      <c r="AW167" s="184">
        <v>2480</v>
      </c>
      <c r="AX167" s="184">
        <v>2480</v>
      </c>
      <c r="AY167" s="146">
        <f t="shared" si="63"/>
        <v>1980</v>
      </c>
      <c r="AZ167" s="146">
        <f t="shared" si="64"/>
        <v>1980</v>
      </c>
      <c r="BA167" s="146">
        <f t="shared" si="64"/>
        <v>1980</v>
      </c>
      <c r="BB167" s="184">
        <v>2310</v>
      </c>
      <c r="BC167" s="184">
        <v>2310</v>
      </c>
      <c r="BD167" s="184">
        <v>2310</v>
      </c>
      <c r="BE167" s="184">
        <v>2310</v>
      </c>
      <c r="BF167" s="184">
        <v>2220</v>
      </c>
      <c r="BG167" s="184">
        <v>2220</v>
      </c>
      <c r="BH167" s="184">
        <v>2220</v>
      </c>
      <c r="BI167" s="184"/>
      <c r="BJ167" s="184"/>
      <c r="BK167" s="184"/>
      <c r="BL167" s="184">
        <v>2190</v>
      </c>
      <c r="BM167" s="184">
        <v>2190</v>
      </c>
      <c r="BN167" s="184">
        <v>2190</v>
      </c>
      <c r="BO167" s="184">
        <v>2270</v>
      </c>
      <c r="BP167" s="184">
        <v>2270</v>
      </c>
      <c r="BQ167" s="184">
        <v>2270</v>
      </c>
      <c r="BR167" s="184"/>
      <c r="BS167" s="184"/>
      <c r="BT167" s="184"/>
      <c r="BU167" s="146" cm="1">
        <f t="array" ref="BU167">LOOKUP(2,1/(Y167:BT167&lt;&gt;""),Y167:BH167)</f>
        <v>2270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46199</v>
      </c>
      <c r="BW167" s="211" cm="1">
        <f t="array" ref="BW167">(LOOKUP(2,1/(BH167:BT167&lt;&gt;""),BH167:BT167))/(INDEX(BH167:BT167,MATCH(TRUE,INDEX((BH167:BT167&lt;&gt;0),0),0)))-1</f>
        <v>2.2522522522522515E-2</v>
      </c>
      <c r="BX167" s="212">
        <f t="shared" si="50"/>
        <v>2.27</v>
      </c>
      <c r="BY167" s="212">
        <f t="shared" si="49"/>
        <v>13.393000000000001</v>
      </c>
      <c r="BZ167" s="212">
        <f ca="1">IF(L167="BR",'Impostos e Frete'!$F$6,IF(L167="EU",'Impostos e Frete'!$I$3,IF(L167="CN",'Impostos e Frete'!$I$4,IF(L167="JP",'Impostos e Frete'!$I$5,IF(L167="RU",'Impostos e Frete'!$I$7,"ERRO")))))</f>
        <v>0.14176320000000001</v>
      </c>
      <c r="CA167" s="212">
        <f>VLOOKUP(L167,'Impostos e Frete'!$A$3:$B$7,2,0)*'Preços e Condições'!BY167</f>
        <v>1.7410900000000002</v>
      </c>
      <c r="CB167" s="147">
        <f t="shared" si="51"/>
        <v>0</v>
      </c>
      <c r="CC167" s="147">
        <f>IF(X167="BRL",'Impostos e Frete'!$B$11,'Impostos e Frete'!$B$12)</f>
        <v>9.1999999999999998E-2</v>
      </c>
      <c r="CD167" s="213">
        <f t="shared" ca="1" si="52"/>
        <v>15.367853200000001</v>
      </c>
      <c r="CE167" s="214">
        <f t="shared" ca="1" si="53"/>
        <v>0.998910458</v>
      </c>
      <c r="CF167" s="215">
        <f>VLOOKUP(L167,'Impostos e Frete'!$A$3:$C$7,3,0)</f>
        <v>105</v>
      </c>
      <c r="CG167" s="215">
        <f t="shared" si="54"/>
        <v>30</v>
      </c>
      <c r="CH167" s="215">
        <f t="shared" si="55"/>
        <v>-75</v>
      </c>
      <c r="CI167" s="216">
        <f t="shared" ca="1" si="56"/>
        <v>0.58279398609679767</v>
      </c>
      <c r="CJ167" s="217">
        <f t="shared" ca="1" si="57"/>
        <v>15.950647186096798</v>
      </c>
      <c r="CK167" s="218">
        <f t="shared" ca="1" si="58"/>
        <v>1.036792067096292</v>
      </c>
    </row>
    <row r="168" spans="1:89">
      <c r="A168" s="176">
        <v>19528</v>
      </c>
      <c r="B168" s="177">
        <v>244</v>
      </c>
      <c r="C168" s="178">
        <v>65</v>
      </c>
      <c r="D168" s="178">
        <v>1270</v>
      </c>
      <c r="E168" s="178" t="s">
        <v>50</v>
      </c>
      <c r="F168" s="179" t="s">
        <v>108</v>
      </c>
      <c r="G168" s="189" t="s">
        <v>116</v>
      </c>
      <c r="H168" s="178" t="s">
        <v>42</v>
      </c>
      <c r="I168" s="178" t="s">
        <v>121</v>
      </c>
      <c r="J168" s="178"/>
      <c r="K168" s="178"/>
      <c r="L168" s="178" t="s">
        <v>59</v>
      </c>
      <c r="M168" s="178">
        <v>30</v>
      </c>
      <c r="N168" s="178">
        <v>500</v>
      </c>
      <c r="O168" s="178"/>
      <c r="P168" s="178"/>
      <c r="Q168" s="178"/>
      <c r="R168" s="178" t="s">
        <v>19</v>
      </c>
      <c r="S168" s="181"/>
      <c r="T168" s="181"/>
      <c r="U168" s="182"/>
      <c r="V168" s="182" t="s">
        <v>35</v>
      </c>
      <c r="W168" s="183">
        <v>50</v>
      </c>
      <c r="X168" s="182" t="s">
        <v>51</v>
      </c>
      <c r="Y168" s="184">
        <v>2480</v>
      </c>
      <c r="Z168" s="184">
        <v>2480</v>
      </c>
      <c r="AA168" s="184">
        <v>2480</v>
      </c>
      <c r="AB168" s="184">
        <v>2330</v>
      </c>
      <c r="AC168" s="184">
        <v>2330</v>
      </c>
      <c r="AD168" s="184">
        <v>2330</v>
      </c>
      <c r="AE168" s="184">
        <v>2230</v>
      </c>
      <c r="AF168" s="184">
        <v>2230</v>
      </c>
      <c r="AG168" s="184">
        <v>2230</v>
      </c>
      <c r="AH168" s="184">
        <v>2030</v>
      </c>
      <c r="AI168" s="184">
        <v>2030</v>
      </c>
      <c r="AJ168" s="184">
        <v>2030</v>
      </c>
      <c r="AK168" s="184">
        <v>2030</v>
      </c>
      <c r="AL168" s="184">
        <v>2030</v>
      </c>
      <c r="AM168" s="184">
        <v>2030</v>
      </c>
      <c r="AN168" s="184">
        <v>2030</v>
      </c>
      <c r="AO168" s="184">
        <v>2030</v>
      </c>
      <c r="AP168" s="184">
        <v>2030</v>
      </c>
      <c r="AQ168" s="184">
        <v>2080</v>
      </c>
      <c r="AR168" s="184">
        <v>2280</v>
      </c>
      <c r="AS168" s="184">
        <v>2280</v>
      </c>
      <c r="AT168" s="184">
        <v>2280</v>
      </c>
      <c r="AU168" s="184">
        <v>2280</v>
      </c>
      <c r="AV168" s="184">
        <v>2280</v>
      </c>
      <c r="AW168" s="184">
        <v>2500</v>
      </c>
      <c r="AX168" s="184">
        <v>2500</v>
      </c>
      <c r="AY168" s="146">
        <f t="shared" si="63"/>
        <v>2000</v>
      </c>
      <c r="AZ168" s="146">
        <f t="shared" si="64"/>
        <v>2000</v>
      </c>
      <c r="BA168" s="146">
        <f t="shared" si="64"/>
        <v>2000</v>
      </c>
      <c r="BB168" s="184">
        <v>2330</v>
      </c>
      <c r="BC168" s="184">
        <v>2330</v>
      </c>
      <c r="BD168" s="184">
        <v>2330</v>
      </c>
      <c r="BE168" s="184">
        <v>2330</v>
      </c>
      <c r="BF168" s="184">
        <v>2240</v>
      </c>
      <c r="BG168" s="184">
        <v>2240</v>
      </c>
      <c r="BH168" s="184">
        <v>2240</v>
      </c>
      <c r="BI168" s="184"/>
      <c r="BJ168" s="184"/>
      <c r="BK168" s="184"/>
      <c r="BL168" s="184">
        <v>2210</v>
      </c>
      <c r="BM168" s="184">
        <v>2210</v>
      </c>
      <c r="BN168" s="184">
        <v>2210</v>
      </c>
      <c r="BO168" s="184">
        <v>2470</v>
      </c>
      <c r="BP168" s="184">
        <v>2470</v>
      </c>
      <c r="BQ168" s="184">
        <v>2470</v>
      </c>
      <c r="BR168" s="184"/>
      <c r="BS168" s="184"/>
      <c r="BT168" s="184"/>
      <c r="BU168" s="146" cm="1">
        <f t="array" ref="BU168">LOOKUP(2,1/(Y168:BT168&lt;&gt;""),Y168:BH168)</f>
        <v>2470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46199</v>
      </c>
      <c r="BW168" s="211" cm="1">
        <f t="array" ref="BW168">(LOOKUP(2,1/(BH168:BT168&lt;&gt;""),BH168:BT168))/(INDEX(BH168:BT168,MATCH(TRUE,INDEX((BH168:BT168&lt;&gt;0),0),0)))-1</f>
        <v>0.1026785714285714</v>
      </c>
      <c r="BX168" s="212">
        <f t="shared" si="50"/>
        <v>2.4700000000000002</v>
      </c>
      <c r="BY168" s="212">
        <f t="shared" si="49"/>
        <v>14.573000000000002</v>
      </c>
      <c r="BZ168" s="212">
        <f ca="1">IF(L168="BR",'Impostos e Frete'!$F$6,IF(L168="EU",'Impostos e Frete'!$I$3,IF(L168="CN",'Impostos e Frete'!$I$4,IF(L168="JP",'Impostos e Frete'!$I$5,IF(L168="RU",'Impostos e Frete'!$I$7,"ERRO")))))</f>
        <v>0.14176320000000001</v>
      </c>
      <c r="CA168" s="212">
        <f>VLOOKUP(L168,'Impostos e Frete'!$A$3:$B$7,2,0)*'Preços e Condições'!BY168</f>
        <v>1.8944900000000005</v>
      </c>
      <c r="CB168" s="147">
        <f t="shared" si="51"/>
        <v>0</v>
      </c>
      <c r="CC168" s="147">
        <f>IF(X168="BRL",'Impostos e Frete'!$B$11,'Impostos e Frete'!$B$12)</f>
        <v>9.1999999999999998E-2</v>
      </c>
      <c r="CD168" s="213">
        <f t="shared" ca="1" si="52"/>
        <v>16.7012532</v>
      </c>
      <c r="CE168" s="214">
        <f t="shared" ca="1" si="53"/>
        <v>1.0855814579999998</v>
      </c>
      <c r="CF168" s="215">
        <f>VLOOKUP(L168,'Impostos e Frete'!$A$3:$C$7,3,0)</f>
        <v>105</v>
      </c>
      <c r="CG168" s="215">
        <f t="shared" si="54"/>
        <v>30</v>
      </c>
      <c r="CH168" s="215">
        <f t="shared" si="55"/>
        <v>-75</v>
      </c>
      <c r="CI168" s="216">
        <f t="shared" ca="1" si="56"/>
        <v>0.63336041791705</v>
      </c>
      <c r="CJ168" s="217">
        <f t="shared" ca="1" si="57"/>
        <v>17.33461361791705</v>
      </c>
      <c r="CK168" s="218">
        <f t="shared" ca="1" si="58"/>
        <v>1.1267498851646083</v>
      </c>
    </row>
    <row r="169" spans="1:89">
      <c r="A169" s="176">
        <v>19528</v>
      </c>
      <c r="B169" s="177">
        <v>244</v>
      </c>
      <c r="C169" s="178">
        <v>65</v>
      </c>
      <c r="D169" s="178">
        <v>1270</v>
      </c>
      <c r="E169" s="178" t="s">
        <v>50</v>
      </c>
      <c r="F169" s="179" t="s">
        <v>108</v>
      </c>
      <c r="G169" s="189" t="s">
        <v>116</v>
      </c>
      <c r="H169" s="178" t="s">
        <v>42</v>
      </c>
      <c r="I169" s="178" t="s">
        <v>121</v>
      </c>
      <c r="J169" s="178"/>
      <c r="K169" s="178"/>
      <c r="L169" s="178" t="s">
        <v>59</v>
      </c>
      <c r="M169" s="178">
        <v>30</v>
      </c>
      <c r="N169" s="178">
        <v>500</v>
      </c>
      <c r="O169" s="178"/>
      <c r="P169" s="178"/>
      <c r="Q169" s="178"/>
      <c r="R169" s="178" t="s">
        <v>19</v>
      </c>
      <c r="S169" s="181"/>
      <c r="T169" s="181"/>
      <c r="U169" s="182"/>
      <c r="V169" s="182" t="s">
        <v>35</v>
      </c>
      <c r="W169" s="183">
        <v>20</v>
      </c>
      <c r="X169" s="182" t="s">
        <v>51</v>
      </c>
      <c r="Y169" s="184">
        <v>2980</v>
      </c>
      <c r="Z169" s="184">
        <v>2980</v>
      </c>
      <c r="AA169" s="184">
        <v>2980</v>
      </c>
      <c r="AB169" s="184">
        <v>2830</v>
      </c>
      <c r="AC169" s="184">
        <v>2830</v>
      </c>
      <c r="AD169" s="184">
        <v>2830</v>
      </c>
      <c r="AE169" s="184">
        <v>2730</v>
      </c>
      <c r="AF169" s="184">
        <v>2730</v>
      </c>
      <c r="AG169" s="184">
        <v>2730</v>
      </c>
      <c r="AH169" s="184">
        <v>2530</v>
      </c>
      <c r="AI169" s="184">
        <v>2530</v>
      </c>
      <c r="AJ169" s="184">
        <v>2530</v>
      </c>
      <c r="AK169" s="184">
        <v>2530</v>
      </c>
      <c r="AL169" s="184">
        <v>2530</v>
      </c>
      <c r="AM169" s="184">
        <v>2530</v>
      </c>
      <c r="AN169" s="184">
        <v>2530</v>
      </c>
      <c r="AO169" s="184">
        <v>2530</v>
      </c>
      <c r="AP169" s="184">
        <v>2530</v>
      </c>
      <c r="AQ169" s="184">
        <v>2580</v>
      </c>
      <c r="AR169" s="184">
        <v>2780</v>
      </c>
      <c r="AS169" s="184">
        <v>2780</v>
      </c>
      <c r="AT169" s="184">
        <v>2780</v>
      </c>
      <c r="AU169" s="184">
        <v>2780</v>
      </c>
      <c r="AV169" s="184">
        <v>2780</v>
      </c>
      <c r="AW169" s="184">
        <v>2550</v>
      </c>
      <c r="AX169" s="184">
        <v>2550</v>
      </c>
      <c r="AY169" s="146">
        <f t="shared" si="63"/>
        <v>2050</v>
      </c>
      <c r="AZ169" s="146">
        <f t="shared" si="64"/>
        <v>2050</v>
      </c>
      <c r="BA169" s="146">
        <f t="shared" si="64"/>
        <v>2050</v>
      </c>
      <c r="BB169" s="184">
        <v>2380</v>
      </c>
      <c r="BC169" s="184">
        <v>2380</v>
      </c>
      <c r="BD169" s="184">
        <v>2380</v>
      </c>
      <c r="BE169" s="184">
        <v>2380</v>
      </c>
      <c r="BF169" s="184">
        <v>2290</v>
      </c>
      <c r="BG169" s="184">
        <v>2290</v>
      </c>
      <c r="BH169" s="184">
        <v>2290</v>
      </c>
      <c r="BI169" s="184"/>
      <c r="BJ169" s="184"/>
      <c r="BK169" s="184"/>
      <c r="BL169" s="184">
        <v>2240</v>
      </c>
      <c r="BM169" s="184">
        <v>2240</v>
      </c>
      <c r="BN169" s="184">
        <v>2240</v>
      </c>
      <c r="BO169" s="184">
        <v>2770</v>
      </c>
      <c r="BP169" s="184">
        <v>2770</v>
      </c>
      <c r="BQ169" s="184">
        <v>2770</v>
      </c>
      <c r="BR169" s="184"/>
      <c r="BS169" s="184"/>
      <c r="BT169" s="184"/>
      <c r="BU169" s="146" cm="1">
        <f t="array" ref="BU169">LOOKUP(2,1/(Y169:BT169&lt;&gt;""),Y169:BH169)</f>
        <v>2770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46199</v>
      </c>
      <c r="BW169" s="211" cm="1">
        <f t="array" ref="BW169">(LOOKUP(2,1/(BH169:BT169&lt;&gt;""),BH169:BT169))/(INDEX(BH169:BT169,MATCH(TRUE,INDEX((BH169:BT169&lt;&gt;0),0),0)))-1</f>
        <v>0.20960698689956336</v>
      </c>
      <c r="BX169" s="212">
        <f t="shared" si="50"/>
        <v>2.77</v>
      </c>
      <c r="BY169" s="212">
        <f t="shared" si="49"/>
        <v>16.343</v>
      </c>
      <c r="BZ169" s="212">
        <f ca="1">IF(L169="BR",'Impostos e Frete'!$F$6,IF(L169="EU",'Impostos e Frete'!$I$3,IF(L169="CN",'Impostos e Frete'!$I$4,IF(L169="JP",'Impostos e Frete'!$I$5,IF(L169="RU",'Impostos e Frete'!$I$7,"ERRO")))))</f>
        <v>0.14176320000000001</v>
      </c>
      <c r="CA169" s="212">
        <f>VLOOKUP(L169,'Impostos e Frete'!$A$3:$B$7,2,0)*'Preços e Condições'!BY169</f>
        <v>2.12459</v>
      </c>
      <c r="CB169" s="147">
        <f t="shared" si="51"/>
        <v>0</v>
      </c>
      <c r="CC169" s="147">
        <f>IF(X169="BRL",'Impostos e Frete'!$B$11,'Impostos e Frete'!$B$12)</f>
        <v>9.1999999999999998E-2</v>
      </c>
      <c r="CD169" s="213">
        <f t="shared" ca="1" si="52"/>
        <v>18.7013532</v>
      </c>
      <c r="CE169" s="214">
        <f t="shared" ca="1" si="53"/>
        <v>1.215587958</v>
      </c>
      <c r="CF169" s="215">
        <f>VLOOKUP(L169,'Impostos e Frete'!$A$3:$C$7,3,0)</f>
        <v>105</v>
      </c>
      <c r="CG169" s="215">
        <f t="shared" si="54"/>
        <v>30</v>
      </c>
      <c r="CH169" s="215">
        <f t="shared" si="55"/>
        <v>-75</v>
      </c>
      <c r="CI169" s="216">
        <f t="shared" ca="1" si="56"/>
        <v>0.70921006564743294</v>
      </c>
      <c r="CJ169" s="217">
        <f t="shared" ca="1" si="57"/>
        <v>19.410563265647433</v>
      </c>
      <c r="CK169" s="218">
        <f t="shared" ca="1" si="58"/>
        <v>1.2616866122670831</v>
      </c>
    </row>
    <row r="170" spans="1:89">
      <c r="A170" s="176">
        <v>19509</v>
      </c>
      <c r="B170" s="177">
        <v>408</v>
      </c>
      <c r="C170" s="178">
        <v>65</v>
      </c>
      <c r="D170" s="178">
        <v>1870</v>
      </c>
      <c r="E170" s="178" t="s">
        <v>50</v>
      </c>
      <c r="F170" s="179" t="s">
        <v>108</v>
      </c>
      <c r="G170" s="189" t="s">
        <v>117</v>
      </c>
      <c r="H170" s="178" t="s">
        <v>61</v>
      </c>
      <c r="I170" s="178" t="s">
        <v>120</v>
      </c>
      <c r="J170" s="178"/>
      <c r="K170" s="178"/>
      <c r="L170" s="178" t="s">
        <v>59</v>
      </c>
      <c r="M170" s="178">
        <v>30</v>
      </c>
      <c r="N170" s="178">
        <v>500</v>
      </c>
      <c r="O170" s="178"/>
      <c r="P170" s="178"/>
      <c r="Q170" s="178"/>
      <c r="R170" s="178" t="s">
        <v>19</v>
      </c>
      <c r="S170" s="181"/>
      <c r="T170" s="181"/>
      <c r="U170" s="182"/>
      <c r="V170" s="182" t="s">
        <v>35</v>
      </c>
      <c r="W170" s="183">
        <v>80</v>
      </c>
      <c r="X170" s="182" t="s">
        <v>51</v>
      </c>
      <c r="Y170" s="184">
        <v>2310</v>
      </c>
      <c r="Z170" s="184">
        <v>2310</v>
      </c>
      <c r="AA170" s="184">
        <v>2310</v>
      </c>
      <c r="AB170" s="184">
        <v>2230</v>
      </c>
      <c r="AC170" s="184">
        <v>2230</v>
      </c>
      <c r="AD170" s="184">
        <v>2230</v>
      </c>
      <c r="AE170" s="184">
        <v>2060</v>
      </c>
      <c r="AF170" s="184">
        <v>2060</v>
      </c>
      <c r="AG170" s="184">
        <v>2060</v>
      </c>
      <c r="AH170" s="184">
        <v>1860</v>
      </c>
      <c r="AI170" s="184">
        <v>1860</v>
      </c>
      <c r="AJ170" s="184">
        <v>1860</v>
      </c>
      <c r="AK170" s="184">
        <v>1860</v>
      </c>
      <c r="AL170" s="184">
        <v>1860</v>
      </c>
      <c r="AM170" s="184">
        <v>1860</v>
      </c>
      <c r="AN170" s="184">
        <v>1860</v>
      </c>
      <c r="AO170" s="184">
        <v>1860</v>
      </c>
      <c r="AP170" s="184">
        <v>1860</v>
      </c>
      <c r="AQ170" s="184">
        <v>1910</v>
      </c>
      <c r="AR170" s="184">
        <v>1960</v>
      </c>
      <c r="AS170" s="184">
        <v>1960</v>
      </c>
      <c r="AT170" s="184">
        <v>1960</v>
      </c>
      <c r="AU170" s="184">
        <v>1960</v>
      </c>
      <c r="AV170" s="184">
        <v>1960</v>
      </c>
      <c r="AW170" s="184">
        <v>2360</v>
      </c>
      <c r="AX170" s="184">
        <v>2360</v>
      </c>
      <c r="AY170" s="146">
        <f t="shared" si="63"/>
        <v>1860</v>
      </c>
      <c r="AZ170" s="146">
        <f t="shared" si="64"/>
        <v>1860</v>
      </c>
      <c r="BA170" s="146">
        <f t="shared" si="64"/>
        <v>1860</v>
      </c>
      <c r="BB170" s="184">
        <v>2480</v>
      </c>
      <c r="BC170" s="184">
        <v>2480</v>
      </c>
      <c r="BD170" s="184">
        <v>2480</v>
      </c>
      <c r="BE170" s="184">
        <v>2480</v>
      </c>
      <c r="BF170" s="184">
        <v>2330</v>
      </c>
      <c r="BG170" s="184">
        <v>2330</v>
      </c>
      <c r="BH170" s="184">
        <v>2330</v>
      </c>
      <c r="BI170" s="184"/>
      <c r="BJ170" s="184"/>
      <c r="BK170" s="184"/>
      <c r="BL170" s="184">
        <v>2340</v>
      </c>
      <c r="BM170" s="184">
        <v>2340</v>
      </c>
      <c r="BN170" s="184">
        <v>2340</v>
      </c>
      <c r="BO170" s="184">
        <v>2450</v>
      </c>
      <c r="BP170" s="184">
        <v>2450</v>
      </c>
      <c r="BQ170" s="184">
        <v>2450</v>
      </c>
      <c r="BR170" s="184"/>
      <c r="BS170" s="184"/>
      <c r="BT170" s="184"/>
      <c r="BU170" s="146" cm="1">
        <f t="array" ref="BU170">LOOKUP(2,1/(Y170:BT170&lt;&gt;""),Y170:BH170)</f>
        <v>2450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46199</v>
      </c>
      <c r="BW170" s="211" cm="1">
        <f t="array" ref="BW170">(LOOKUP(2,1/(BH170:BT170&lt;&gt;""),BH170:BT170))/(INDEX(BH170:BT170,MATCH(TRUE,INDEX((BH170:BT170&lt;&gt;0),0),0)))-1</f>
        <v>5.1502145922746712E-2</v>
      </c>
      <c r="BX170" s="212">
        <f t="shared" si="50"/>
        <v>2.4500000000000002</v>
      </c>
      <c r="BY170" s="212">
        <f t="shared" si="49"/>
        <v>14.455000000000002</v>
      </c>
      <c r="BZ170" s="212">
        <f ca="1">IF(L170="BR",'Impostos e Frete'!$F$6,IF(L170="EU",'Impostos e Frete'!$I$3,IF(L170="CN",'Impostos e Frete'!$I$4,IF(L170="JP",'Impostos e Frete'!$I$5,IF(L170="RU",'Impostos e Frete'!$I$7,"ERRO")))))</f>
        <v>0.14176320000000001</v>
      </c>
      <c r="CA170" s="212">
        <f>VLOOKUP(L170,'Impostos e Frete'!$A$3:$B$7,2,0)*'Preços e Condições'!BY170</f>
        <v>1.8791500000000003</v>
      </c>
      <c r="CB170" s="147">
        <f t="shared" si="51"/>
        <v>0</v>
      </c>
      <c r="CC170" s="147">
        <f>IF(X170="BRL",'Impostos e Frete'!$B$11,'Impostos e Frete'!$B$12)</f>
        <v>9.1999999999999998E-2</v>
      </c>
      <c r="CD170" s="213">
        <f t="shared" ca="1" si="52"/>
        <v>16.5679132</v>
      </c>
      <c r="CE170" s="214">
        <f t="shared" ca="1" si="53"/>
        <v>1.076914358</v>
      </c>
      <c r="CF170" s="215">
        <f>VLOOKUP(L170,'Impostos e Frete'!$A$3:$C$7,3,0)</f>
        <v>105</v>
      </c>
      <c r="CG170" s="215">
        <f t="shared" si="54"/>
        <v>30</v>
      </c>
      <c r="CH170" s="215">
        <f t="shared" si="55"/>
        <v>-75</v>
      </c>
      <c r="CI170" s="216">
        <f t="shared" ca="1" si="56"/>
        <v>0.62830377473502708</v>
      </c>
      <c r="CJ170" s="217">
        <f t="shared" ca="1" si="57"/>
        <v>17.196216974735027</v>
      </c>
      <c r="CK170" s="218">
        <f t="shared" ca="1" si="58"/>
        <v>1.1177541033577767</v>
      </c>
    </row>
    <row r="171" spans="1:89">
      <c r="A171" s="176">
        <v>19509</v>
      </c>
      <c r="B171" s="177">
        <v>408</v>
      </c>
      <c r="C171" s="178">
        <v>65</v>
      </c>
      <c r="D171" s="178">
        <v>1870</v>
      </c>
      <c r="E171" s="178" t="s">
        <v>50</v>
      </c>
      <c r="F171" s="179" t="s">
        <v>108</v>
      </c>
      <c r="G171" s="189" t="s">
        <v>117</v>
      </c>
      <c r="H171" s="178" t="s">
        <v>61</v>
      </c>
      <c r="I171" s="178" t="s">
        <v>120</v>
      </c>
      <c r="J171" s="178"/>
      <c r="K171" s="178"/>
      <c r="L171" s="178" t="s">
        <v>59</v>
      </c>
      <c r="M171" s="178">
        <v>30</v>
      </c>
      <c r="N171" s="178">
        <v>500</v>
      </c>
      <c r="O171" s="178"/>
      <c r="P171" s="178"/>
      <c r="Q171" s="178"/>
      <c r="R171" s="178" t="s">
        <v>19</v>
      </c>
      <c r="S171" s="181"/>
      <c r="T171" s="181"/>
      <c r="U171" s="182"/>
      <c r="V171" s="182" t="s">
        <v>35</v>
      </c>
      <c r="W171" s="183">
        <v>50</v>
      </c>
      <c r="X171" s="182" t="s">
        <v>51</v>
      </c>
      <c r="Y171" s="184">
        <v>2510</v>
      </c>
      <c r="Z171" s="184">
        <v>2510</v>
      </c>
      <c r="AA171" s="184">
        <v>2510</v>
      </c>
      <c r="AB171" s="184">
        <v>2430</v>
      </c>
      <c r="AC171" s="184">
        <v>2430</v>
      </c>
      <c r="AD171" s="184">
        <v>2430</v>
      </c>
      <c r="AE171" s="184">
        <v>2260</v>
      </c>
      <c r="AF171" s="184">
        <v>2260</v>
      </c>
      <c r="AG171" s="184">
        <v>2260</v>
      </c>
      <c r="AH171" s="184">
        <v>1880</v>
      </c>
      <c r="AI171" s="184">
        <v>1880</v>
      </c>
      <c r="AJ171" s="184">
        <v>1880</v>
      </c>
      <c r="AK171" s="184">
        <v>1880</v>
      </c>
      <c r="AL171" s="184">
        <v>1880</v>
      </c>
      <c r="AM171" s="184">
        <v>1880</v>
      </c>
      <c r="AN171" s="184">
        <v>1880</v>
      </c>
      <c r="AO171" s="184">
        <v>1880</v>
      </c>
      <c r="AP171" s="184">
        <v>1880</v>
      </c>
      <c r="AQ171" s="184">
        <v>2110</v>
      </c>
      <c r="AR171" s="184">
        <v>2160</v>
      </c>
      <c r="AS171" s="184">
        <v>2160</v>
      </c>
      <c r="AT171" s="184">
        <v>2160</v>
      </c>
      <c r="AU171" s="184">
        <v>2160</v>
      </c>
      <c r="AV171" s="184">
        <v>2160</v>
      </c>
      <c r="AW171" s="184">
        <v>2380</v>
      </c>
      <c r="AX171" s="184">
        <v>2380</v>
      </c>
      <c r="AY171" s="146">
        <f t="shared" si="63"/>
        <v>1880</v>
      </c>
      <c r="AZ171" s="146">
        <f t="shared" si="64"/>
        <v>1880</v>
      </c>
      <c r="BA171" s="146">
        <f t="shared" si="64"/>
        <v>1880</v>
      </c>
      <c r="BB171" s="184">
        <v>2500</v>
      </c>
      <c r="BC171" s="184">
        <v>2500</v>
      </c>
      <c r="BD171" s="184">
        <v>2500</v>
      </c>
      <c r="BE171" s="184">
        <v>2500</v>
      </c>
      <c r="BF171" s="184">
        <v>2350</v>
      </c>
      <c r="BG171" s="184">
        <v>2350</v>
      </c>
      <c r="BH171" s="184">
        <v>2350</v>
      </c>
      <c r="BI171" s="184"/>
      <c r="BJ171" s="184"/>
      <c r="BK171" s="184"/>
      <c r="BL171" s="184">
        <v>2360</v>
      </c>
      <c r="BM171" s="184">
        <v>2360</v>
      </c>
      <c r="BN171" s="184">
        <v>2360</v>
      </c>
      <c r="BO171" s="184">
        <v>2650</v>
      </c>
      <c r="BP171" s="184">
        <v>2650</v>
      </c>
      <c r="BQ171" s="184">
        <v>2650</v>
      </c>
      <c r="BR171" s="184"/>
      <c r="BS171" s="184"/>
      <c r="BT171" s="184"/>
      <c r="BU171" s="146" cm="1">
        <f t="array" ref="BU171">LOOKUP(2,1/(Y171:BT171&lt;&gt;""),Y171:BH171)</f>
        <v>2650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46199</v>
      </c>
      <c r="BW171" s="211" cm="1">
        <f t="array" ref="BW171">(LOOKUP(2,1/(BH171:BT171&lt;&gt;""),BH171:BT171))/(INDEX(BH171:BT171,MATCH(TRUE,INDEX((BH171:BT171&lt;&gt;0),0),0)))-1</f>
        <v>0.12765957446808507</v>
      </c>
      <c r="BX171" s="212">
        <f t="shared" si="50"/>
        <v>2.65</v>
      </c>
      <c r="BY171" s="212">
        <f t="shared" si="49"/>
        <v>15.635</v>
      </c>
      <c r="BZ171" s="212">
        <f ca="1">IF(L171="BR",'Impostos e Frete'!$F$6,IF(L171="EU",'Impostos e Frete'!$I$3,IF(L171="CN",'Impostos e Frete'!$I$4,IF(L171="JP",'Impostos e Frete'!$I$5,IF(L171="RU",'Impostos e Frete'!$I$7,"ERRO")))))</f>
        <v>0.14176320000000001</v>
      </c>
      <c r="CA171" s="212">
        <f>VLOOKUP(L171,'Impostos e Frete'!$A$3:$B$7,2,0)*'Preços e Condições'!BY171</f>
        <v>2.0325500000000001</v>
      </c>
      <c r="CB171" s="147">
        <f t="shared" si="51"/>
        <v>0</v>
      </c>
      <c r="CC171" s="147">
        <f>IF(X171="BRL",'Impostos e Frete'!$B$11,'Impostos e Frete'!$B$12)</f>
        <v>9.1999999999999998E-2</v>
      </c>
      <c r="CD171" s="213">
        <f t="shared" ca="1" si="52"/>
        <v>17.901313199999997</v>
      </c>
      <c r="CE171" s="214">
        <f t="shared" ca="1" si="53"/>
        <v>1.163585358</v>
      </c>
      <c r="CF171" s="215">
        <f>VLOOKUP(L171,'Impostos e Frete'!$A$3:$C$7,3,0)</f>
        <v>105</v>
      </c>
      <c r="CG171" s="215">
        <f t="shared" si="54"/>
        <v>30</v>
      </c>
      <c r="CH171" s="215">
        <f t="shared" si="55"/>
        <v>-75</v>
      </c>
      <c r="CI171" s="216">
        <f t="shared" ca="1" si="56"/>
        <v>0.67887020655528119</v>
      </c>
      <c r="CJ171" s="217">
        <f t="shared" ca="1" si="57"/>
        <v>18.580183406555278</v>
      </c>
      <c r="CK171" s="218">
        <f t="shared" ca="1" si="58"/>
        <v>1.2077119214260932</v>
      </c>
    </row>
    <row r="172" spans="1:89">
      <c r="A172" s="176">
        <v>19509</v>
      </c>
      <c r="B172" s="177">
        <v>408</v>
      </c>
      <c r="C172" s="178">
        <v>65</v>
      </c>
      <c r="D172" s="178">
        <v>1870</v>
      </c>
      <c r="E172" s="178" t="s">
        <v>50</v>
      </c>
      <c r="F172" s="179" t="s">
        <v>108</v>
      </c>
      <c r="G172" s="189" t="s">
        <v>117</v>
      </c>
      <c r="H172" s="178" t="s">
        <v>61</v>
      </c>
      <c r="I172" s="178" t="s">
        <v>120</v>
      </c>
      <c r="J172" s="178"/>
      <c r="K172" s="178"/>
      <c r="L172" s="178" t="s">
        <v>59</v>
      </c>
      <c r="M172" s="178">
        <v>30</v>
      </c>
      <c r="N172" s="178">
        <v>500</v>
      </c>
      <c r="O172" s="178"/>
      <c r="P172" s="178"/>
      <c r="Q172" s="178"/>
      <c r="R172" s="178" t="s">
        <v>19</v>
      </c>
      <c r="S172" s="181"/>
      <c r="T172" s="181"/>
      <c r="U172" s="182"/>
      <c r="V172" s="182" t="s">
        <v>35</v>
      </c>
      <c r="W172" s="183">
        <v>20</v>
      </c>
      <c r="X172" s="182" t="s">
        <v>51</v>
      </c>
      <c r="Y172" s="184">
        <v>3010</v>
      </c>
      <c r="Z172" s="184">
        <v>3010</v>
      </c>
      <c r="AA172" s="184">
        <v>3010</v>
      </c>
      <c r="AB172" s="184">
        <v>2930</v>
      </c>
      <c r="AC172" s="184">
        <v>2930</v>
      </c>
      <c r="AD172" s="184">
        <v>2930</v>
      </c>
      <c r="AE172" s="184">
        <v>2760</v>
      </c>
      <c r="AF172" s="184">
        <v>2760</v>
      </c>
      <c r="AG172" s="184">
        <v>2760</v>
      </c>
      <c r="AH172" s="184">
        <v>2560</v>
      </c>
      <c r="AI172" s="184">
        <v>2560</v>
      </c>
      <c r="AJ172" s="184">
        <v>2560</v>
      </c>
      <c r="AK172" s="184">
        <v>2560</v>
      </c>
      <c r="AL172" s="184">
        <v>2560</v>
      </c>
      <c r="AM172" s="184">
        <v>2560</v>
      </c>
      <c r="AN172" s="184">
        <v>2560</v>
      </c>
      <c r="AO172" s="184">
        <v>2560</v>
      </c>
      <c r="AP172" s="184">
        <v>2560</v>
      </c>
      <c r="AQ172" s="184">
        <v>2610</v>
      </c>
      <c r="AR172" s="184">
        <v>2660</v>
      </c>
      <c r="AS172" s="184">
        <v>2660</v>
      </c>
      <c r="AT172" s="184">
        <v>2660</v>
      </c>
      <c r="AU172" s="184">
        <v>2660</v>
      </c>
      <c r="AV172" s="184">
        <v>2660</v>
      </c>
      <c r="AW172" s="184">
        <v>2430</v>
      </c>
      <c r="AX172" s="184">
        <v>2430</v>
      </c>
      <c r="AY172" s="146">
        <f t="shared" si="63"/>
        <v>1930</v>
      </c>
      <c r="AZ172" s="146">
        <f t="shared" si="64"/>
        <v>1930</v>
      </c>
      <c r="BA172" s="146">
        <f t="shared" si="64"/>
        <v>1930</v>
      </c>
      <c r="BB172" s="184">
        <v>2550</v>
      </c>
      <c r="BC172" s="184">
        <v>2550</v>
      </c>
      <c r="BD172" s="184">
        <v>2550</v>
      </c>
      <c r="BE172" s="184">
        <v>2550</v>
      </c>
      <c r="BF172" s="184">
        <v>2400</v>
      </c>
      <c r="BG172" s="184">
        <v>2400</v>
      </c>
      <c r="BH172" s="184">
        <v>2400</v>
      </c>
      <c r="BI172" s="184"/>
      <c r="BJ172" s="184"/>
      <c r="BK172" s="184"/>
      <c r="BL172" s="184">
        <v>2390</v>
      </c>
      <c r="BM172" s="184">
        <v>2390</v>
      </c>
      <c r="BN172" s="184">
        <v>2390</v>
      </c>
      <c r="BO172" s="184">
        <v>3150</v>
      </c>
      <c r="BP172" s="184">
        <v>3150</v>
      </c>
      <c r="BQ172" s="184">
        <v>3150</v>
      </c>
      <c r="BR172" s="184"/>
      <c r="BS172" s="184"/>
      <c r="BT172" s="184"/>
      <c r="BU172" s="146" cm="1">
        <f t="array" ref="BU172">LOOKUP(2,1/(Y172:BT172&lt;&gt;""),Y172:BH172)</f>
        <v>3150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46199</v>
      </c>
      <c r="BW172" s="211" cm="1">
        <f t="array" ref="BW172">(LOOKUP(2,1/(BH172:BT172&lt;&gt;""),BH172:BT172))/(INDEX(BH172:BT172,MATCH(TRUE,INDEX((BH172:BT172&lt;&gt;0),0),0)))-1</f>
        <v>0.3125</v>
      </c>
      <c r="BX172" s="212">
        <f t="shared" si="50"/>
        <v>3.15</v>
      </c>
      <c r="BY172" s="212">
        <f t="shared" si="49"/>
        <v>18.585000000000001</v>
      </c>
      <c r="BZ172" s="212">
        <f ca="1">IF(L172="BR",'Impostos e Frete'!$F$6,IF(L172="EU",'Impostos e Frete'!$I$3,IF(L172="CN",'Impostos e Frete'!$I$4,IF(L172="JP",'Impostos e Frete'!$I$5,IF(L172="RU",'Impostos e Frete'!$I$7,"ERRO")))))</f>
        <v>0.14176320000000001</v>
      </c>
      <c r="CA172" s="212">
        <f>VLOOKUP(L172,'Impostos e Frete'!$A$3:$B$7,2,0)*'Preços e Condições'!BY172</f>
        <v>2.4160500000000003</v>
      </c>
      <c r="CB172" s="147">
        <f t="shared" si="51"/>
        <v>0</v>
      </c>
      <c r="CC172" s="147">
        <f>IF(X172="BRL",'Impostos e Frete'!$B$11,'Impostos e Frete'!$B$12)</f>
        <v>9.1999999999999998E-2</v>
      </c>
      <c r="CD172" s="213">
        <f t="shared" ca="1" si="52"/>
        <v>21.234813199999998</v>
      </c>
      <c r="CE172" s="214">
        <f t="shared" ca="1" si="53"/>
        <v>1.3802628579999998</v>
      </c>
      <c r="CF172" s="215">
        <f>VLOOKUP(L172,'Impostos e Frete'!$A$3:$C$7,3,0)</f>
        <v>105</v>
      </c>
      <c r="CG172" s="215">
        <f t="shared" si="54"/>
        <v>30</v>
      </c>
      <c r="CH172" s="215">
        <f t="shared" si="55"/>
        <v>-75</v>
      </c>
      <c r="CI172" s="216">
        <f t="shared" ca="1" si="56"/>
        <v>0.80528628610591468</v>
      </c>
      <c r="CJ172" s="217">
        <f t="shared" ca="1" si="57"/>
        <v>22.040099486105913</v>
      </c>
      <c r="CK172" s="218">
        <f t="shared" ca="1" si="58"/>
        <v>1.4326064665968843</v>
      </c>
    </row>
    <row r="173" spans="1:89">
      <c r="A173" s="176">
        <v>19537</v>
      </c>
      <c r="B173" s="177">
        <v>1410</v>
      </c>
      <c r="C173" s="178">
        <v>68</v>
      </c>
      <c r="D173" s="178">
        <v>1860</v>
      </c>
      <c r="E173" s="178" t="s">
        <v>50</v>
      </c>
      <c r="F173" s="179" t="s">
        <v>108</v>
      </c>
      <c r="G173" s="189" t="s">
        <v>129</v>
      </c>
      <c r="H173" s="178" t="s">
        <v>61</v>
      </c>
      <c r="I173" s="178"/>
      <c r="J173" s="178"/>
      <c r="K173" s="178"/>
      <c r="L173" s="178" t="s">
        <v>59</v>
      </c>
      <c r="M173" s="178">
        <v>30</v>
      </c>
      <c r="N173" s="178">
        <v>500</v>
      </c>
      <c r="O173" s="178"/>
      <c r="P173" s="178"/>
      <c r="Q173" s="178"/>
      <c r="R173" s="178" t="s">
        <v>19</v>
      </c>
      <c r="S173" s="181"/>
      <c r="T173" s="181"/>
      <c r="U173" s="182"/>
      <c r="V173" s="182" t="s">
        <v>35</v>
      </c>
      <c r="W173" s="183">
        <v>80</v>
      </c>
      <c r="X173" s="182" t="s">
        <v>51</v>
      </c>
      <c r="Y173" s="184"/>
      <c r="Z173" s="184"/>
      <c r="AA173" s="184"/>
      <c r="AB173" s="184"/>
      <c r="AC173" s="184"/>
      <c r="AD173" s="184"/>
      <c r="AE173" s="184"/>
      <c r="AF173" s="184"/>
      <c r="AG173" s="184">
        <v>1900</v>
      </c>
      <c r="AH173" s="184">
        <v>1900</v>
      </c>
      <c r="AI173" s="184">
        <v>1720</v>
      </c>
      <c r="AJ173" s="184">
        <v>1720</v>
      </c>
      <c r="AK173" s="184">
        <v>1720</v>
      </c>
      <c r="AL173" s="184">
        <v>1720</v>
      </c>
      <c r="AM173" s="184">
        <v>1720</v>
      </c>
      <c r="AN173" s="184">
        <v>1720</v>
      </c>
      <c r="AO173" s="184">
        <v>1720</v>
      </c>
      <c r="AP173" s="184">
        <v>1720</v>
      </c>
      <c r="AQ173" s="184">
        <v>1740</v>
      </c>
      <c r="AR173" s="184">
        <v>1860</v>
      </c>
      <c r="AS173" s="184">
        <v>1860</v>
      </c>
      <c r="AT173" s="184">
        <v>1860</v>
      </c>
      <c r="AU173" s="184">
        <v>1860</v>
      </c>
      <c r="AV173" s="184">
        <v>1860</v>
      </c>
      <c r="AW173" s="184">
        <v>2310</v>
      </c>
      <c r="AX173" s="184">
        <v>2310</v>
      </c>
      <c r="AY173" s="146">
        <f t="shared" si="63"/>
        <v>1810</v>
      </c>
      <c r="AZ173" s="146">
        <f t="shared" si="64"/>
        <v>1810</v>
      </c>
      <c r="BA173" s="146">
        <f t="shared" si="64"/>
        <v>1810</v>
      </c>
      <c r="BB173" s="184">
        <v>1960</v>
      </c>
      <c r="BC173" s="184">
        <v>1960</v>
      </c>
      <c r="BD173" s="184">
        <v>1960</v>
      </c>
      <c r="BE173" s="184">
        <v>1960</v>
      </c>
      <c r="BF173" s="184">
        <v>1860</v>
      </c>
      <c r="BG173" s="184">
        <v>1860</v>
      </c>
      <c r="BH173" s="184">
        <v>1860</v>
      </c>
      <c r="BI173" s="184"/>
      <c r="BJ173" s="184"/>
      <c r="BK173" s="184"/>
      <c r="BL173" s="184"/>
      <c r="BM173" s="184"/>
      <c r="BN173" s="184"/>
      <c r="BO173" s="184">
        <v>1790</v>
      </c>
      <c r="BP173" s="184">
        <v>1790</v>
      </c>
      <c r="BQ173" s="184">
        <v>1790</v>
      </c>
      <c r="BR173" s="184"/>
      <c r="BS173" s="184"/>
      <c r="BT173" s="184"/>
      <c r="BU173" s="146" cm="1">
        <f t="array" ref="BU173">LOOKUP(2,1/(Y173:BT173&lt;&gt;""),Y173:BH173)</f>
        <v>1790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46199</v>
      </c>
      <c r="BW173" s="211" cm="1">
        <f t="array" ref="BW173">(LOOKUP(2,1/(BH173:BT173&lt;&gt;""),BH173:BT173))/(INDEX(BH173:BT173,MATCH(TRUE,INDEX((BH173:BT173&lt;&gt;0),0),0)))-1</f>
        <v>-3.7634408602150504E-2</v>
      </c>
      <c r="BX173" s="212">
        <f t="shared" si="50"/>
        <v>1.79</v>
      </c>
      <c r="BY173" s="212">
        <f t="shared" si="49"/>
        <v>10.561000000000002</v>
      </c>
      <c r="BZ173" s="212">
        <f ca="1">IF(L173="BR",'Impostos e Frete'!$F$6,IF(L173="EU",'Impostos e Frete'!$I$3,IF(L173="CN",'Impostos e Frete'!$I$4,IF(L173="JP",'Impostos e Frete'!$I$5,IF(L173="RU",'Impostos e Frete'!$I$7,"ERRO")))))</f>
        <v>0.14176320000000001</v>
      </c>
      <c r="CA173" s="212">
        <f>VLOOKUP(L173,'Impostos e Frete'!$A$3:$B$7,2,0)*'Preços e Condições'!BY173</f>
        <v>1.3729300000000002</v>
      </c>
      <c r="CB173" s="147">
        <f t="shared" si="51"/>
        <v>0</v>
      </c>
      <c r="CC173" s="147">
        <f>IF(X173="BRL",'Impostos e Frete'!$B$11,'Impostos e Frete'!$B$12)</f>
        <v>9.1999999999999998E-2</v>
      </c>
      <c r="CD173" s="213">
        <f t="shared" ca="1" si="52"/>
        <v>12.167693200000002</v>
      </c>
      <c r="CE173" s="214">
        <f t="shared" ca="1" si="53"/>
        <v>0.82740313760000017</v>
      </c>
      <c r="CF173" s="215">
        <f>VLOOKUP(L173,'Impostos e Frete'!$A$3:$C$7,3,0)</f>
        <v>105</v>
      </c>
      <c r="CG173" s="215">
        <f t="shared" si="54"/>
        <v>30</v>
      </c>
      <c r="CH173" s="215">
        <f t="shared" si="55"/>
        <v>-75</v>
      </c>
      <c r="CI173" s="216">
        <f t="shared" ca="1" si="56"/>
        <v>0.46143454972818887</v>
      </c>
      <c r="CJ173" s="217">
        <f t="shared" ca="1" si="57"/>
        <v>12.629127749728191</v>
      </c>
      <c r="CK173" s="218">
        <f t="shared" ca="1" si="58"/>
        <v>0.85878068698151699</v>
      </c>
    </row>
    <row r="174" spans="1:89">
      <c r="A174" s="176">
        <v>19538</v>
      </c>
      <c r="B174" s="177">
        <v>1430</v>
      </c>
      <c r="C174" s="178">
        <v>68</v>
      </c>
      <c r="D174" s="178">
        <v>1870</v>
      </c>
      <c r="E174" s="178" t="s">
        <v>50</v>
      </c>
      <c r="F174" s="179" t="s">
        <v>108</v>
      </c>
      <c r="G174" s="189" t="s">
        <v>130</v>
      </c>
      <c r="H174" s="178" t="s">
        <v>61</v>
      </c>
      <c r="I174" s="178"/>
      <c r="J174" s="178"/>
      <c r="K174" s="178"/>
      <c r="L174" s="178" t="s">
        <v>59</v>
      </c>
      <c r="M174" s="178">
        <v>30</v>
      </c>
      <c r="N174" s="178">
        <v>500</v>
      </c>
      <c r="O174" s="178"/>
      <c r="P174" s="178"/>
      <c r="Q174" s="178"/>
      <c r="R174" s="178" t="s">
        <v>19</v>
      </c>
      <c r="S174" s="181"/>
      <c r="T174" s="181"/>
      <c r="U174" s="182"/>
      <c r="V174" s="182" t="s">
        <v>35</v>
      </c>
      <c r="W174" s="183">
        <v>80</v>
      </c>
      <c r="X174" s="182" t="s">
        <v>51</v>
      </c>
      <c r="Y174" s="184"/>
      <c r="Z174" s="184"/>
      <c r="AA174" s="184"/>
      <c r="AB174" s="184"/>
      <c r="AC174" s="184"/>
      <c r="AD174" s="184"/>
      <c r="AE174" s="184"/>
      <c r="AF174" s="184"/>
      <c r="AG174" s="184">
        <v>2020</v>
      </c>
      <c r="AH174" s="184">
        <v>2020</v>
      </c>
      <c r="AI174" s="184">
        <v>1720</v>
      </c>
      <c r="AJ174" s="184">
        <v>1720</v>
      </c>
      <c r="AK174" s="184">
        <v>1720</v>
      </c>
      <c r="AL174" s="184">
        <v>1720</v>
      </c>
      <c r="AM174" s="184">
        <v>1720</v>
      </c>
      <c r="AN174" s="184">
        <v>1720</v>
      </c>
      <c r="AO174" s="184">
        <v>1720</v>
      </c>
      <c r="AP174" s="184">
        <v>1720</v>
      </c>
      <c r="AQ174" s="184">
        <v>1740</v>
      </c>
      <c r="AR174" s="184">
        <v>1940</v>
      </c>
      <c r="AS174" s="184">
        <v>1940</v>
      </c>
      <c r="AT174" s="184">
        <v>1940</v>
      </c>
      <c r="AU174" s="184">
        <v>1940</v>
      </c>
      <c r="AV174" s="184">
        <v>1940</v>
      </c>
      <c r="AW174" s="184">
        <v>2390</v>
      </c>
      <c r="AX174" s="184">
        <v>2390</v>
      </c>
      <c r="AY174" s="146">
        <f t="shared" si="63"/>
        <v>1890</v>
      </c>
      <c r="AZ174" s="146">
        <f t="shared" si="64"/>
        <v>1890</v>
      </c>
      <c r="BA174" s="146">
        <f t="shared" si="64"/>
        <v>1890</v>
      </c>
      <c r="BB174" s="184">
        <v>2040</v>
      </c>
      <c r="BC174" s="184">
        <v>2040</v>
      </c>
      <c r="BD174" s="184">
        <v>2040</v>
      </c>
      <c r="BE174" s="184">
        <v>2040</v>
      </c>
      <c r="BF174" s="184">
        <v>1940</v>
      </c>
      <c r="BG174" s="184">
        <v>1940</v>
      </c>
      <c r="BH174" s="184">
        <v>1940</v>
      </c>
      <c r="BI174" s="184"/>
      <c r="BJ174" s="184"/>
      <c r="BK174" s="184"/>
      <c r="BL174" s="184"/>
      <c r="BM174" s="184"/>
      <c r="BN174" s="184"/>
      <c r="BO174" s="184">
        <v>1900</v>
      </c>
      <c r="BP174" s="184">
        <v>1900</v>
      </c>
      <c r="BQ174" s="184">
        <v>1900</v>
      </c>
      <c r="BR174" s="184"/>
      <c r="BS174" s="184"/>
      <c r="BT174" s="184"/>
      <c r="BU174" s="146" cm="1">
        <f t="array" ref="BU174">LOOKUP(2,1/(Y174:BT174&lt;&gt;""),Y174:BH174)</f>
        <v>1900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46199</v>
      </c>
      <c r="BW174" s="211" cm="1">
        <f t="array" ref="BW174">(LOOKUP(2,1/(BH174:BT174&lt;&gt;""),BH174:BT174))/(INDEX(BH174:BT174,MATCH(TRUE,INDEX((BH174:BT174&lt;&gt;0),0),0)))-1</f>
        <v>-2.0618556701030966E-2</v>
      </c>
      <c r="BX174" s="212">
        <f t="shared" si="50"/>
        <v>1.9</v>
      </c>
      <c r="BY174" s="212">
        <f t="shared" si="49"/>
        <v>11.21</v>
      </c>
      <c r="BZ174" s="212">
        <f ca="1">IF(L174="BR",'Impostos e Frete'!$F$6,IF(L174="EU",'Impostos e Frete'!$I$3,IF(L174="CN",'Impostos e Frete'!$I$4,IF(L174="JP",'Impostos e Frete'!$I$5,IF(L174="RU",'Impostos e Frete'!$I$7,"ERRO")))))</f>
        <v>0.14176320000000001</v>
      </c>
      <c r="CA174" s="212">
        <f>VLOOKUP(L174,'Impostos e Frete'!$A$3:$B$7,2,0)*'Preços e Condições'!BY174</f>
        <v>1.4573000000000003</v>
      </c>
      <c r="CB174" s="147">
        <f t="shared" si="51"/>
        <v>0</v>
      </c>
      <c r="CC174" s="147">
        <f>IF(X174="BRL",'Impostos e Frete'!$B$11,'Impostos e Frete'!$B$12)</f>
        <v>9.1999999999999998E-2</v>
      </c>
      <c r="CD174" s="213">
        <f t="shared" ca="1" si="52"/>
        <v>12.901063200000001</v>
      </c>
      <c r="CE174" s="214">
        <f t="shared" ca="1" si="53"/>
        <v>0.87727229760000014</v>
      </c>
      <c r="CF174" s="215">
        <f>VLOOKUP(L174,'Impostos e Frete'!$A$3:$C$7,3,0)</f>
        <v>105</v>
      </c>
      <c r="CG174" s="215">
        <f t="shared" si="54"/>
        <v>30</v>
      </c>
      <c r="CH174" s="215">
        <f t="shared" si="55"/>
        <v>-75</v>
      </c>
      <c r="CI174" s="216">
        <f t="shared" ca="1" si="56"/>
        <v>0.48924608722932739</v>
      </c>
      <c r="CJ174" s="217">
        <f t="shared" ca="1" si="57"/>
        <v>13.390309287229329</v>
      </c>
      <c r="CK174" s="218">
        <f t="shared" ca="1" si="58"/>
        <v>0.91054103153159438</v>
      </c>
    </row>
    <row r="175" spans="1:89">
      <c r="A175" s="176">
        <v>19539</v>
      </c>
      <c r="B175" s="177">
        <v>689</v>
      </c>
      <c r="C175" s="178">
        <v>68</v>
      </c>
      <c r="D175" s="178">
        <v>1870</v>
      </c>
      <c r="E175" s="178" t="s">
        <v>50</v>
      </c>
      <c r="F175" s="179" t="s">
        <v>108</v>
      </c>
      <c r="G175" s="189" t="s">
        <v>132</v>
      </c>
      <c r="H175" s="178" t="s">
        <v>63</v>
      </c>
      <c r="I175" s="178"/>
      <c r="J175" s="178"/>
      <c r="K175" s="178"/>
      <c r="L175" s="178" t="s">
        <v>59</v>
      </c>
      <c r="M175" s="178">
        <v>30</v>
      </c>
      <c r="N175" s="178">
        <v>500</v>
      </c>
      <c r="O175" s="178"/>
      <c r="P175" s="178"/>
      <c r="Q175" s="178"/>
      <c r="R175" s="178" t="s">
        <v>19</v>
      </c>
      <c r="S175" s="181"/>
      <c r="T175" s="181"/>
      <c r="U175" s="182"/>
      <c r="V175" s="182" t="s">
        <v>35</v>
      </c>
      <c r="W175" s="183">
        <v>80</v>
      </c>
      <c r="X175" s="182" t="s">
        <v>51</v>
      </c>
      <c r="Y175" s="184"/>
      <c r="Z175" s="184"/>
      <c r="AA175" s="184"/>
      <c r="AB175" s="184"/>
      <c r="AC175" s="184"/>
      <c r="AD175" s="184"/>
      <c r="AE175" s="184"/>
      <c r="AF175" s="184"/>
      <c r="AG175" s="184">
        <v>1890</v>
      </c>
      <c r="AH175" s="184">
        <v>1890</v>
      </c>
      <c r="AI175" s="184">
        <v>1890</v>
      </c>
      <c r="AJ175" s="184">
        <v>1890</v>
      </c>
      <c r="AK175" s="184">
        <v>1890</v>
      </c>
      <c r="AL175" s="184">
        <v>1890</v>
      </c>
      <c r="AM175" s="184">
        <v>1890</v>
      </c>
      <c r="AN175" s="184">
        <v>1890</v>
      </c>
      <c r="AO175" s="184">
        <v>1890</v>
      </c>
      <c r="AP175" s="184">
        <v>1890</v>
      </c>
      <c r="AQ175" s="184">
        <v>1650</v>
      </c>
      <c r="AR175" s="184">
        <v>1850</v>
      </c>
      <c r="AS175" s="184">
        <v>1850</v>
      </c>
      <c r="AT175" s="184">
        <v>1850</v>
      </c>
      <c r="AU175" s="184">
        <v>1850</v>
      </c>
      <c r="AV175" s="184">
        <v>1850</v>
      </c>
      <c r="AW175" s="184">
        <v>2250</v>
      </c>
      <c r="AX175" s="184">
        <v>2250</v>
      </c>
      <c r="AY175" s="146">
        <f t="shared" si="63"/>
        <v>1750</v>
      </c>
      <c r="AZ175" s="146">
        <f t="shared" si="64"/>
        <v>1750</v>
      </c>
      <c r="BA175" s="146">
        <f t="shared" si="64"/>
        <v>1750</v>
      </c>
      <c r="BB175" s="184">
        <v>1950</v>
      </c>
      <c r="BC175" s="184">
        <v>1950</v>
      </c>
      <c r="BD175" s="184">
        <v>1950</v>
      </c>
      <c r="BE175" s="184">
        <v>1950</v>
      </c>
      <c r="BF175" s="184">
        <v>1900</v>
      </c>
      <c r="BG175" s="184">
        <v>1900</v>
      </c>
      <c r="BH175" s="184">
        <v>1900</v>
      </c>
      <c r="BI175" s="184"/>
      <c r="BJ175" s="184"/>
      <c r="BK175" s="184"/>
      <c r="BL175" s="184">
        <v>1910</v>
      </c>
      <c r="BM175" s="184">
        <v>1910</v>
      </c>
      <c r="BN175" s="184">
        <v>1910</v>
      </c>
      <c r="BO175" s="184">
        <v>2020</v>
      </c>
      <c r="BP175" s="184">
        <v>2020</v>
      </c>
      <c r="BQ175" s="184">
        <v>2020</v>
      </c>
      <c r="BR175" s="184"/>
      <c r="BS175" s="184"/>
      <c r="BT175" s="184"/>
      <c r="BU175" s="146" cm="1">
        <f t="array" ref="BU175">LOOKUP(2,1/(Y175:BT175&lt;&gt;""),Y175:BH175)</f>
        <v>2020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46199</v>
      </c>
      <c r="BW175" s="211" cm="1">
        <f t="array" ref="BW175">(LOOKUP(2,1/(BH175:BT175&lt;&gt;""),BH175:BT175))/(INDEX(BH175:BT175,MATCH(TRUE,INDEX((BH175:BT175&lt;&gt;0),0),0)))-1</f>
        <v>6.315789473684208E-2</v>
      </c>
      <c r="BX175" s="212">
        <f t="shared" si="50"/>
        <v>2.02</v>
      </c>
      <c r="BY175" s="212">
        <f t="shared" si="49"/>
        <v>11.918000000000001</v>
      </c>
      <c r="BZ175" s="212">
        <f ca="1">IF(L175="BR",'Impostos e Frete'!$F$6,IF(L175="EU",'Impostos e Frete'!$I$3,IF(L175="CN",'Impostos e Frete'!$I$4,IF(L175="JP",'Impostos e Frete'!$I$5,IF(L175="RU",'Impostos e Frete'!$I$7,"ERRO")))))</f>
        <v>0.14176320000000001</v>
      </c>
      <c r="CA175" s="212">
        <f>VLOOKUP(L175,'Impostos e Frete'!$A$3:$B$7,2,0)*'Preços e Condições'!BY175</f>
        <v>1.5493400000000002</v>
      </c>
      <c r="CB175" s="147">
        <f t="shared" si="51"/>
        <v>0</v>
      </c>
      <c r="CC175" s="147">
        <f>IF(X175="BRL",'Impostos e Frete'!$B$11,'Impostos e Frete'!$B$12)</f>
        <v>9.1999999999999998E-2</v>
      </c>
      <c r="CD175" s="213">
        <f t="shared" ca="1" si="52"/>
        <v>13.701103200000002</v>
      </c>
      <c r="CE175" s="214">
        <f t="shared" ca="1" si="53"/>
        <v>0.93167501760000015</v>
      </c>
      <c r="CF175" s="215">
        <f>VLOOKUP(L175,'Impostos e Frete'!$A$3:$C$7,3,0)</f>
        <v>105</v>
      </c>
      <c r="CG175" s="215">
        <f t="shared" si="54"/>
        <v>30</v>
      </c>
      <c r="CH175" s="215">
        <f t="shared" si="55"/>
        <v>-75</v>
      </c>
      <c r="CI175" s="216">
        <f t="shared" ca="1" si="56"/>
        <v>0.51958594632148092</v>
      </c>
      <c r="CJ175" s="217">
        <f t="shared" ca="1" si="57"/>
        <v>14.220689146321483</v>
      </c>
      <c r="CK175" s="218">
        <f t="shared" ca="1" si="58"/>
        <v>0.96700686194986085</v>
      </c>
    </row>
    <row r="176" spans="1:89">
      <c r="A176" s="176">
        <v>19539</v>
      </c>
      <c r="B176" s="177">
        <v>689</v>
      </c>
      <c r="C176" s="178">
        <v>68</v>
      </c>
      <c r="D176" s="178">
        <v>1870</v>
      </c>
      <c r="E176" s="178" t="s">
        <v>50</v>
      </c>
      <c r="F176" s="179" t="s">
        <v>108</v>
      </c>
      <c r="G176" s="189" t="s">
        <v>132</v>
      </c>
      <c r="H176" s="178" t="s">
        <v>63</v>
      </c>
      <c r="I176" s="178"/>
      <c r="J176" s="178"/>
      <c r="K176" s="178"/>
      <c r="L176" s="178" t="s">
        <v>59</v>
      </c>
      <c r="M176" s="178">
        <v>30</v>
      </c>
      <c r="N176" s="178">
        <v>500</v>
      </c>
      <c r="O176" s="178"/>
      <c r="P176" s="178"/>
      <c r="Q176" s="178"/>
      <c r="R176" s="178" t="s">
        <v>19</v>
      </c>
      <c r="S176" s="181"/>
      <c r="T176" s="181"/>
      <c r="U176" s="182"/>
      <c r="V176" s="182" t="s">
        <v>35</v>
      </c>
      <c r="W176" s="183">
        <v>50</v>
      </c>
      <c r="X176" s="182" t="s">
        <v>51</v>
      </c>
      <c r="Y176" s="184"/>
      <c r="Z176" s="184"/>
      <c r="AA176" s="184"/>
      <c r="AB176" s="184"/>
      <c r="AC176" s="184"/>
      <c r="AD176" s="184"/>
      <c r="AE176" s="184"/>
      <c r="AF176" s="184"/>
      <c r="AG176" s="184"/>
      <c r="AH176" s="184"/>
      <c r="AI176" s="184"/>
      <c r="AJ176" s="184"/>
      <c r="AK176" s="184"/>
      <c r="AL176" s="184"/>
      <c r="AM176" s="184"/>
      <c r="AN176" s="184"/>
      <c r="AO176" s="184"/>
      <c r="AP176" s="184"/>
      <c r="AQ176" s="184"/>
      <c r="AR176" s="184">
        <v>2050</v>
      </c>
      <c r="AS176" s="184">
        <v>2050</v>
      </c>
      <c r="AT176" s="184">
        <v>2050</v>
      </c>
      <c r="AU176" s="184">
        <v>2050</v>
      </c>
      <c r="AV176" s="184">
        <v>2050</v>
      </c>
      <c r="AW176" s="184">
        <v>2270</v>
      </c>
      <c r="AX176" s="184">
        <v>2270</v>
      </c>
      <c r="AY176" s="146">
        <f t="shared" si="63"/>
        <v>1770</v>
      </c>
      <c r="AZ176" s="146">
        <f t="shared" ref="AZ176:BA180" si="65">AY176</f>
        <v>1770</v>
      </c>
      <c r="BA176" s="146">
        <f t="shared" si="65"/>
        <v>1770</v>
      </c>
      <c r="BB176" s="184">
        <v>1970</v>
      </c>
      <c r="BC176" s="184">
        <v>1970</v>
      </c>
      <c r="BD176" s="184">
        <v>1970</v>
      </c>
      <c r="BE176" s="184">
        <v>1970</v>
      </c>
      <c r="BF176" s="184">
        <v>1920</v>
      </c>
      <c r="BG176" s="184">
        <v>1920</v>
      </c>
      <c r="BH176" s="184">
        <v>1920</v>
      </c>
      <c r="BI176" s="184"/>
      <c r="BJ176" s="184"/>
      <c r="BK176" s="184"/>
      <c r="BL176" s="184">
        <v>1930</v>
      </c>
      <c r="BM176" s="184">
        <v>1930</v>
      </c>
      <c r="BN176" s="184">
        <v>1930</v>
      </c>
      <c r="BO176" s="184">
        <v>2220</v>
      </c>
      <c r="BP176" s="184">
        <v>2220</v>
      </c>
      <c r="BQ176" s="184">
        <v>2220</v>
      </c>
      <c r="BR176" s="184"/>
      <c r="BS176" s="184"/>
      <c r="BT176" s="184"/>
      <c r="BU176" s="146" cm="1">
        <f t="array" ref="BU176">LOOKUP(2,1/(Y176:BT176&lt;&gt;""),Y176:BH176)</f>
        <v>2220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46199</v>
      </c>
      <c r="BW176" s="211" cm="1">
        <f t="array" ref="BW176">(LOOKUP(2,1/(BH176:BT176&lt;&gt;""),BH176:BT176))/(INDEX(BH176:BT176,MATCH(TRUE,INDEX((BH176:BT176&lt;&gt;0),0),0)))-1</f>
        <v>0.15625</v>
      </c>
      <c r="BX176" s="212">
        <f t="shared" si="50"/>
        <v>2.2200000000000002</v>
      </c>
      <c r="BY176" s="212">
        <f t="shared" si="49"/>
        <v>13.098000000000003</v>
      </c>
      <c r="BZ176" s="212">
        <f ca="1">IF(L176="BR",'Impostos e Frete'!$F$6,IF(L176="EU",'Impostos e Frete'!$I$3,IF(L176="CN",'Impostos e Frete'!$I$4,IF(L176="JP",'Impostos e Frete'!$I$5,IF(L176="RU",'Impostos e Frete'!$I$7,"ERRO")))))</f>
        <v>0.14176320000000001</v>
      </c>
      <c r="CA176" s="212">
        <f>VLOOKUP(L176,'Impostos e Frete'!$A$3:$B$7,2,0)*'Preços e Condições'!BY176</f>
        <v>1.7027400000000004</v>
      </c>
      <c r="CB176" s="147">
        <f t="shared" si="51"/>
        <v>0</v>
      </c>
      <c r="CC176" s="147">
        <f>IF(X176="BRL",'Impostos e Frete'!$B$11,'Impostos e Frete'!$B$12)</f>
        <v>9.1999999999999998E-2</v>
      </c>
      <c r="CD176" s="213">
        <f t="shared" ca="1" si="52"/>
        <v>15.034503200000003</v>
      </c>
      <c r="CE176" s="214">
        <f t="shared" ca="1" si="53"/>
        <v>1.0223462176000002</v>
      </c>
      <c r="CF176" s="215">
        <f>VLOOKUP(L176,'Impostos e Frete'!$A$3:$C$7,3,0)</f>
        <v>105</v>
      </c>
      <c r="CG176" s="215">
        <f t="shared" si="54"/>
        <v>30</v>
      </c>
      <c r="CH176" s="215">
        <f t="shared" si="55"/>
        <v>-75</v>
      </c>
      <c r="CI176" s="216">
        <f t="shared" ca="1" si="56"/>
        <v>0.57015237814173503</v>
      </c>
      <c r="CJ176" s="217">
        <f t="shared" ca="1" si="57"/>
        <v>15.604655578141738</v>
      </c>
      <c r="CK176" s="218">
        <f t="shared" ca="1" si="58"/>
        <v>1.0611165793136381</v>
      </c>
    </row>
    <row r="177" spans="1:89">
      <c r="A177" s="176">
        <v>19539</v>
      </c>
      <c r="B177" s="177">
        <v>689</v>
      </c>
      <c r="C177" s="178">
        <v>68</v>
      </c>
      <c r="D177" s="178">
        <v>1870</v>
      </c>
      <c r="E177" s="178" t="s">
        <v>50</v>
      </c>
      <c r="F177" s="179" t="s">
        <v>108</v>
      </c>
      <c r="G177" s="189" t="s">
        <v>132</v>
      </c>
      <c r="H177" s="178" t="s">
        <v>63</v>
      </c>
      <c r="I177" s="178"/>
      <c r="J177" s="178"/>
      <c r="K177" s="178"/>
      <c r="L177" s="178" t="s">
        <v>59</v>
      </c>
      <c r="M177" s="178">
        <v>30</v>
      </c>
      <c r="N177" s="178">
        <v>500</v>
      </c>
      <c r="O177" s="178"/>
      <c r="P177" s="178"/>
      <c r="Q177" s="178"/>
      <c r="R177" s="178" t="s">
        <v>19</v>
      </c>
      <c r="S177" s="181"/>
      <c r="T177" s="181"/>
      <c r="U177" s="182"/>
      <c r="V177" s="182" t="s">
        <v>35</v>
      </c>
      <c r="W177" s="183">
        <v>20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c r="AR177" s="184">
        <v>2550</v>
      </c>
      <c r="AS177" s="184">
        <v>2550</v>
      </c>
      <c r="AT177" s="184">
        <v>2550</v>
      </c>
      <c r="AU177" s="184">
        <v>2550</v>
      </c>
      <c r="AV177" s="184">
        <v>2550</v>
      </c>
      <c r="AW177" s="184">
        <v>2320</v>
      </c>
      <c r="AX177" s="184">
        <v>2320</v>
      </c>
      <c r="AY177" s="146">
        <f t="shared" si="63"/>
        <v>1820</v>
      </c>
      <c r="AZ177" s="146">
        <f t="shared" si="65"/>
        <v>1820</v>
      </c>
      <c r="BA177" s="146">
        <f t="shared" si="65"/>
        <v>1820</v>
      </c>
      <c r="BB177" s="184">
        <v>2020</v>
      </c>
      <c r="BC177" s="184">
        <v>2020</v>
      </c>
      <c r="BD177" s="184">
        <v>2020</v>
      </c>
      <c r="BE177" s="184">
        <v>2020</v>
      </c>
      <c r="BF177" s="184">
        <v>1970</v>
      </c>
      <c r="BG177" s="184">
        <v>1970</v>
      </c>
      <c r="BH177" s="184">
        <v>1970</v>
      </c>
      <c r="BI177" s="184"/>
      <c r="BJ177" s="184"/>
      <c r="BK177" s="184"/>
      <c r="BL177" s="184">
        <v>1960</v>
      </c>
      <c r="BM177" s="184">
        <v>1960</v>
      </c>
      <c r="BN177" s="184">
        <v>1960</v>
      </c>
      <c r="BO177" s="184">
        <v>2720</v>
      </c>
      <c r="BP177" s="184">
        <v>2720</v>
      </c>
      <c r="BQ177" s="184">
        <v>2720</v>
      </c>
      <c r="BR177" s="184"/>
      <c r="BS177" s="184"/>
      <c r="BT177" s="184"/>
      <c r="BU177" s="146" cm="1">
        <f t="array" ref="BU177">LOOKUP(2,1/(Y177:BT177&lt;&gt;""),Y177:BH177)</f>
        <v>2720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46199</v>
      </c>
      <c r="BW177" s="211" cm="1">
        <f t="array" ref="BW177">(LOOKUP(2,1/(BH177:BT177&lt;&gt;""),BH177:BT177))/(INDEX(BH177:BT177,MATCH(TRUE,INDEX((BH177:BT177&lt;&gt;0),0),0)))-1</f>
        <v>0.38071065989847708</v>
      </c>
      <c r="BX177" s="212">
        <f t="shared" si="50"/>
        <v>2.72</v>
      </c>
      <c r="BY177" s="212">
        <f t="shared" si="49"/>
        <v>16.048000000000002</v>
      </c>
      <c r="BZ177" s="212">
        <f ca="1">IF(L177="BR",'Impostos e Frete'!$F$6,IF(L177="EU",'Impostos e Frete'!$I$3,IF(L177="CN",'Impostos e Frete'!$I$4,IF(L177="JP",'Impostos e Frete'!$I$5,IF(L177="RU",'Impostos e Frete'!$I$7,"ERRO")))))</f>
        <v>0.14176320000000001</v>
      </c>
      <c r="CA177" s="212">
        <f>VLOOKUP(L177,'Impostos e Frete'!$A$3:$B$7,2,0)*'Preços e Condições'!BY177</f>
        <v>2.0862400000000001</v>
      </c>
      <c r="CB177" s="147">
        <f t="shared" si="51"/>
        <v>0</v>
      </c>
      <c r="CC177" s="147">
        <f>IF(X177="BRL",'Impostos e Frete'!$B$11,'Impostos e Frete'!$B$12)</f>
        <v>9.1999999999999998E-2</v>
      </c>
      <c r="CD177" s="213">
        <f t="shared" ca="1" si="52"/>
        <v>18.3680032</v>
      </c>
      <c r="CE177" s="214">
        <f t="shared" ca="1" si="53"/>
        <v>1.2490242175999999</v>
      </c>
      <c r="CF177" s="215">
        <f>VLOOKUP(L177,'Impostos e Frete'!$A$3:$C$7,3,0)</f>
        <v>105</v>
      </c>
      <c r="CG177" s="215">
        <f t="shared" si="54"/>
        <v>30</v>
      </c>
      <c r="CH177" s="215">
        <f t="shared" si="55"/>
        <v>-75</v>
      </c>
      <c r="CI177" s="216">
        <f t="shared" ca="1" si="56"/>
        <v>0.69656845769236853</v>
      </c>
      <c r="CJ177" s="217">
        <f t="shared" ca="1" si="57"/>
        <v>19.064571657692369</v>
      </c>
      <c r="CK177" s="218">
        <f t="shared" ca="1" si="58"/>
        <v>1.2963908727230811</v>
      </c>
    </row>
    <row r="178" spans="1:89">
      <c r="A178" s="176">
        <v>19540</v>
      </c>
      <c r="B178" s="177">
        <v>483</v>
      </c>
      <c r="C178" s="178">
        <v>68</v>
      </c>
      <c r="D178" s="178">
        <v>1870</v>
      </c>
      <c r="E178" s="178" t="s">
        <v>50</v>
      </c>
      <c r="F178" s="179" t="s">
        <v>108</v>
      </c>
      <c r="G178" s="189" t="s">
        <v>131</v>
      </c>
      <c r="H178" s="178" t="s">
        <v>63</v>
      </c>
      <c r="I178" s="178"/>
      <c r="J178" s="178"/>
      <c r="K178" s="178"/>
      <c r="L178" s="178" t="s">
        <v>59</v>
      </c>
      <c r="M178" s="178">
        <v>30</v>
      </c>
      <c r="N178" s="178">
        <v>500</v>
      </c>
      <c r="O178" s="178"/>
      <c r="P178" s="178"/>
      <c r="Q178" s="178"/>
      <c r="R178" s="178" t="s">
        <v>19</v>
      </c>
      <c r="S178" s="181"/>
      <c r="T178" s="181"/>
      <c r="U178" s="182"/>
      <c r="V178" s="182" t="s">
        <v>35</v>
      </c>
      <c r="W178" s="183">
        <v>80</v>
      </c>
      <c r="X178" s="182" t="s">
        <v>51</v>
      </c>
      <c r="Y178" s="184"/>
      <c r="Z178" s="184"/>
      <c r="AA178" s="184"/>
      <c r="AB178" s="184"/>
      <c r="AC178" s="184"/>
      <c r="AD178" s="184"/>
      <c r="AE178" s="184"/>
      <c r="AF178" s="184"/>
      <c r="AG178" s="184">
        <v>2060</v>
      </c>
      <c r="AH178" s="184">
        <v>2060</v>
      </c>
      <c r="AI178" s="184">
        <v>2060</v>
      </c>
      <c r="AJ178" s="184">
        <v>2060</v>
      </c>
      <c r="AK178" s="184">
        <v>2060</v>
      </c>
      <c r="AL178" s="184">
        <v>2060</v>
      </c>
      <c r="AM178" s="184">
        <v>2060</v>
      </c>
      <c r="AN178" s="184">
        <v>2060</v>
      </c>
      <c r="AO178" s="184">
        <v>2060</v>
      </c>
      <c r="AP178" s="184">
        <v>2060</v>
      </c>
      <c r="AQ178" s="184">
        <v>1650</v>
      </c>
      <c r="AR178" s="184">
        <v>1960</v>
      </c>
      <c r="AS178" s="184">
        <v>1960</v>
      </c>
      <c r="AT178" s="184">
        <v>1960</v>
      </c>
      <c r="AU178" s="184">
        <v>1960</v>
      </c>
      <c r="AV178" s="184">
        <v>1960</v>
      </c>
      <c r="AW178" s="184">
        <v>2360</v>
      </c>
      <c r="AX178" s="184">
        <v>2360</v>
      </c>
      <c r="AY178" s="146">
        <f t="shared" si="63"/>
        <v>1860</v>
      </c>
      <c r="AZ178" s="146">
        <f t="shared" si="65"/>
        <v>1860</v>
      </c>
      <c r="BA178" s="146">
        <f t="shared" si="65"/>
        <v>1860</v>
      </c>
      <c r="BB178" s="184">
        <v>2060</v>
      </c>
      <c r="BC178" s="184">
        <v>2060</v>
      </c>
      <c r="BD178" s="184">
        <v>2060</v>
      </c>
      <c r="BE178" s="184">
        <v>2060</v>
      </c>
      <c r="BF178" s="184">
        <v>2010</v>
      </c>
      <c r="BG178" s="184">
        <v>2010</v>
      </c>
      <c r="BH178" s="184">
        <v>2010</v>
      </c>
      <c r="BI178" s="184"/>
      <c r="BJ178" s="184"/>
      <c r="BK178" s="184"/>
      <c r="BL178" s="184">
        <v>2020</v>
      </c>
      <c r="BM178" s="184">
        <v>2020</v>
      </c>
      <c r="BN178" s="184">
        <v>2020</v>
      </c>
      <c r="BO178" s="184">
        <v>2130</v>
      </c>
      <c r="BP178" s="184">
        <v>2130</v>
      </c>
      <c r="BQ178" s="184">
        <v>2130</v>
      </c>
      <c r="BR178" s="184"/>
      <c r="BS178" s="184"/>
      <c r="BT178" s="184"/>
      <c r="BU178" s="146" cm="1">
        <f t="array" ref="BU178">LOOKUP(2,1/(Y178:BT178&lt;&gt;""),Y178:BH178)</f>
        <v>2130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46199</v>
      </c>
      <c r="BW178" s="211" cm="1">
        <f t="array" ref="BW178">(LOOKUP(2,1/(BH178:BT178&lt;&gt;""),BH178:BT178))/(INDEX(BH178:BT178,MATCH(TRUE,INDEX((BH178:BT178&lt;&gt;0),0),0)))-1</f>
        <v>5.9701492537313383E-2</v>
      </c>
      <c r="BX178" s="212">
        <f t="shared" si="50"/>
        <v>2.13</v>
      </c>
      <c r="BY178" s="212">
        <f t="shared" si="49"/>
        <v>12.567</v>
      </c>
      <c r="BZ178" s="212">
        <f ca="1">IF(L178="BR",'Impostos e Frete'!$F$6,IF(L178="EU",'Impostos e Frete'!$I$3,IF(L178="CN",'Impostos e Frete'!$I$4,IF(L178="JP",'Impostos e Frete'!$I$5,IF(L178="RU",'Impostos e Frete'!$I$7,"ERRO")))))</f>
        <v>0.14176320000000001</v>
      </c>
      <c r="CA178" s="212">
        <f>VLOOKUP(L178,'Impostos e Frete'!$A$3:$B$7,2,0)*'Preços e Condições'!BY178</f>
        <v>1.63371</v>
      </c>
      <c r="CB178" s="147">
        <f t="shared" si="51"/>
        <v>0</v>
      </c>
      <c r="CC178" s="147">
        <f>IF(X178="BRL",'Impostos e Frete'!$B$11,'Impostos e Frete'!$B$12)</f>
        <v>9.1999999999999998E-2</v>
      </c>
      <c r="CD178" s="213">
        <f t="shared" ca="1" si="52"/>
        <v>14.434473200000001</v>
      </c>
      <c r="CE178" s="214">
        <f t="shared" ca="1" si="53"/>
        <v>0.98154417760000001</v>
      </c>
      <c r="CF178" s="215">
        <f>VLOOKUP(L178,'Impostos e Frete'!$A$3:$C$7,3,0)</f>
        <v>105</v>
      </c>
      <c r="CG178" s="215">
        <f t="shared" si="54"/>
        <v>30</v>
      </c>
      <c r="CH178" s="215">
        <f t="shared" si="55"/>
        <v>-75</v>
      </c>
      <c r="CI178" s="216">
        <f t="shared" ca="1" si="56"/>
        <v>0.54739748382261944</v>
      </c>
      <c r="CJ178" s="217">
        <f t="shared" ca="1" si="57"/>
        <v>14.981870683822621</v>
      </c>
      <c r="CK178" s="218">
        <f t="shared" ca="1" si="58"/>
        <v>1.0187672064999382</v>
      </c>
    </row>
    <row r="179" spans="1:89">
      <c r="A179" s="176">
        <v>19540</v>
      </c>
      <c r="B179" s="177">
        <v>483</v>
      </c>
      <c r="C179" s="178">
        <v>68</v>
      </c>
      <c r="D179" s="178">
        <v>1870</v>
      </c>
      <c r="E179" s="178" t="s">
        <v>50</v>
      </c>
      <c r="F179" s="179" t="s">
        <v>108</v>
      </c>
      <c r="G179" s="189" t="s">
        <v>131</v>
      </c>
      <c r="H179" s="178" t="s">
        <v>63</v>
      </c>
      <c r="I179" s="178"/>
      <c r="J179" s="178"/>
      <c r="K179" s="178"/>
      <c r="L179" s="178" t="s">
        <v>59</v>
      </c>
      <c r="M179" s="178">
        <v>30</v>
      </c>
      <c r="N179" s="178">
        <v>500</v>
      </c>
      <c r="O179" s="178"/>
      <c r="P179" s="178"/>
      <c r="Q179" s="178"/>
      <c r="R179" s="178" t="s">
        <v>19</v>
      </c>
      <c r="S179" s="181"/>
      <c r="T179" s="181"/>
      <c r="U179" s="182"/>
      <c r="V179" s="182" t="s">
        <v>35</v>
      </c>
      <c r="W179" s="183">
        <v>50</v>
      </c>
      <c r="X179" s="182" t="s">
        <v>51</v>
      </c>
      <c r="Y179" s="184"/>
      <c r="Z179" s="184"/>
      <c r="AA179" s="184"/>
      <c r="AB179" s="184"/>
      <c r="AC179" s="184"/>
      <c r="AD179" s="184"/>
      <c r="AE179" s="184"/>
      <c r="AF179" s="184"/>
      <c r="AG179" s="184"/>
      <c r="AH179" s="184"/>
      <c r="AI179" s="184"/>
      <c r="AJ179" s="184"/>
      <c r="AK179" s="184"/>
      <c r="AL179" s="184"/>
      <c r="AM179" s="184"/>
      <c r="AN179" s="184"/>
      <c r="AO179" s="184"/>
      <c r="AP179" s="184"/>
      <c r="AQ179" s="184"/>
      <c r="AR179" s="184">
        <v>2160</v>
      </c>
      <c r="AS179" s="184">
        <v>2160</v>
      </c>
      <c r="AT179" s="184">
        <v>2160</v>
      </c>
      <c r="AU179" s="184">
        <v>2160</v>
      </c>
      <c r="AV179" s="184">
        <v>2160</v>
      </c>
      <c r="AW179" s="184">
        <v>2380</v>
      </c>
      <c r="AX179" s="184">
        <v>2380</v>
      </c>
      <c r="AY179" s="146">
        <f t="shared" si="63"/>
        <v>1880</v>
      </c>
      <c r="AZ179" s="146">
        <f t="shared" si="65"/>
        <v>1880</v>
      </c>
      <c r="BA179" s="146">
        <f t="shared" si="65"/>
        <v>1880</v>
      </c>
      <c r="BB179" s="184">
        <v>2080</v>
      </c>
      <c r="BC179" s="184">
        <v>2080</v>
      </c>
      <c r="BD179" s="184">
        <v>2080</v>
      </c>
      <c r="BE179" s="184">
        <v>2080</v>
      </c>
      <c r="BF179" s="184">
        <v>2030</v>
      </c>
      <c r="BG179" s="184">
        <v>2030</v>
      </c>
      <c r="BH179" s="184">
        <v>2030</v>
      </c>
      <c r="BI179" s="184"/>
      <c r="BJ179" s="184"/>
      <c r="BK179" s="184"/>
      <c r="BL179" s="184">
        <v>2040</v>
      </c>
      <c r="BM179" s="184">
        <v>2040</v>
      </c>
      <c r="BN179" s="184">
        <v>2040</v>
      </c>
      <c r="BO179" s="184">
        <v>2330</v>
      </c>
      <c r="BP179" s="184">
        <v>2330</v>
      </c>
      <c r="BQ179" s="184">
        <v>2330</v>
      </c>
      <c r="BR179" s="184"/>
      <c r="BS179" s="184"/>
      <c r="BT179" s="184"/>
      <c r="BU179" s="146" cm="1">
        <f t="array" ref="BU179">LOOKUP(2,1/(Y179:BT179&lt;&gt;""),Y179:BH179)</f>
        <v>2330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46199</v>
      </c>
      <c r="BW179" s="211" cm="1">
        <f t="array" ref="BW179">(LOOKUP(2,1/(BH179:BT179&lt;&gt;""),BH179:BT179))/(INDEX(BH179:BT179,MATCH(TRUE,INDEX((BH179:BT179&lt;&gt;0),0),0)))-1</f>
        <v>0.14778325123152714</v>
      </c>
      <c r="BX179" s="212">
        <f t="shared" si="50"/>
        <v>2.33</v>
      </c>
      <c r="BY179" s="212">
        <f t="shared" si="49"/>
        <v>13.747000000000002</v>
      </c>
      <c r="BZ179" s="212">
        <f ca="1">IF(L179="BR",'Impostos e Frete'!$F$6,IF(L179="EU",'Impostos e Frete'!$I$3,IF(L179="CN",'Impostos e Frete'!$I$4,IF(L179="JP",'Impostos e Frete'!$I$5,IF(L179="RU",'Impostos e Frete'!$I$7,"ERRO")))))</f>
        <v>0.14176320000000001</v>
      </c>
      <c r="CA179" s="212">
        <f>VLOOKUP(L179,'Impostos e Frete'!$A$3:$B$7,2,0)*'Preços e Condições'!BY179</f>
        <v>1.7871100000000002</v>
      </c>
      <c r="CB179" s="147">
        <f t="shared" si="51"/>
        <v>0</v>
      </c>
      <c r="CC179" s="147">
        <f>IF(X179="BRL",'Impostos e Frete'!$B$11,'Impostos e Frete'!$B$12)</f>
        <v>9.1999999999999998E-2</v>
      </c>
      <c r="CD179" s="213">
        <f t="shared" ca="1" si="52"/>
        <v>15.767873200000002</v>
      </c>
      <c r="CE179" s="214">
        <f t="shared" ca="1" si="53"/>
        <v>1.0722153776000001</v>
      </c>
      <c r="CF179" s="215">
        <f>VLOOKUP(L179,'Impostos e Frete'!$A$3:$C$7,3,0)</f>
        <v>105</v>
      </c>
      <c r="CG179" s="215">
        <f t="shared" si="54"/>
        <v>30</v>
      </c>
      <c r="CH179" s="215">
        <f t="shared" si="55"/>
        <v>-75</v>
      </c>
      <c r="CI179" s="216">
        <f t="shared" ca="1" si="56"/>
        <v>0.59796391564287354</v>
      </c>
      <c r="CJ179" s="217">
        <f t="shared" ca="1" si="57"/>
        <v>16.365837115642876</v>
      </c>
      <c r="CK179" s="218">
        <f t="shared" ca="1" si="58"/>
        <v>1.1128769238637155</v>
      </c>
    </row>
    <row r="180" spans="1:89">
      <c r="A180" s="176">
        <v>19540</v>
      </c>
      <c r="B180" s="177">
        <v>483</v>
      </c>
      <c r="C180" s="178">
        <v>68</v>
      </c>
      <c r="D180" s="178">
        <v>1870</v>
      </c>
      <c r="E180" s="178" t="s">
        <v>50</v>
      </c>
      <c r="F180" s="179" t="s">
        <v>108</v>
      </c>
      <c r="G180" s="189" t="s">
        <v>131</v>
      </c>
      <c r="H180" s="178" t="s">
        <v>63</v>
      </c>
      <c r="I180" s="178"/>
      <c r="J180" s="178"/>
      <c r="K180" s="178"/>
      <c r="L180" s="178" t="s">
        <v>59</v>
      </c>
      <c r="M180" s="178">
        <v>30</v>
      </c>
      <c r="N180" s="178">
        <v>500</v>
      </c>
      <c r="O180" s="178"/>
      <c r="P180" s="178"/>
      <c r="Q180" s="178"/>
      <c r="R180" s="178" t="s">
        <v>19</v>
      </c>
      <c r="S180" s="181"/>
      <c r="T180" s="181"/>
      <c r="U180" s="182"/>
      <c r="V180" s="182" t="s">
        <v>35</v>
      </c>
      <c r="W180" s="183">
        <v>20</v>
      </c>
      <c r="X180" s="182" t="s">
        <v>51</v>
      </c>
      <c r="Y180" s="184"/>
      <c r="Z180" s="184"/>
      <c r="AA180" s="184"/>
      <c r="AB180" s="184"/>
      <c r="AC180" s="184"/>
      <c r="AD180" s="184"/>
      <c r="AE180" s="184"/>
      <c r="AF180" s="184"/>
      <c r="AG180" s="184"/>
      <c r="AH180" s="184"/>
      <c r="AI180" s="184"/>
      <c r="AJ180" s="184"/>
      <c r="AK180" s="184"/>
      <c r="AL180" s="184"/>
      <c r="AM180" s="184"/>
      <c r="AN180" s="184"/>
      <c r="AO180" s="184"/>
      <c r="AP180" s="184"/>
      <c r="AQ180" s="184"/>
      <c r="AR180" s="184">
        <v>2660</v>
      </c>
      <c r="AS180" s="184">
        <v>2660</v>
      </c>
      <c r="AT180" s="184">
        <v>2660</v>
      </c>
      <c r="AU180" s="184">
        <v>2660</v>
      </c>
      <c r="AV180" s="184">
        <v>2660</v>
      </c>
      <c r="AW180" s="184">
        <v>2430</v>
      </c>
      <c r="AX180" s="184">
        <v>2430</v>
      </c>
      <c r="AY180" s="146">
        <f t="shared" ref="AY180" si="66">AX180-500</f>
        <v>1930</v>
      </c>
      <c r="AZ180" s="146">
        <f t="shared" si="65"/>
        <v>1930</v>
      </c>
      <c r="BA180" s="146">
        <f t="shared" si="65"/>
        <v>1930</v>
      </c>
      <c r="BB180" s="184">
        <v>2130</v>
      </c>
      <c r="BC180" s="184">
        <v>2130</v>
      </c>
      <c r="BD180" s="184">
        <v>2130</v>
      </c>
      <c r="BE180" s="184">
        <v>2130</v>
      </c>
      <c r="BF180" s="184">
        <v>2080</v>
      </c>
      <c r="BG180" s="184">
        <v>2080</v>
      </c>
      <c r="BH180" s="184">
        <v>2080</v>
      </c>
      <c r="BI180" s="184"/>
      <c r="BJ180" s="184"/>
      <c r="BK180" s="184"/>
      <c r="BL180" s="184">
        <v>2070</v>
      </c>
      <c r="BM180" s="184">
        <v>2070</v>
      </c>
      <c r="BN180" s="184">
        <v>2070</v>
      </c>
      <c r="BO180" s="184">
        <v>2830</v>
      </c>
      <c r="BP180" s="184">
        <v>2830</v>
      </c>
      <c r="BQ180" s="184">
        <v>2830</v>
      </c>
      <c r="BR180" s="184"/>
      <c r="BS180" s="184"/>
      <c r="BT180" s="184"/>
      <c r="BU180" s="146" cm="1">
        <f t="array" ref="BU180">LOOKUP(2,1/(Y180:BT180&lt;&gt;""),Y180:BH180)</f>
        <v>2830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46199</v>
      </c>
      <c r="BW180" s="211" cm="1">
        <f t="array" ref="BW180">(LOOKUP(2,1/(BH180:BT180&lt;&gt;""),BH180:BT180))/(INDEX(BH180:BT180,MATCH(TRUE,INDEX((BH180:BT180&lt;&gt;0),0),0)))-1</f>
        <v>0.36057692307692313</v>
      </c>
      <c r="BX180" s="212">
        <f t="shared" si="50"/>
        <v>2.83</v>
      </c>
      <c r="BY180" s="212">
        <f t="shared" si="49"/>
        <v>16.697000000000003</v>
      </c>
      <c r="BZ180" s="212">
        <f ca="1">IF(L180="BR",'Impostos e Frete'!$F$6,IF(L180="EU",'Impostos e Frete'!$I$3,IF(L180="CN",'Impostos e Frete'!$I$4,IF(L180="JP",'Impostos e Frete'!$I$5,IF(L180="RU",'Impostos e Frete'!$I$7,"ERRO")))))</f>
        <v>0.14176320000000001</v>
      </c>
      <c r="CA180" s="212">
        <f>VLOOKUP(L180,'Impostos e Frete'!$A$3:$B$7,2,0)*'Preços e Condições'!BY180</f>
        <v>2.1706100000000004</v>
      </c>
      <c r="CB180" s="147">
        <f t="shared" si="51"/>
        <v>0</v>
      </c>
      <c r="CC180" s="147">
        <f>IF(X180="BRL",'Impostos e Frete'!$B$11,'Impostos e Frete'!$B$12)</f>
        <v>9.1999999999999998E-2</v>
      </c>
      <c r="CD180" s="213">
        <f t="shared" ca="1" si="52"/>
        <v>19.101373200000001</v>
      </c>
      <c r="CE180" s="214">
        <f t="shared" ca="1" si="53"/>
        <v>1.2988933776</v>
      </c>
      <c r="CF180" s="215">
        <f>VLOOKUP(L180,'Impostos e Frete'!$A$3:$C$7,3,0)</f>
        <v>105</v>
      </c>
      <c r="CG180" s="215">
        <f t="shared" si="54"/>
        <v>30</v>
      </c>
      <c r="CH180" s="215">
        <f t="shared" si="55"/>
        <v>-75</v>
      </c>
      <c r="CI180" s="216">
        <f t="shared" ca="1" si="56"/>
        <v>0.72437999519350882</v>
      </c>
      <c r="CJ180" s="217">
        <f t="shared" ca="1" si="57"/>
        <v>19.82575319519351</v>
      </c>
      <c r="CK180" s="218">
        <f t="shared" ca="1" si="58"/>
        <v>1.3481512172731587</v>
      </c>
    </row>
    <row r="181" spans="1:89">
      <c r="A181" s="176">
        <v>17425</v>
      </c>
      <c r="B181" s="177">
        <v>1410</v>
      </c>
      <c r="C181" s="178">
        <v>68</v>
      </c>
      <c r="D181" s="178">
        <v>1860</v>
      </c>
      <c r="E181" s="178" t="s">
        <v>50</v>
      </c>
      <c r="F181" s="179" t="s">
        <v>468</v>
      </c>
      <c r="G181" s="180" t="s">
        <v>80</v>
      </c>
      <c r="H181" s="178" t="s">
        <v>61</v>
      </c>
      <c r="I181" s="178">
        <v>1410</v>
      </c>
      <c r="J181" s="178"/>
      <c r="K181" s="178"/>
      <c r="L181" s="178" t="s">
        <v>59</v>
      </c>
      <c r="M181" s="178">
        <v>60</v>
      </c>
      <c r="N181" s="178"/>
      <c r="O181" s="178"/>
      <c r="P181" s="178"/>
      <c r="Q181" s="178"/>
      <c r="R181" s="178" t="s">
        <v>19</v>
      </c>
      <c r="S181" s="181"/>
      <c r="T181" s="181"/>
      <c r="U181" s="182"/>
      <c r="V181" s="182" t="s">
        <v>35</v>
      </c>
      <c r="W181" s="183">
        <v>100</v>
      </c>
      <c r="X181" s="182" t="s">
        <v>51</v>
      </c>
      <c r="Y181" s="184">
        <v>2370</v>
      </c>
      <c r="Z181" s="184">
        <v>2370</v>
      </c>
      <c r="AA181" s="184">
        <v>2370</v>
      </c>
      <c r="AB181" s="184">
        <v>2170</v>
      </c>
      <c r="AC181" s="184">
        <v>2170</v>
      </c>
      <c r="AD181" s="184">
        <v>2170</v>
      </c>
      <c r="AE181" s="184">
        <v>2120</v>
      </c>
      <c r="AF181" s="184">
        <v>2120</v>
      </c>
      <c r="AG181" s="184">
        <v>2120</v>
      </c>
      <c r="AH181" s="184">
        <v>1720</v>
      </c>
      <c r="AI181" s="184">
        <v>1720</v>
      </c>
      <c r="AJ181" s="184">
        <v>1720</v>
      </c>
      <c r="AK181" s="184">
        <v>1720</v>
      </c>
      <c r="AL181" s="184">
        <v>1720</v>
      </c>
      <c r="AM181" s="184">
        <v>1720</v>
      </c>
      <c r="AN181" s="184">
        <v>1860</v>
      </c>
      <c r="AO181" s="184">
        <v>1860</v>
      </c>
      <c r="AP181" s="184">
        <v>1860</v>
      </c>
      <c r="AQ181" s="184">
        <v>2010</v>
      </c>
      <c r="AR181" s="184">
        <v>2010</v>
      </c>
      <c r="AS181" s="184">
        <v>2010</v>
      </c>
      <c r="AT181" s="184">
        <v>2010</v>
      </c>
      <c r="AU181" s="184">
        <v>2010</v>
      </c>
      <c r="AV181" s="184">
        <v>2010</v>
      </c>
      <c r="AW181" s="184">
        <v>1860</v>
      </c>
      <c r="AX181" s="184">
        <v>1860</v>
      </c>
      <c r="AY181" s="184">
        <v>1860</v>
      </c>
      <c r="AZ181" s="184">
        <v>2500</v>
      </c>
      <c r="BA181" s="184">
        <v>2500</v>
      </c>
      <c r="BB181" s="184">
        <v>2500</v>
      </c>
      <c r="BC181" s="184">
        <v>1940</v>
      </c>
      <c r="BD181" s="184">
        <v>1940</v>
      </c>
      <c r="BE181" s="184">
        <v>1940</v>
      </c>
      <c r="BF181" s="184">
        <v>1790</v>
      </c>
      <c r="BG181" s="184">
        <v>1790</v>
      </c>
      <c r="BH181" s="184">
        <v>1790</v>
      </c>
      <c r="BI181" s="184"/>
      <c r="BJ181" s="184"/>
      <c r="BK181" s="184"/>
      <c r="BL181" s="184">
        <v>1870</v>
      </c>
      <c r="BM181" s="184">
        <v>1950</v>
      </c>
      <c r="BN181" s="184">
        <v>1950</v>
      </c>
      <c r="BO181" s="184"/>
      <c r="BP181" s="184"/>
      <c r="BQ181" s="184"/>
      <c r="BR181" s="184"/>
      <c r="BS181" s="184"/>
      <c r="BT181" s="184"/>
      <c r="BU181" s="146" cm="1">
        <f t="array" ref="BU181">LOOKUP(2,1/(Y181:BT181&lt;&gt;""),Y181:BH181)</f>
        <v>1950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46174</v>
      </c>
      <c r="BW181" s="211" cm="1">
        <f t="array" ref="BW181">(LOOKUP(2,1/(BH181:BT181&lt;&gt;""),BH181:BT181))/(INDEX(BH181:BT181,MATCH(TRUE,INDEX((BH181:BT181&lt;&gt;0),0),0)))-1</f>
        <v>8.9385474860335101E-2</v>
      </c>
      <c r="BX181" s="212">
        <f t="shared" si="50"/>
        <v>1.95</v>
      </c>
      <c r="BY181" s="212">
        <f t="shared" si="49"/>
        <v>11.505000000000001</v>
      </c>
      <c r="BZ181" s="212">
        <f ca="1">IF(L181="BR",'Impostos e Frete'!$F$6,IF(L181="EU",'Impostos e Frete'!$I$3,IF(L181="CN",'Impostos e Frete'!$I$4,IF(L181="JP",'Impostos e Frete'!$I$5,IF(L181="RU",'Impostos e Frete'!$I$7,"ERRO")))))</f>
        <v>0.14176320000000001</v>
      </c>
      <c r="CA181" s="212">
        <f>VLOOKUP(L181,'Impostos e Frete'!$A$3:$B$7,2,0)*'Preços e Condições'!BY181</f>
        <v>1.4956500000000001</v>
      </c>
      <c r="CB181" s="147">
        <f t="shared" si="51"/>
        <v>0</v>
      </c>
      <c r="CC181" s="147">
        <f>IF(X181="BRL",'Impostos e Frete'!$B$11,'Impostos e Frete'!$B$12)</f>
        <v>9.1999999999999998E-2</v>
      </c>
      <c r="CD181" s="213">
        <f t="shared" ca="1" si="52"/>
        <v>13.234413200000001</v>
      </c>
      <c r="CE181" s="214">
        <f t="shared" ca="1" si="53"/>
        <v>0.89994009760000004</v>
      </c>
      <c r="CF181" s="215">
        <f>VLOOKUP(L181,'Impostos e Frete'!$A$3:$C$7,3,0)</f>
        <v>105</v>
      </c>
      <c r="CG181" s="215">
        <f t="shared" si="54"/>
        <v>60</v>
      </c>
      <c r="CH181" s="215">
        <f t="shared" si="55"/>
        <v>-45</v>
      </c>
      <c r="CI181" s="216">
        <f t="shared" ca="1" si="56"/>
        <v>0.29888817456590289</v>
      </c>
      <c r="CJ181" s="217">
        <f t="shared" ca="1" si="57"/>
        <v>13.533301374565903</v>
      </c>
      <c r="CK181" s="218">
        <f t="shared" ca="1" si="58"/>
        <v>0.92026449347048145</v>
      </c>
    </row>
    <row r="182" spans="1:89">
      <c r="A182" s="176">
        <v>17425</v>
      </c>
      <c r="B182" s="177">
        <v>1410</v>
      </c>
      <c r="C182" s="178">
        <v>68</v>
      </c>
      <c r="D182" s="178">
        <v>1860</v>
      </c>
      <c r="E182" s="178" t="s">
        <v>50</v>
      </c>
      <c r="F182" s="179" t="s">
        <v>468</v>
      </c>
      <c r="G182" s="180" t="s">
        <v>80</v>
      </c>
      <c r="H182" s="178" t="s">
        <v>61</v>
      </c>
      <c r="I182" s="178">
        <v>1410</v>
      </c>
      <c r="J182" s="178"/>
      <c r="K182" s="178"/>
      <c r="L182" s="178" t="s">
        <v>59</v>
      </c>
      <c r="M182" s="178">
        <v>60</v>
      </c>
      <c r="N182" s="178"/>
      <c r="O182" s="178"/>
      <c r="P182" s="178"/>
      <c r="Q182" s="178"/>
      <c r="R182" s="178" t="s">
        <v>19</v>
      </c>
      <c r="S182" s="181"/>
      <c r="T182" s="181"/>
      <c r="U182" s="182"/>
      <c r="V182" s="182" t="s">
        <v>35</v>
      </c>
      <c r="W182" s="183">
        <v>50</v>
      </c>
      <c r="X182" s="182" t="s">
        <v>51</v>
      </c>
      <c r="Y182" s="184">
        <v>2420</v>
      </c>
      <c r="Z182" s="184">
        <v>2420</v>
      </c>
      <c r="AA182" s="184">
        <v>2420</v>
      </c>
      <c r="AB182" s="184">
        <v>2220</v>
      </c>
      <c r="AC182" s="184">
        <v>2220</v>
      </c>
      <c r="AD182" s="184">
        <v>2220</v>
      </c>
      <c r="AE182" s="184">
        <v>1970</v>
      </c>
      <c r="AF182" s="184">
        <v>1970</v>
      </c>
      <c r="AG182" s="184">
        <v>1970</v>
      </c>
      <c r="AH182" s="184">
        <v>1770</v>
      </c>
      <c r="AI182" s="184">
        <v>1770</v>
      </c>
      <c r="AJ182" s="184">
        <v>1770</v>
      </c>
      <c r="AK182" s="184">
        <v>1770</v>
      </c>
      <c r="AL182" s="184">
        <v>1770</v>
      </c>
      <c r="AM182" s="184">
        <v>1770</v>
      </c>
      <c r="AN182" s="184">
        <v>1910</v>
      </c>
      <c r="AO182" s="184">
        <v>1910</v>
      </c>
      <c r="AP182" s="184">
        <v>1910</v>
      </c>
      <c r="AQ182" s="184">
        <v>2060</v>
      </c>
      <c r="AR182" s="184">
        <v>2060</v>
      </c>
      <c r="AS182" s="184">
        <v>2060</v>
      </c>
      <c r="AT182" s="184">
        <v>2060</v>
      </c>
      <c r="AU182" s="184">
        <v>2060</v>
      </c>
      <c r="AV182" s="184">
        <v>2060</v>
      </c>
      <c r="AW182" s="184">
        <v>1910</v>
      </c>
      <c r="AX182" s="184">
        <v>1910</v>
      </c>
      <c r="AY182" s="184">
        <v>1910</v>
      </c>
      <c r="AZ182" s="184">
        <v>1990</v>
      </c>
      <c r="BA182" s="184">
        <v>1990</v>
      </c>
      <c r="BB182" s="184">
        <v>1990</v>
      </c>
      <c r="BC182" s="184">
        <v>1990</v>
      </c>
      <c r="BD182" s="184">
        <v>1990</v>
      </c>
      <c r="BE182" s="184">
        <v>1990</v>
      </c>
      <c r="BF182" s="184">
        <v>1840</v>
      </c>
      <c r="BG182" s="184">
        <v>1840</v>
      </c>
      <c r="BH182" s="184">
        <v>1840</v>
      </c>
      <c r="BI182" s="184"/>
      <c r="BJ182" s="184"/>
      <c r="BK182" s="184"/>
      <c r="BL182" s="184">
        <v>1920</v>
      </c>
      <c r="BM182" s="184">
        <v>2000</v>
      </c>
      <c r="BN182" s="184">
        <v>2000</v>
      </c>
      <c r="BO182" s="184"/>
      <c r="BP182" s="184"/>
      <c r="BQ182" s="184"/>
      <c r="BR182" s="184"/>
      <c r="BS182" s="184"/>
      <c r="BT182" s="184"/>
      <c r="BU182" s="146" cm="1">
        <f t="array" ref="BU182">LOOKUP(2,1/(Y182:BT182&lt;&gt;""),Y182:BH182)</f>
        <v>2000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46174</v>
      </c>
      <c r="BW182" s="211" cm="1">
        <f t="array" ref="BW182">(LOOKUP(2,1/(BH182:BT182&lt;&gt;""),BH182:BT182))/(INDEX(BH182:BT182,MATCH(TRUE,INDEX((BH182:BT182&lt;&gt;0),0),0)))-1</f>
        <v>8.6956521739130377E-2</v>
      </c>
      <c r="BX182" s="212">
        <f t="shared" si="50"/>
        <v>2</v>
      </c>
      <c r="BY182" s="212">
        <f t="shared" si="49"/>
        <v>11.8</v>
      </c>
      <c r="BZ182" s="212">
        <f ca="1">IF(L182="BR",'Impostos e Frete'!$F$6,IF(L182="EU",'Impostos e Frete'!$I$3,IF(L182="CN",'Impostos e Frete'!$I$4,IF(L182="JP",'Impostos e Frete'!$I$5,IF(L182="RU",'Impostos e Frete'!$I$7,"ERRO")))))</f>
        <v>0.14176320000000001</v>
      </c>
      <c r="CA182" s="212">
        <f>VLOOKUP(L182,'Impostos e Frete'!$A$3:$B$7,2,0)*'Preços e Condições'!BY182</f>
        <v>1.5340000000000003</v>
      </c>
      <c r="CB182" s="147">
        <f t="shared" si="51"/>
        <v>0</v>
      </c>
      <c r="CC182" s="147">
        <f>IF(X182="BRL",'Impostos e Frete'!$B$11,'Impostos e Frete'!$B$12)</f>
        <v>9.1999999999999998E-2</v>
      </c>
      <c r="CD182" s="213">
        <f t="shared" ca="1" si="52"/>
        <v>13.567763200000002</v>
      </c>
      <c r="CE182" s="214">
        <f t="shared" ca="1" si="53"/>
        <v>0.92260789760000006</v>
      </c>
      <c r="CF182" s="215">
        <f>VLOOKUP(L182,'Impostos e Frete'!$A$3:$C$7,3,0)</f>
        <v>105</v>
      </c>
      <c r="CG182" s="215">
        <f t="shared" si="54"/>
        <v>60</v>
      </c>
      <c r="CH182" s="215">
        <f t="shared" si="55"/>
        <v>-45</v>
      </c>
      <c r="CI182" s="216">
        <f t="shared" ca="1" si="56"/>
        <v>0.30641660604872456</v>
      </c>
      <c r="CJ182" s="217">
        <f t="shared" ca="1" si="57"/>
        <v>13.874179806048726</v>
      </c>
      <c r="CK182" s="218">
        <f t="shared" ca="1" si="58"/>
        <v>0.94344422681131335</v>
      </c>
    </row>
    <row r="183" spans="1:89">
      <c r="A183" s="176">
        <v>17425</v>
      </c>
      <c r="B183" s="177">
        <v>1410</v>
      </c>
      <c r="C183" s="178">
        <v>68</v>
      </c>
      <c r="D183" s="178">
        <v>1860</v>
      </c>
      <c r="E183" s="178" t="s">
        <v>50</v>
      </c>
      <c r="F183" s="179" t="s">
        <v>468</v>
      </c>
      <c r="G183" s="180" t="s">
        <v>80</v>
      </c>
      <c r="H183" s="178" t="s">
        <v>61</v>
      </c>
      <c r="I183" s="178">
        <v>1410</v>
      </c>
      <c r="J183" s="178"/>
      <c r="K183" s="178"/>
      <c r="L183" s="178" t="s">
        <v>59</v>
      </c>
      <c r="M183" s="178">
        <v>60</v>
      </c>
      <c r="N183" s="178"/>
      <c r="O183" s="178"/>
      <c r="P183" s="178"/>
      <c r="Q183" s="178"/>
      <c r="R183" s="178" t="s">
        <v>19</v>
      </c>
      <c r="S183" s="181"/>
      <c r="T183" s="181"/>
      <c r="U183" s="182"/>
      <c r="V183" s="182" t="s">
        <v>35</v>
      </c>
      <c r="W183" s="183">
        <v>20</v>
      </c>
      <c r="X183" s="182" t="s">
        <v>51</v>
      </c>
      <c r="Y183" s="184">
        <v>2570</v>
      </c>
      <c r="Z183" s="184">
        <v>2570</v>
      </c>
      <c r="AA183" s="184">
        <v>2570</v>
      </c>
      <c r="AB183" s="184">
        <v>2370</v>
      </c>
      <c r="AC183" s="184">
        <v>2370</v>
      </c>
      <c r="AD183" s="184">
        <v>2370</v>
      </c>
      <c r="AE183" s="184">
        <v>2120</v>
      </c>
      <c r="AF183" s="184">
        <v>2120</v>
      </c>
      <c r="AG183" s="184">
        <v>2120</v>
      </c>
      <c r="AH183" s="184">
        <v>1920</v>
      </c>
      <c r="AI183" s="184">
        <v>1920</v>
      </c>
      <c r="AJ183" s="184">
        <v>1920</v>
      </c>
      <c r="AK183" s="184">
        <v>1920</v>
      </c>
      <c r="AL183" s="184">
        <v>1920</v>
      </c>
      <c r="AM183" s="184">
        <v>1920</v>
      </c>
      <c r="AN183" s="184">
        <v>2060</v>
      </c>
      <c r="AO183" s="184">
        <v>2060</v>
      </c>
      <c r="AP183" s="184">
        <v>2060</v>
      </c>
      <c r="AQ183" s="184">
        <v>2210</v>
      </c>
      <c r="AR183" s="184">
        <v>2210</v>
      </c>
      <c r="AS183" s="184">
        <v>2210</v>
      </c>
      <c r="AT183" s="184">
        <v>2210</v>
      </c>
      <c r="AU183" s="184">
        <v>2210</v>
      </c>
      <c r="AV183" s="184">
        <v>2210</v>
      </c>
      <c r="AW183" s="184">
        <v>2060</v>
      </c>
      <c r="AX183" s="184">
        <v>2060</v>
      </c>
      <c r="AY183" s="184">
        <v>2060</v>
      </c>
      <c r="AZ183" s="184">
        <v>2140</v>
      </c>
      <c r="BA183" s="184">
        <v>2140</v>
      </c>
      <c r="BB183" s="184">
        <v>2140</v>
      </c>
      <c r="BC183" s="184">
        <v>2140</v>
      </c>
      <c r="BD183" s="184">
        <v>2140</v>
      </c>
      <c r="BE183" s="184">
        <v>2140</v>
      </c>
      <c r="BF183" s="184">
        <v>1990</v>
      </c>
      <c r="BG183" s="184">
        <v>1990</v>
      </c>
      <c r="BH183" s="184">
        <v>1990</v>
      </c>
      <c r="BI183" s="184"/>
      <c r="BJ183" s="184"/>
      <c r="BK183" s="184"/>
      <c r="BL183" s="184">
        <v>2070</v>
      </c>
      <c r="BM183" s="184">
        <v>2150</v>
      </c>
      <c r="BN183" s="184">
        <v>2150</v>
      </c>
      <c r="BO183" s="184"/>
      <c r="BP183" s="184"/>
      <c r="BQ183" s="184"/>
      <c r="BR183" s="184"/>
      <c r="BS183" s="184"/>
      <c r="BT183" s="184"/>
      <c r="BU183" s="146" cm="1">
        <f t="array" ref="BU183">LOOKUP(2,1/(Y183:BT183&lt;&gt;""),Y183:BH183)</f>
        <v>2150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46174</v>
      </c>
      <c r="BW183" s="211" cm="1">
        <f t="array" ref="BW183">(LOOKUP(2,1/(BH183:BT183&lt;&gt;""),BH183:BT183))/(INDEX(BH183:BT183,MATCH(TRUE,INDEX((BH183:BT183&lt;&gt;0),0),0)))-1</f>
        <v>8.040201005025116E-2</v>
      </c>
      <c r="BX183" s="212">
        <f t="shared" si="50"/>
        <v>2.15</v>
      </c>
      <c r="BY183" s="212">
        <f t="shared" si="49"/>
        <v>12.685</v>
      </c>
      <c r="BZ183" s="212">
        <f ca="1">IF(L183="BR",'Impostos e Frete'!$F$6,IF(L183="EU",'Impostos e Frete'!$I$3,IF(L183="CN",'Impostos e Frete'!$I$4,IF(L183="JP",'Impostos e Frete'!$I$5,IF(L183="RU",'Impostos e Frete'!$I$7,"ERRO")))))</f>
        <v>0.14176320000000001</v>
      </c>
      <c r="CA183" s="212">
        <f>VLOOKUP(L183,'Impostos e Frete'!$A$3:$B$7,2,0)*'Preços e Condições'!BY183</f>
        <v>1.6490500000000001</v>
      </c>
      <c r="CB183" s="147">
        <f t="shared" si="51"/>
        <v>0</v>
      </c>
      <c r="CC183" s="147">
        <f>IF(X183="BRL",'Impostos e Frete'!$B$11,'Impostos e Frete'!$B$12)</f>
        <v>9.1999999999999998E-2</v>
      </c>
      <c r="CD183" s="213">
        <f t="shared" ca="1" si="52"/>
        <v>14.567813200000002</v>
      </c>
      <c r="CE183" s="214">
        <f t="shared" ca="1" si="53"/>
        <v>0.99061129760000011</v>
      </c>
      <c r="CF183" s="215">
        <f>VLOOKUP(L183,'Impostos e Frete'!$A$3:$C$7,3,0)</f>
        <v>105</v>
      </c>
      <c r="CG183" s="215">
        <f t="shared" si="54"/>
        <v>60</v>
      </c>
      <c r="CH183" s="215">
        <f t="shared" si="55"/>
        <v>-45</v>
      </c>
      <c r="CI183" s="216">
        <f t="shared" ca="1" si="56"/>
        <v>0.3290019004971878</v>
      </c>
      <c r="CJ183" s="217">
        <f t="shared" ca="1" si="57"/>
        <v>14.896815100497189</v>
      </c>
      <c r="CK183" s="218">
        <f t="shared" ca="1" si="58"/>
        <v>1.0129834268338089</v>
      </c>
    </row>
    <row r="184" spans="1:89">
      <c r="A184" s="176">
        <v>17418</v>
      </c>
      <c r="B184" s="177">
        <v>1430</v>
      </c>
      <c r="C184" s="178">
        <v>68</v>
      </c>
      <c r="D184" s="178">
        <v>1870</v>
      </c>
      <c r="E184" s="178" t="s">
        <v>50</v>
      </c>
      <c r="F184" s="179" t="s">
        <v>468</v>
      </c>
      <c r="G184" s="180" t="s">
        <v>81</v>
      </c>
      <c r="H184" s="178" t="s">
        <v>61</v>
      </c>
      <c r="I184" s="178">
        <v>1430</v>
      </c>
      <c r="J184" s="178"/>
      <c r="K184" s="178"/>
      <c r="L184" s="178" t="s">
        <v>59</v>
      </c>
      <c r="M184" s="178">
        <v>60</v>
      </c>
      <c r="N184" s="178"/>
      <c r="O184" s="178"/>
      <c r="P184" s="178"/>
      <c r="Q184" s="178"/>
      <c r="R184" s="178" t="s">
        <v>19</v>
      </c>
      <c r="S184" s="181"/>
      <c r="T184" s="181"/>
      <c r="U184" s="182"/>
      <c r="V184" s="182" t="s">
        <v>35</v>
      </c>
      <c r="W184" s="183">
        <v>100</v>
      </c>
      <c r="X184" s="182" t="s">
        <v>51</v>
      </c>
      <c r="Y184" s="184">
        <v>2370</v>
      </c>
      <c r="Z184" s="184">
        <v>2370</v>
      </c>
      <c r="AA184" s="184">
        <v>2370</v>
      </c>
      <c r="AB184" s="184">
        <v>2170</v>
      </c>
      <c r="AC184" s="184">
        <v>2170</v>
      </c>
      <c r="AD184" s="184">
        <v>2170</v>
      </c>
      <c r="AE184" s="184">
        <v>1920</v>
      </c>
      <c r="AF184" s="184">
        <v>1920</v>
      </c>
      <c r="AG184" s="184">
        <v>1920</v>
      </c>
      <c r="AH184" s="184">
        <v>1720</v>
      </c>
      <c r="AI184" s="184">
        <v>1720</v>
      </c>
      <c r="AJ184" s="184">
        <v>1720</v>
      </c>
      <c r="AK184" s="184">
        <v>1720</v>
      </c>
      <c r="AL184" s="184">
        <v>1720</v>
      </c>
      <c r="AM184" s="184">
        <v>1720</v>
      </c>
      <c r="AN184" s="184">
        <v>1860</v>
      </c>
      <c r="AO184" s="184">
        <v>1860</v>
      </c>
      <c r="AP184" s="184">
        <v>1860</v>
      </c>
      <c r="AQ184" s="184">
        <v>2010</v>
      </c>
      <c r="AR184" s="184">
        <v>2010</v>
      </c>
      <c r="AS184" s="184">
        <v>2010</v>
      </c>
      <c r="AT184" s="184">
        <v>2010</v>
      </c>
      <c r="AU184" s="184">
        <v>2010</v>
      </c>
      <c r="AV184" s="184">
        <v>2010</v>
      </c>
      <c r="AW184" s="184">
        <v>1860</v>
      </c>
      <c r="AX184" s="184">
        <v>1860</v>
      </c>
      <c r="AY184" s="184">
        <v>1860</v>
      </c>
      <c r="AZ184" s="184">
        <v>1940</v>
      </c>
      <c r="BA184" s="184">
        <v>1940</v>
      </c>
      <c r="BB184" s="184">
        <v>1940</v>
      </c>
      <c r="BC184" s="184">
        <v>1940</v>
      </c>
      <c r="BD184" s="184">
        <v>1940</v>
      </c>
      <c r="BE184" s="184">
        <v>1940</v>
      </c>
      <c r="BF184" s="184">
        <v>1790</v>
      </c>
      <c r="BG184" s="184">
        <v>1790</v>
      </c>
      <c r="BH184" s="184">
        <v>1790</v>
      </c>
      <c r="BI184" s="184"/>
      <c r="BJ184" s="184"/>
      <c r="BK184" s="184"/>
      <c r="BL184" s="184">
        <v>1870</v>
      </c>
      <c r="BM184" s="184">
        <v>1950</v>
      </c>
      <c r="BN184" s="184">
        <v>1950</v>
      </c>
      <c r="BO184" s="184"/>
      <c r="BP184" s="184"/>
      <c r="BQ184" s="184"/>
      <c r="BR184" s="184"/>
      <c r="BS184" s="184"/>
      <c r="BT184" s="184"/>
      <c r="BU184" s="146" cm="1">
        <f t="array" ref="BU184">LOOKUP(2,1/(Y184:BT184&lt;&gt;""),Y184:BH184)</f>
        <v>1950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46174</v>
      </c>
      <c r="BW184" s="211" cm="1">
        <f t="array" ref="BW184">(LOOKUP(2,1/(BH184:BT184&lt;&gt;""),BH184:BT184))/(INDEX(BH184:BT184,MATCH(TRUE,INDEX((BH184:BT184&lt;&gt;0),0),0)))-1</f>
        <v>8.9385474860335101E-2</v>
      </c>
      <c r="BX184" s="212">
        <f t="shared" si="50"/>
        <v>1.95</v>
      </c>
      <c r="BY184" s="212">
        <f t="shared" si="49"/>
        <v>11.505000000000001</v>
      </c>
      <c r="BZ184" s="212">
        <f ca="1">IF(L184="BR",'Impostos e Frete'!$F$6,IF(L184="EU",'Impostos e Frete'!$I$3,IF(L184="CN",'Impostos e Frete'!$I$4,IF(L184="JP",'Impostos e Frete'!$I$5,IF(L184="RU",'Impostos e Frete'!$I$7,"ERRO")))))</f>
        <v>0.14176320000000001</v>
      </c>
      <c r="CA184" s="212">
        <f>VLOOKUP(L184,'Impostos e Frete'!$A$3:$B$7,2,0)*'Preços e Condições'!BY184</f>
        <v>1.4956500000000001</v>
      </c>
      <c r="CB184" s="147">
        <f t="shared" si="51"/>
        <v>0</v>
      </c>
      <c r="CC184" s="147">
        <f>IF(X184="BRL",'Impostos e Frete'!$B$11,'Impostos e Frete'!$B$12)</f>
        <v>9.1999999999999998E-2</v>
      </c>
      <c r="CD184" s="213">
        <f t="shared" ca="1" si="52"/>
        <v>13.234413200000001</v>
      </c>
      <c r="CE184" s="214">
        <f t="shared" ca="1" si="53"/>
        <v>0.89994009760000004</v>
      </c>
      <c r="CF184" s="215">
        <f>VLOOKUP(L184,'Impostos e Frete'!$A$3:$C$7,3,0)</f>
        <v>105</v>
      </c>
      <c r="CG184" s="215">
        <f t="shared" si="54"/>
        <v>60</v>
      </c>
      <c r="CH184" s="215">
        <f t="shared" si="55"/>
        <v>-45</v>
      </c>
      <c r="CI184" s="216">
        <f t="shared" ca="1" si="56"/>
        <v>0.29888817456590289</v>
      </c>
      <c r="CJ184" s="217">
        <f t="shared" ca="1" si="57"/>
        <v>13.533301374565903</v>
      </c>
      <c r="CK184" s="218">
        <f t="shared" ca="1" si="58"/>
        <v>0.92026449347048145</v>
      </c>
    </row>
    <row r="185" spans="1:89">
      <c r="A185" s="176">
        <v>17418</v>
      </c>
      <c r="B185" s="177">
        <v>1430</v>
      </c>
      <c r="C185" s="178">
        <v>68</v>
      </c>
      <c r="D185" s="178">
        <v>1870</v>
      </c>
      <c r="E185" s="178" t="s">
        <v>50</v>
      </c>
      <c r="F185" s="179" t="s">
        <v>468</v>
      </c>
      <c r="G185" s="180" t="s">
        <v>81</v>
      </c>
      <c r="H185" s="178" t="s">
        <v>61</v>
      </c>
      <c r="I185" s="178">
        <v>1430</v>
      </c>
      <c r="J185" s="178"/>
      <c r="K185" s="178"/>
      <c r="L185" s="178" t="s">
        <v>59</v>
      </c>
      <c r="M185" s="178">
        <v>60</v>
      </c>
      <c r="N185" s="178"/>
      <c r="O185" s="178"/>
      <c r="P185" s="178"/>
      <c r="Q185" s="178"/>
      <c r="R185" s="178" t="s">
        <v>19</v>
      </c>
      <c r="S185" s="181"/>
      <c r="T185" s="181"/>
      <c r="U185" s="182"/>
      <c r="V185" s="182" t="s">
        <v>35</v>
      </c>
      <c r="W185" s="183">
        <v>50</v>
      </c>
      <c r="X185" s="182" t="s">
        <v>51</v>
      </c>
      <c r="Y185" s="184">
        <v>2420</v>
      </c>
      <c r="Z185" s="184">
        <v>2420</v>
      </c>
      <c r="AA185" s="184">
        <v>2420</v>
      </c>
      <c r="AB185" s="184">
        <v>2220</v>
      </c>
      <c r="AC185" s="184">
        <v>2220</v>
      </c>
      <c r="AD185" s="184">
        <v>2220</v>
      </c>
      <c r="AE185" s="184">
        <v>1970</v>
      </c>
      <c r="AF185" s="184">
        <v>1970</v>
      </c>
      <c r="AG185" s="184">
        <v>1970</v>
      </c>
      <c r="AH185" s="184">
        <v>1770</v>
      </c>
      <c r="AI185" s="184">
        <v>1770</v>
      </c>
      <c r="AJ185" s="184">
        <v>1770</v>
      </c>
      <c r="AK185" s="184">
        <v>1770</v>
      </c>
      <c r="AL185" s="184">
        <v>1770</v>
      </c>
      <c r="AM185" s="184">
        <v>1770</v>
      </c>
      <c r="AN185" s="184">
        <v>1910</v>
      </c>
      <c r="AO185" s="184">
        <v>1910</v>
      </c>
      <c r="AP185" s="184">
        <v>1910</v>
      </c>
      <c r="AQ185" s="184">
        <v>2060</v>
      </c>
      <c r="AR185" s="184">
        <v>2060</v>
      </c>
      <c r="AS185" s="184">
        <v>2060</v>
      </c>
      <c r="AT185" s="184">
        <v>2060</v>
      </c>
      <c r="AU185" s="184">
        <v>2060</v>
      </c>
      <c r="AV185" s="184">
        <v>2060</v>
      </c>
      <c r="AW185" s="184">
        <v>1910</v>
      </c>
      <c r="AX185" s="184">
        <v>1910</v>
      </c>
      <c r="AY185" s="184">
        <v>1910</v>
      </c>
      <c r="AZ185" s="184">
        <v>1990</v>
      </c>
      <c r="BA185" s="184">
        <v>1990</v>
      </c>
      <c r="BB185" s="184">
        <v>1990</v>
      </c>
      <c r="BC185" s="184">
        <v>1990</v>
      </c>
      <c r="BD185" s="184">
        <v>1990</v>
      </c>
      <c r="BE185" s="184">
        <v>1990</v>
      </c>
      <c r="BF185" s="184">
        <v>1840</v>
      </c>
      <c r="BG185" s="184">
        <v>1840</v>
      </c>
      <c r="BH185" s="184">
        <v>1840</v>
      </c>
      <c r="BI185" s="184"/>
      <c r="BJ185" s="184"/>
      <c r="BK185" s="184"/>
      <c r="BL185" s="184">
        <v>1920</v>
      </c>
      <c r="BM185" s="184">
        <v>2000</v>
      </c>
      <c r="BN185" s="184">
        <v>2000</v>
      </c>
      <c r="BO185" s="184"/>
      <c r="BP185" s="184"/>
      <c r="BQ185" s="184"/>
      <c r="BR185" s="184"/>
      <c r="BS185" s="184"/>
      <c r="BT185" s="184"/>
      <c r="BU185" s="146" cm="1">
        <f t="array" ref="BU185">LOOKUP(2,1/(Y185:BT185&lt;&gt;""),Y185:BH185)</f>
        <v>2000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46174</v>
      </c>
      <c r="BW185" s="211" cm="1">
        <f t="array" ref="BW185">(LOOKUP(2,1/(BH185:BT185&lt;&gt;""),BH185:BT185))/(INDEX(BH185:BT185,MATCH(TRUE,INDEX((BH185:BT185&lt;&gt;0),0),0)))-1</f>
        <v>8.6956521739130377E-2</v>
      </c>
      <c r="BX185" s="212">
        <f t="shared" si="50"/>
        <v>2</v>
      </c>
      <c r="BY185" s="212">
        <f t="shared" si="49"/>
        <v>11.8</v>
      </c>
      <c r="BZ185" s="212">
        <f ca="1">IF(L185="BR",'Impostos e Frete'!$F$6,IF(L185="EU",'Impostos e Frete'!$I$3,IF(L185="CN",'Impostos e Frete'!$I$4,IF(L185="JP",'Impostos e Frete'!$I$5,IF(L185="RU",'Impostos e Frete'!$I$7,"ERRO")))))</f>
        <v>0.14176320000000001</v>
      </c>
      <c r="CA185" s="212">
        <f>VLOOKUP(L185,'Impostos e Frete'!$A$3:$B$7,2,0)*'Preços e Condições'!BY185</f>
        <v>1.5340000000000003</v>
      </c>
      <c r="CB185" s="147">
        <f t="shared" si="51"/>
        <v>0</v>
      </c>
      <c r="CC185" s="147">
        <f>IF(X185="BRL",'Impostos e Frete'!$B$11,'Impostos e Frete'!$B$12)</f>
        <v>9.1999999999999998E-2</v>
      </c>
      <c r="CD185" s="213">
        <f t="shared" ca="1" si="52"/>
        <v>13.567763200000002</v>
      </c>
      <c r="CE185" s="214">
        <f t="shared" ca="1" si="53"/>
        <v>0.92260789760000006</v>
      </c>
      <c r="CF185" s="215">
        <f>VLOOKUP(L185,'Impostos e Frete'!$A$3:$C$7,3,0)</f>
        <v>105</v>
      </c>
      <c r="CG185" s="215">
        <f t="shared" si="54"/>
        <v>60</v>
      </c>
      <c r="CH185" s="215">
        <f t="shared" si="55"/>
        <v>-45</v>
      </c>
      <c r="CI185" s="216">
        <f t="shared" ca="1" si="56"/>
        <v>0.30641660604872456</v>
      </c>
      <c r="CJ185" s="217">
        <f t="shared" ca="1" si="57"/>
        <v>13.874179806048726</v>
      </c>
      <c r="CK185" s="218">
        <f t="shared" ca="1" si="58"/>
        <v>0.94344422681131335</v>
      </c>
    </row>
    <row r="186" spans="1:89">
      <c r="A186" s="176">
        <v>17418</v>
      </c>
      <c r="B186" s="177">
        <v>1430</v>
      </c>
      <c r="C186" s="178">
        <v>68</v>
      </c>
      <c r="D186" s="178">
        <v>1870</v>
      </c>
      <c r="E186" s="178" t="s">
        <v>50</v>
      </c>
      <c r="F186" s="179" t="s">
        <v>468</v>
      </c>
      <c r="G186" s="180" t="s">
        <v>81</v>
      </c>
      <c r="H186" s="178" t="s">
        <v>61</v>
      </c>
      <c r="I186" s="178">
        <v>1430</v>
      </c>
      <c r="J186" s="178"/>
      <c r="K186" s="178"/>
      <c r="L186" s="178" t="s">
        <v>59</v>
      </c>
      <c r="M186" s="178">
        <v>60</v>
      </c>
      <c r="N186" s="178"/>
      <c r="O186" s="178"/>
      <c r="P186" s="178"/>
      <c r="Q186" s="178"/>
      <c r="R186" s="178" t="s">
        <v>19</v>
      </c>
      <c r="S186" s="181"/>
      <c r="T186" s="181"/>
      <c r="U186" s="182"/>
      <c r="V186" s="182" t="s">
        <v>35</v>
      </c>
      <c r="W186" s="183">
        <v>20</v>
      </c>
      <c r="X186" s="182" t="s">
        <v>51</v>
      </c>
      <c r="Y186" s="184">
        <v>2570</v>
      </c>
      <c r="Z186" s="184">
        <v>2570</v>
      </c>
      <c r="AA186" s="184">
        <v>2570</v>
      </c>
      <c r="AB186" s="184">
        <v>2370</v>
      </c>
      <c r="AC186" s="184">
        <v>2370</v>
      </c>
      <c r="AD186" s="184">
        <v>2370</v>
      </c>
      <c r="AE186" s="184">
        <v>2120</v>
      </c>
      <c r="AF186" s="184">
        <v>2120</v>
      </c>
      <c r="AG186" s="184">
        <v>2120</v>
      </c>
      <c r="AH186" s="184">
        <v>1920</v>
      </c>
      <c r="AI186" s="184">
        <v>1920</v>
      </c>
      <c r="AJ186" s="184">
        <v>1920</v>
      </c>
      <c r="AK186" s="184">
        <v>1920</v>
      </c>
      <c r="AL186" s="184">
        <v>1920</v>
      </c>
      <c r="AM186" s="184">
        <v>1920</v>
      </c>
      <c r="AN186" s="184">
        <v>2060</v>
      </c>
      <c r="AO186" s="184">
        <v>2060</v>
      </c>
      <c r="AP186" s="184">
        <v>2060</v>
      </c>
      <c r="AQ186" s="184">
        <v>2210</v>
      </c>
      <c r="AR186" s="184">
        <v>2210</v>
      </c>
      <c r="AS186" s="184">
        <v>2210</v>
      </c>
      <c r="AT186" s="184">
        <v>2210</v>
      </c>
      <c r="AU186" s="184">
        <v>2210</v>
      </c>
      <c r="AV186" s="184">
        <v>2210</v>
      </c>
      <c r="AW186" s="184">
        <v>2060</v>
      </c>
      <c r="AX186" s="184">
        <v>2060</v>
      </c>
      <c r="AY186" s="184">
        <v>2060</v>
      </c>
      <c r="AZ186" s="184">
        <v>2140</v>
      </c>
      <c r="BA186" s="184">
        <v>2140</v>
      </c>
      <c r="BB186" s="184">
        <v>2140</v>
      </c>
      <c r="BC186" s="184">
        <v>2140</v>
      </c>
      <c r="BD186" s="184">
        <v>2140</v>
      </c>
      <c r="BE186" s="184">
        <v>2140</v>
      </c>
      <c r="BF186" s="184">
        <v>1990</v>
      </c>
      <c r="BG186" s="184">
        <v>1990</v>
      </c>
      <c r="BH186" s="184">
        <v>1990</v>
      </c>
      <c r="BI186" s="184"/>
      <c r="BJ186" s="184"/>
      <c r="BK186" s="184"/>
      <c r="BL186" s="184">
        <v>2070</v>
      </c>
      <c r="BM186" s="184">
        <v>2150</v>
      </c>
      <c r="BN186" s="184">
        <v>2150</v>
      </c>
      <c r="BO186" s="184"/>
      <c r="BP186" s="184"/>
      <c r="BQ186" s="184"/>
      <c r="BR186" s="184"/>
      <c r="BS186" s="184"/>
      <c r="BT186" s="184"/>
      <c r="BU186" s="146" cm="1">
        <f t="array" ref="BU186">LOOKUP(2,1/(Y186:BT186&lt;&gt;""),Y186:BH186)</f>
        <v>2150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46174</v>
      </c>
      <c r="BW186" s="211" cm="1">
        <f t="array" ref="BW186">(LOOKUP(2,1/(BH186:BT186&lt;&gt;""),BH186:BT186))/(INDEX(BH186:BT186,MATCH(TRUE,INDEX((BH186:BT186&lt;&gt;0),0),0)))-1</f>
        <v>8.040201005025116E-2</v>
      </c>
      <c r="BX186" s="212">
        <f t="shared" si="50"/>
        <v>2.15</v>
      </c>
      <c r="BY186" s="212">
        <f t="shared" si="49"/>
        <v>12.685</v>
      </c>
      <c r="BZ186" s="212">
        <f ca="1">IF(L186="BR",'Impostos e Frete'!$F$6,IF(L186="EU",'Impostos e Frete'!$I$3,IF(L186="CN",'Impostos e Frete'!$I$4,IF(L186="JP",'Impostos e Frete'!$I$5,IF(L186="RU",'Impostos e Frete'!$I$7,"ERRO")))))</f>
        <v>0.14176320000000001</v>
      </c>
      <c r="CA186" s="212">
        <f>VLOOKUP(L186,'Impostos e Frete'!$A$3:$B$7,2,0)*'Preços e Condições'!BY186</f>
        <v>1.6490500000000001</v>
      </c>
      <c r="CB186" s="147">
        <f t="shared" si="51"/>
        <v>0</v>
      </c>
      <c r="CC186" s="147">
        <f>IF(X186="BRL",'Impostos e Frete'!$B$11,'Impostos e Frete'!$B$12)</f>
        <v>9.1999999999999998E-2</v>
      </c>
      <c r="CD186" s="213">
        <f t="shared" ca="1" si="52"/>
        <v>14.567813200000002</v>
      </c>
      <c r="CE186" s="214">
        <f t="shared" ca="1" si="53"/>
        <v>0.99061129760000011</v>
      </c>
      <c r="CF186" s="215">
        <f>VLOOKUP(L186,'Impostos e Frete'!$A$3:$C$7,3,0)</f>
        <v>105</v>
      </c>
      <c r="CG186" s="215">
        <f t="shared" si="54"/>
        <v>60</v>
      </c>
      <c r="CH186" s="215">
        <f t="shared" si="55"/>
        <v>-45</v>
      </c>
      <c r="CI186" s="216">
        <f t="shared" ca="1" si="56"/>
        <v>0.3290019004971878</v>
      </c>
      <c r="CJ186" s="217">
        <f t="shared" ca="1" si="57"/>
        <v>14.896815100497189</v>
      </c>
      <c r="CK186" s="218">
        <f t="shared" ca="1" si="58"/>
        <v>1.0129834268338089</v>
      </c>
    </row>
    <row r="187" spans="1:89">
      <c r="A187" s="176">
        <v>17418</v>
      </c>
      <c r="B187" s="177">
        <v>1430</v>
      </c>
      <c r="C187" s="178">
        <v>68</v>
      </c>
      <c r="D187" s="178">
        <v>1870</v>
      </c>
      <c r="E187" s="178" t="s">
        <v>50</v>
      </c>
      <c r="F187" s="179" t="s">
        <v>468</v>
      </c>
      <c r="G187" s="180" t="s">
        <v>81</v>
      </c>
      <c r="H187" s="178" t="s">
        <v>61</v>
      </c>
      <c r="I187" s="178">
        <v>1430</v>
      </c>
      <c r="J187" s="178"/>
      <c r="K187" s="178"/>
      <c r="L187" s="178" t="s">
        <v>59</v>
      </c>
      <c r="M187" s="178">
        <v>60</v>
      </c>
      <c r="N187" s="178"/>
      <c r="O187" s="178"/>
      <c r="P187" s="178"/>
      <c r="Q187" s="178"/>
      <c r="R187" s="178" t="s">
        <v>19</v>
      </c>
      <c r="S187" s="181"/>
      <c r="T187" s="181"/>
      <c r="U187" s="182"/>
      <c r="V187" s="182" t="s">
        <v>35</v>
      </c>
      <c r="W187" s="183">
        <v>10</v>
      </c>
      <c r="X187" s="182" t="s">
        <v>51</v>
      </c>
      <c r="Y187" s="184">
        <v>2990</v>
      </c>
      <c r="Z187" s="184">
        <v>2990</v>
      </c>
      <c r="AA187" s="184">
        <v>2990</v>
      </c>
      <c r="AB187" s="184">
        <v>2790</v>
      </c>
      <c r="AC187" s="184">
        <v>2790</v>
      </c>
      <c r="AD187" s="184">
        <v>2790</v>
      </c>
      <c r="AE187" s="184">
        <v>2540</v>
      </c>
      <c r="AF187" s="184">
        <v>2540</v>
      </c>
      <c r="AG187" s="184">
        <v>2540</v>
      </c>
      <c r="AH187" s="184">
        <v>2340</v>
      </c>
      <c r="AI187" s="184">
        <v>2340</v>
      </c>
      <c r="AJ187" s="184">
        <v>2340</v>
      </c>
      <c r="AK187" s="184">
        <v>2340</v>
      </c>
      <c r="AL187" s="184">
        <v>2340</v>
      </c>
      <c r="AM187" s="184">
        <v>2340</v>
      </c>
      <c r="AN187" s="184">
        <v>2480</v>
      </c>
      <c r="AO187" s="184">
        <v>2480</v>
      </c>
      <c r="AP187" s="184">
        <v>2480</v>
      </c>
      <c r="AQ187" s="184">
        <v>2630</v>
      </c>
      <c r="AR187" s="184">
        <v>2630</v>
      </c>
      <c r="AS187" s="184">
        <v>2630</v>
      </c>
      <c r="AT187" s="184">
        <v>2630</v>
      </c>
      <c r="AU187" s="184">
        <v>2630</v>
      </c>
      <c r="AV187" s="184">
        <v>2630</v>
      </c>
      <c r="AW187" s="184">
        <v>2480</v>
      </c>
      <c r="AX187" s="184">
        <v>2480</v>
      </c>
      <c r="AY187" s="184">
        <v>2480</v>
      </c>
      <c r="AZ187" s="184">
        <v>2560</v>
      </c>
      <c r="BA187" s="184">
        <v>2560</v>
      </c>
      <c r="BB187" s="184">
        <v>2560</v>
      </c>
      <c r="BC187" s="184">
        <v>2560</v>
      </c>
      <c r="BD187" s="184">
        <v>2560</v>
      </c>
      <c r="BE187" s="184">
        <v>2560</v>
      </c>
      <c r="BF187" s="184">
        <v>2410</v>
      </c>
      <c r="BG187" s="184">
        <v>2410</v>
      </c>
      <c r="BH187" s="184">
        <v>2410</v>
      </c>
      <c r="BI187" s="184"/>
      <c r="BJ187" s="184"/>
      <c r="BK187" s="184"/>
      <c r="BL187" s="184">
        <v>2490</v>
      </c>
      <c r="BM187" s="184">
        <v>2570</v>
      </c>
      <c r="BN187" s="184">
        <v>2570</v>
      </c>
      <c r="BO187" s="184"/>
      <c r="BP187" s="184"/>
      <c r="BQ187" s="184"/>
      <c r="BR187" s="184"/>
      <c r="BS187" s="184"/>
      <c r="BT187" s="184"/>
      <c r="BU187" s="146" cm="1">
        <f t="array" ref="BU187">LOOKUP(2,1/(Y187:BT187&lt;&gt;""),Y187:BH187)</f>
        <v>2570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46174</v>
      </c>
      <c r="BW187" s="211" cm="1">
        <f t="array" ref="BW187">(LOOKUP(2,1/(BH187:BT187&lt;&gt;""),BH187:BT187))/(INDEX(BH187:BT187,MATCH(TRUE,INDEX((BH187:BT187&lt;&gt;0),0),0)))-1</f>
        <v>6.639004149377592E-2</v>
      </c>
      <c r="BX187" s="212">
        <f t="shared" si="50"/>
        <v>2.57</v>
      </c>
      <c r="BY187" s="212">
        <f t="shared" si="49"/>
        <v>15.163</v>
      </c>
      <c r="BZ187" s="212">
        <f ca="1">IF(L187="BR",'Impostos e Frete'!$F$6,IF(L187="EU",'Impostos e Frete'!$I$3,IF(L187="CN",'Impostos e Frete'!$I$4,IF(L187="JP",'Impostos e Frete'!$I$5,IF(L187="RU",'Impostos e Frete'!$I$7,"ERRO")))))</f>
        <v>0.14176320000000001</v>
      </c>
      <c r="CA187" s="212">
        <f>VLOOKUP(L187,'Impostos e Frete'!$A$3:$B$7,2,0)*'Preços e Condições'!BY187</f>
        <v>1.97119</v>
      </c>
      <c r="CB187" s="147">
        <f t="shared" si="51"/>
        <v>0</v>
      </c>
      <c r="CC187" s="147">
        <f>IF(X187="BRL",'Impostos e Frete'!$B$11,'Impostos e Frete'!$B$12)</f>
        <v>9.1999999999999998E-2</v>
      </c>
      <c r="CD187" s="213">
        <f t="shared" ca="1" si="52"/>
        <v>17.367953199999999</v>
      </c>
      <c r="CE187" s="214">
        <f t="shared" ca="1" si="53"/>
        <v>1.1810208175999999</v>
      </c>
      <c r="CF187" s="215">
        <f>VLOOKUP(L187,'Impostos e Frete'!$A$3:$C$7,3,0)</f>
        <v>105</v>
      </c>
      <c r="CG187" s="215">
        <f t="shared" si="54"/>
        <v>60</v>
      </c>
      <c r="CH187" s="215">
        <f t="shared" si="55"/>
        <v>-45</v>
      </c>
      <c r="CI187" s="216">
        <f t="shared" ca="1" si="56"/>
        <v>0.39224072495288453</v>
      </c>
      <c r="CJ187" s="217">
        <f t="shared" ca="1" si="57"/>
        <v>17.760193924952883</v>
      </c>
      <c r="CK187" s="218">
        <f t="shared" ca="1" si="58"/>
        <v>1.2076931868967959</v>
      </c>
    </row>
    <row r="188" spans="1:89">
      <c r="A188" s="176">
        <v>17418</v>
      </c>
      <c r="B188" s="177">
        <v>1430</v>
      </c>
      <c r="C188" s="178">
        <v>68</v>
      </c>
      <c r="D188" s="178">
        <v>1870</v>
      </c>
      <c r="E188" s="178" t="s">
        <v>50</v>
      </c>
      <c r="F188" s="179" t="s">
        <v>468</v>
      </c>
      <c r="G188" s="180" t="s">
        <v>81</v>
      </c>
      <c r="H188" s="178" t="s">
        <v>61</v>
      </c>
      <c r="I188" s="178">
        <v>1430</v>
      </c>
      <c r="J188" s="178"/>
      <c r="K188" s="178"/>
      <c r="L188" s="178" t="s">
        <v>59</v>
      </c>
      <c r="M188" s="178">
        <v>60</v>
      </c>
      <c r="N188" s="178"/>
      <c r="O188" s="178"/>
      <c r="P188" s="178"/>
      <c r="Q188" s="178"/>
      <c r="R188" s="178" t="s">
        <v>19</v>
      </c>
      <c r="S188" s="181"/>
      <c r="T188" s="181"/>
      <c r="U188" s="182"/>
      <c r="V188" s="182" t="s">
        <v>35</v>
      </c>
      <c r="W188" s="183">
        <v>5</v>
      </c>
      <c r="X188" s="182" t="s">
        <v>51</v>
      </c>
      <c r="Y188" s="184">
        <v>3850</v>
      </c>
      <c r="Z188" s="184">
        <v>3850</v>
      </c>
      <c r="AA188" s="184">
        <v>3850</v>
      </c>
      <c r="AB188" s="184">
        <v>3650</v>
      </c>
      <c r="AC188" s="184">
        <v>3650</v>
      </c>
      <c r="AD188" s="184">
        <v>3650</v>
      </c>
      <c r="AE188" s="184">
        <v>3400</v>
      </c>
      <c r="AF188" s="184">
        <v>3400</v>
      </c>
      <c r="AG188" s="184">
        <v>3400</v>
      </c>
      <c r="AH188" s="184">
        <v>3200</v>
      </c>
      <c r="AI188" s="184">
        <v>3200</v>
      </c>
      <c r="AJ188" s="184">
        <v>3200</v>
      </c>
      <c r="AK188" s="184">
        <v>3200</v>
      </c>
      <c r="AL188" s="184">
        <v>3200</v>
      </c>
      <c r="AM188" s="184">
        <v>3200</v>
      </c>
      <c r="AN188" s="184">
        <v>3340</v>
      </c>
      <c r="AO188" s="184">
        <v>3340</v>
      </c>
      <c r="AP188" s="184">
        <v>3340</v>
      </c>
      <c r="AQ188" s="184">
        <v>3490</v>
      </c>
      <c r="AR188" s="184">
        <v>3490</v>
      </c>
      <c r="AS188" s="184">
        <v>3490</v>
      </c>
      <c r="AT188" s="184">
        <v>3490</v>
      </c>
      <c r="AU188" s="184">
        <v>3490</v>
      </c>
      <c r="AV188" s="184">
        <v>3490</v>
      </c>
      <c r="AW188" s="184">
        <v>3340</v>
      </c>
      <c r="AX188" s="184">
        <v>3340</v>
      </c>
      <c r="AY188" s="184">
        <v>3340</v>
      </c>
      <c r="AZ188" s="184">
        <v>3420</v>
      </c>
      <c r="BA188" s="184">
        <v>3420</v>
      </c>
      <c r="BB188" s="184">
        <v>3420</v>
      </c>
      <c r="BC188" s="184">
        <v>3420</v>
      </c>
      <c r="BD188" s="184">
        <v>3420</v>
      </c>
      <c r="BE188" s="184">
        <v>3420</v>
      </c>
      <c r="BF188" s="184">
        <v>3270</v>
      </c>
      <c r="BG188" s="184">
        <v>3270</v>
      </c>
      <c r="BH188" s="184">
        <v>3270</v>
      </c>
      <c r="BI188" s="184"/>
      <c r="BJ188" s="184"/>
      <c r="BK188" s="184"/>
      <c r="BL188" s="184">
        <v>3350</v>
      </c>
      <c r="BM188" s="184">
        <v>3430</v>
      </c>
      <c r="BN188" s="184">
        <v>3430</v>
      </c>
      <c r="BO188" s="184"/>
      <c r="BP188" s="184"/>
      <c r="BQ188" s="184"/>
      <c r="BR188" s="184"/>
      <c r="BS188" s="184"/>
      <c r="BT188" s="184"/>
      <c r="BU188" s="146" cm="1">
        <f t="array" ref="BU188">LOOKUP(2,1/(Y188:BT188&lt;&gt;""),Y188:BH188)</f>
        <v>3430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46174</v>
      </c>
      <c r="BW188" s="211" cm="1">
        <f t="array" ref="BW188">(LOOKUP(2,1/(BH188:BT188&lt;&gt;""),BH188:BT188))/(INDEX(BH188:BT188,MATCH(TRUE,INDEX((BH188:BT188&lt;&gt;0),0),0)))-1</f>
        <v>4.8929663608562768E-2</v>
      </c>
      <c r="BX188" s="212">
        <f t="shared" si="50"/>
        <v>3.43</v>
      </c>
      <c r="BY188" s="212">
        <f t="shared" si="49"/>
        <v>20.237000000000002</v>
      </c>
      <c r="BZ188" s="212">
        <f ca="1">IF(L188="BR",'Impostos e Frete'!$F$6,IF(L188="EU",'Impostos e Frete'!$I$3,IF(L188="CN",'Impostos e Frete'!$I$4,IF(L188="JP",'Impostos e Frete'!$I$5,IF(L188="RU",'Impostos e Frete'!$I$7,"ERRO")))))</f>
        <v>0.14176320000000001</v>
      </c>
      <c r="CA188" s="212">
        <f>VLOOKUP(L188,'Impostos e Frete'!$A$3:$B$7,2,0)*'Preços e Condições'!BY188</f>
        <v>2.6308100000000003</v>
      </c>
      <c r="CB188" s="147">
        <f t="shared" si="51"/>
        <v>0</v>
      </c>
      <c r="CC188" s="147">
        <f>IF(X188="BRL",'Impostos e Frete'!$B$11,'Impostos e Frete'!$B$12)</f>
        <v>9.1999999999999998E-2</v>
      </c>
      <c r="CD188" s="213">
        <f t="shared" ca="1" si="52"/>
        <v>23.101573200000001</v>
      </c>
      <c r="CE188" s="214">
        <f t="shared" ca="1" si="53"/>
        <v>1.5709069776</v>
      </c>
      <c r="CF188" s="215">
        <f>VLOOKUP(L188,'Impostos e Frete'!$A$3:$C$7,3,0)</f>
        <v>105</v>
      </c>
      <c r="CG188" s="215">
        <f t="shared" si="54"/>
        <v>60</v>
      </c>
      <c r="CH188" s="215">
        <f t="shared" si="55"/>
        <v>-45</v>
      </c>
      <c r="CI188" s="216">
        <f t="shared" ca="1" si="56"/>
        <v>0.52172974645741022</v>
      </c>
      <c r="CJ188" s="217">
        <f t="shared" ca="1" si="57"/>
        <v>23.623302946457411</v>
      </c>
      <c r="CK188" s="218">
        <f t="shared" ca="1" si="58"/>
        <v>1.606384600359104</v>
      </c>
    </row>
    <row r="189" spans="1:89">
      <c r="A189" s="176">
        <v>17445</v>
      </c>
      <c r="B189" s="177">
        <v>301</v>
      </c>
      <c r="C189" s="178">
        <v>65</v>
      </c>
      <c r="D189" s="178">
        <v>1870</v>
      </c>
      <c r="E189" s="178" t="s">
        <v>50</v>
      </c>
      <c r="F189" s="179" t="s">
        <v>469</v>
      </c>
      <c r="G189" s="180" t="s">
        <v>339</v>
      </c>
      <c r="H189" s="178" t="s">
        <v>347</v>
      </c>
      <c r="I189" s="178">
        <v>301</v>
      </c>
      <c r="J189" s="178"/>
      <c r="K189" s="178"/>
      <c r="L189" s="178" t="s">
        <v>59</v>
      </c>
      <c r="M189" s="178">
        <v>60</v>
      </c>
      <c r="N189" s="178"/>
      <c r="O189" s="178"/>
      <c r="P189" s="178"/>
      <c r="Q189" s="178"/>
      <c r="R189" s="178" t="s">
        <v>19</v>
      </c>
      <c r="S189" s="181"/>
      <c r="T189" s="181"/>
      <c r="U189" s="182"/>
      <c r="V189" s="182" t="s">
        <v>35</v>
      </c>
      <c r="W189" s="183">
        <v>50</v>
      </c>
      <c r="X189" s="182" t="s">
        <v>51</v>
      </c>
      <c r="Y189" s="184"/>
      <c r="Z189" s="184"/>
      <c r="AA189" s="184"/>
      <c r="AB189" s="184"/>
      <c r="AC189" s="184"/>
      <c r="AD189" s="184"/>
      <c r="AE189" s="184"/>
      <c r="AF189" s="184"/>
      <c r="AG189" s="184"/>
      <c r="AH189" s="184"/>
      <c r="AI189" s="184"/>
      <c r="AJ189" s="184"/>
      <c r="AK189" s="184"/>
      <c r="AL189" s="184"/>
      <c r="AM189" s="184"/>
      <c r="AN189" s="184"/>
      <c r="AO189" s="184"/>
      <c r="AP189" s="184"/>
      <c r="AQ189" s="184"/>
      <c r="AR189" s="184"/>
      <c r="AS189" s="184"/>
      <c r="AT189" s="184"/>
      <c r="AU189" s="184"/>
      <c r="AV189" s="184"/>
      <c r="AW189" s="184"/>
      <c r="AX189" s="184"/>
      <c r="AY189" s="184"/>
      <c r="AZ189" s="184"/>
      <c r="BA189" s="184"/>
      <c r="BB189" s="184">
        <v>2230</v>
      </c>
      <c r="BC189" s="184">
        <v>2230</v>
      </c>
      <c r="BD189" s="184">
        <v>2230</v>
      </c>
      <c r="BE189" s="184">
        <v>2230</v>
      </c>
      <c r="BF189" s="184">
        <v>2080</v>
      </c>
      <c r="BG189" s="184">
        <v>2080</v>
      </c>
      <c r="BH189" s="184">
        <v>2080</v>
      </c>
      <c r="BI189" s="184"/>
      <c r="BJ189" s="184"/>
      <c r="BK189" s="184"/>
      <c r="BL189" s="184">
        <v>2160</v>
      </c>
      <c r="BM189" s="184">
        <v>2240</v>
      </c>
      <c r="BN189" s="184">
        <v>2240</v>
      </c>
      <c r="BO189" s="184"/>
      <c r="BP189" s="184"/>
      <c r="BQ189" s="184"/>
      <c r="BR189" s="184"/>
      <c r="BS189" s="184"/>
      <c r="BT189" s="184"/>
      <c r="BU189" s="146" cm="1">
        <f t="array" ref="BU189">LOOKUP(2,1/(Y189:BT189&lt;&gt;""),Y189:BH189)</f>
        <v>2240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46174</v>
      </c>
      <c r="BW189" s="211" cm="1">
        <f t="array" ref="BW189">(LOOKUP(2,1/(BH189:BT189&lt;&gt;""),BH189:BT189))/(INDEX(BH189:BT189,MATCH(TRUE,INDEX((BH189:BT189&lt;&gt;0),0),0)))-1</f>
        <v>7.6923076923076872E-2</v>
      </c>
      <c r="BX189" s="212">
        <f t="shared" si="50"/>
        <v>2.2400000000000002</v>
      </c>
      <c r="BY189" s="212">
        <f t="shared" ref="BY189:BY252" si="67">IF(X189="BRL",BX189,IF(X189="EUR",BX189*$CK$2,IF(X189="USD",BX189*$CK$1,IF(X189="CNY",BX189*$CM$1,IF(X189="RUB",BX189*$CM$2,"CRRY#")))))</f>
        <v>13.216000000000003</v>
      </c>
      <c r="BZ189" s="212">
        <f ca="1">IF(L189="BR",'Impostos e Frete'!$F$6,IF(L189="EU",'Impostos e Frete'!$I$3,IF(L189="CN",'Impostos e Frete'!$I$4,IF(L189="JP",'Impostos e Frete'!$I$5,IF(L189="RU",'Impostos e Frete'!$I$7,"ERRO")))))</f>
        <v>0.14176320000000001</v>
      </c>
      <c r="CA189" s="212">
        <f>VLOOKUP(L189,'Impostos e Frete'!$A$3:$B$7,2,0)*'Preços e Condições'!BY189</f>
        <v>1.7180800000000005</v>
      </c>
      <c r="CB189" s="147">
        <f t="shared" si="51"/>
        <v>0</v>
      </c>
      <c r="CC189" s="147">
        <f>IF(X189="BRL",'Impostos e Frete'!$B$11,'Impostos e Frete'!$B$12)</f>
        <v>9.1999999999999998E-2</v>
      </c>
      <c r="CD189" s="213">
        <f t="shared" ca="1" si="52"/>
        <v>15.167843200000004</v>
      </c>
      <c r="CE189" s="214">
        <f t="shared" ca="1" si="53"/>
        <v>0.98590980800000017</v>
      </c>
      <c r="CF189" s="215">
        <f>VLOOKUP(L189,'Impostos e Frete'!$A$3:$C$7,3,0)</f>
        <v>105</v>
      </c>
      <c r="CG189" s="215">
        <f t="shared" si="54"/>
        <v>60</v>
      </c>
      <c r="CH189" s="215">
        <f t="shared" si="55"/>
        <v>-45</v>
      </c>
      <c r="CI189" s="216">
        <f t="shared" ca="1" si="56"/>
        <v>0.34255307716626682</v>
      </c>
      <c r="CJ189" s="217">
        <f t="shared" ca="1" si="57"/>
        <v>15.51039627716627</v>
      </c>
      <c r="CK189" s="218">
        <f t="shared" ca="1" si="58"/>
        <v>1.0081757580158075</v>
      </c>
    </row>
    <row r="190" spans="1:89">
      <c r="A190" s="176">
        <v>17445</v>
      </c>
      <c r="B190" s="177">
        <v>301</v>
      </c>
      <c r="C190" s="178">
        <v>65</v>
      </c>
      <c r="D190" s="178">
        <v>1870</v>
      </c>
      <c r="E190" s="178" t="s">
        <v>50</v>
      </c>
      <c r="F190" s="179" t="s">
        <v>469</v>
      </c>
      <c r="G190" s="180" t="s">
        <v>339</v>
      </c>
      <c r="H190" s="178" t="s">
        <v>347</v>
      </c>
      <c r="I190" s="178">
        <v>301</v>
      </c>
      <c r="J190" s="178"/>
      <c r="K190" s="178"/>
      <c r="L190" s="178" t="s">
        <v>59</v>
      </c>
      <c r="M190" s="178">
        <v>60</v>
      </c>
      <c r="N190" s="178"/>
      <c r="O190" s="178"/>
      <c r="P190" s="178"/>
      <c r="Q190" s="178"/>
      <c r="R190" s="178" t="s">
        <v>19</v>
      </c>
      <c r="S190" s="181"/>
      <c r="T190" s="181"/>
      <c r="U190" s="182"/>
      <c r="V190" s="182" t="s">
        <v>35</v>
      </c>
      <c r="W190" s="183">
        <v>100</v>
      </c>
      <c r="X190" s="182" t="s">
        <v>51</v>
      </c>
      <c r="Y190" s="184"/>
      <c r="Z190" s="184"/>
      <c r="AA190" s="184"/>
      <c r="AB190" s="184"/>
      <c r="AC190" s="184"/>
      <c r="AD190" s="184"/>
      <c r="AE190" s="184"/>
      <c r="AF190" s="184"/>
      <c r="AG190" s="184"/>
      <c r="AH190" s="184"/>
      <c r="AI190" s="184"/>
      <c r="AJ190" s="184"/>
      <c r="AK190" s="184"/>
      <c r="AL190" s="184"/>
      <c r="AM190" s="184"/>
      <c r="AN190" s="184"/>
      <c r="AO190" s="184"/>
      <c r="AP190" s="184"/>
      <c r="AQ190" s="184"/>
      <c r="AR190" s="184"/>
      <c r="AS190" s="184"/>
      <c r="AT190" s="184"/>
      <c r="AU190" s="184"/>
      <c r="AV190" s="184"/>
      <c r="AW190" s="184"/>
      <c r="AX190" s="184"/>
      <c r="AY190" s="184"/>
      <c r="AZ190" s="184"/>
      <c r="BA190" s="184"/>
      <c r="BB190" s="184">
        <v>2080</v>
      </c>
      <c r="BC190" s="184">
        <v>2080</v>
      </c>
      <c r="BD190" s="184">
        <v>2080</v>
      </c>
      <c r="BE190" s="184">
        <v>2080</v>
      </c>
      <c r="BF190" s="184">
        <v>1930</v>
      </c>
      <c r="BG190" s="184">
        <v>1930</v>
      </c>
      <c r="BH190" s="184">
        <v>1930</v>
      </c>
      <c r="BI190" s="184"/>
      <c r="BJ190" s="184"/>
      <c r="BK190" s="184"/>
      <c r="BL190" s="184">
        <v>2010</v>
      </c>
      <c r="BM190" s="184">
        <v>2090</v>
      </c>
      <c r="BN190" s="184">
        <v>2090</v>
      </c>
      <c r="BO190" s="184"/>
      <c r="BP190" s="184"/>
      <c r="BQ190" s="184"/>
      <c r="BR190" s="184"/>
      <c r="BS190" s="184"/>
      <c r="BT190" s="184"/>
      <c r="BU190" s="146" cm="1">
        <f t="array" ref="BU190">LOOKUP(2,1/(Y190:BT190&lt;&gt;""),Y190:BH190)</f>
        <v>2090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46174</v>
      </c>
      <c r="BW190" s="211" cm="1">
        <f t="array" ref="BW190">(LOOKUP(2,1/(BH190:BT190&lt;&gt;""),BH190:BT190))/(INDEX(BH190:BT190,MATCH(TRUE,INDEX((BH190:BT190&lt;&gt;0),0),0)))-1</f>
        <v>8.290155440414515E-2</v>
      </c>
      <c r="BX190" s="212">
        <f t="shared" si="50"/>
        <v>2.09</v>
      </c>
      <c r="BY190" s="212">
        <f t="shared" si="67"/>
        <v>12.331</v>
      </c>
      <c r="BZ190" s="212">
        <f ca="1">IF(L190="BR",'Impostos e Frete'!$F$6,IF(L190="EU",'Impostos e Frete'!$I$3,IF(L190="CN",'Impostos e Frete'!$I$4,IF(L190="JP",'Impostos e Frete'!$I$5,IF(L190="RU",'Impostos e Frete'!$I$7,"ERRO")))))</f>
        <v>0.14176320000000001</v>
      </c>
      <c r="CA190" s="212">
        <f>VLOOKUP(L190,'Impostos e Frete'!$A$3:$B$7,2,0)*'Preços e Condições'!BY190</f>
        <v>1.60303</v>
      </c>
      <c r="CB190" s="147">
        <f t="shared" si="51"/>
        <v>0</v>
      </c>
      <c r="CC190" s="147">
        <f>IF(X190="BRL",'Impostos e Frete'!$B$11,'Impostos e Frete'!$B$12)</f>
        <v>9.1999999999999998E-2</v>
      </c>
      <c r="CD190" s="213">
        <f t="shared" ca="1" si="52"/>
        <v>14.1677932</v>
      </c>
      <c r="CE190" s="214">
        <f t="shared" ca="1" si="53"/>
        <v>0.92090655799999999</v>
      </c>
      <c r="CF190" s="215">
        <f>VLOOKUP(L190,'Impostos e Frete'!$A$3:$C$7,3,0)</f>
        <v>105</v>
      </c>
      <c r="CG190" s="215">
        <f t="shared" si="54"/>
        <v>60</v>
      </c>
      <c r="CH190" s="215">
        <f t="shared" si="55"/>
        <v>-45</v>
      </c>
      <c r="CI190" s="216">
        <f t="shared" ca="1" si="56"/>
        <v>0.3199677827178018</v>
      </c>
      <c r="CJ190" s="217">
        <f t="shared" ca="1" si="57"/>
        <v>14.487760982717802</v>
      </c>
      <c r="CK190" s="218">
        <f t="shared" ca="1" si="58"/>
        <v>0.94170446387665707</v>
      </c>
    </row>
    <row r="191" spans="1:89">
      <c r="A191" s="176">
        <v>17445</v>
      </c>
      <c r="B191" s="177">
        <v>301</v>
      </c>
      <c r="C191" s="178">
        <v>65</v>
      </c>
      <c r="D191" s="178">
        <v>1870</v>
      </c>
      <c r="E191" s="178" t="s">
        <v>50</v>
      </c>
      <c r="F191" s="179" t="s">
        <v>469</v>
      </c>
      <c r="G191" s="180" t="s">
        <v>339</v>
      </c>
      <c r="H191" s="178" t="s">
        <v>347</v>
      </c>
      <c r="I191" s="178">
        <v>301</v>
      </c>
      <c r="J191" s="178"/>
      <c r="K191" s="178"/>
      <c r="L191" s="178" t="s">
        <v>59</v>
      </c>
      <c r="M191" s="178">
        <v>60</v>
      </c>
      <c r="N191" s="178"/>
      <c r="O191" s="178"/>
      <c r="P191" s="178"/>
      <c r="Q191" s="178"/>
      <c r="R191" s="178" t="s">
        <v>19</v>
      </c>
      <c r="S191" s="181"/>
      <c r="T191" s="181"/>
      <c r="U191" s="182"/>
      <c r="V191" s="182" t="s">
        <v>35</v>
      </c>
      <c r="W191" s="183">
        <v>20</v>
      </c>
      <c r="X191" s="182" t="s">
        <v>51</v>
      </c>
      <c r="Y191" s="184"/>
      <c r="Z191" s="184"/>
      <c r="AA191" s="184"/>
      <c r="AB191" s="184"/>
      <c r="AC191" s="184"/>
      <c r="AD191" s="184"/>
      <c r="AE191" s="184"/>
      <c r="AF191" s="184"/>
      <c r="AG191" s="184"/>
      <c r="AH191" s="184"/>
      <c r="AI191" s="184"/>
      <c r="AJ191" s="184"/>
      <c r="AK191" s="184"/>
      <c r="AL191" s="184"/>
      <c r="AM191" s="184"/>
      <c r="AN191" s="184"/>
      <c r="AO191" s="184"/>
      <c r="AP191" s="184"/>
      <c r="AQ191" s="184"/>
      <c r="AR191" s="184"/>
      <c r="AS191" s="184"/>
      <c r="AT191" s="184"/>
      <c r="AU191" s="184"/>
      <c r="AV191" s="184"/>
      <c r="AW191" s="184"/>
      <c r="AX191" s="184"/>
      <c r="AY191" s="184"/>
      <c r="AZ191" s="184"/>
      <c r="BA191" s="184"/>
      <c r="BB191" s="184">
        <v>2380</v>
      </c>
      <c r="BC191" s="184">
        <v>2380</v>
      </c>
      <c r="BD191" s="184">
        <v>2380</v>
      </c>
      <c r="BE191" s="184">
        <v>2380</v>
      </c>
      <c r="BF191" s="184">
        <v>2230</v>
      </c>
      <c r="BG191" s="184">
        <v>2230</v>
      </c>
      <c r="BH191" s="184">
        <v>2230</v>
      </c>
      <c r="BI191" s="184"/>
      <c r="BJ191" s="184"/>
      <c r="BK191" s="184"/>
      <c r="BL191" s="184">
        <v>2310</v>
      </c>
      <c r="BM191" s="184">
        <v>2390</v>
      </c>
      <c r="BN191" s="184">
        <v>2390</v>
      </c>
      <c r="BO191" s="184"/>
      <c r="BP191" s="184"/>
      <c r="BQ191" s="184"/>
      <c r="BR191" s="184"/>
      <c r="BS191" s="184"/>
      <c r="BT191" s="184"/>
      <c r="BU191" s="146" cm="1">
        <f t="array" ref="BU191">LOOKUP(2,1/(Y191:BT191&lt;&gt;""),Y191:BH191)</f>
        <v>2390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46174</v>
      </c>
      <c r="BW191" s="211" cm="1">
        <f t="array" ref="BW191">(LOOKUP(2,1/(BH191:BT191&lt;&gt;""),BH191:BT191))/(INDEX(BH191:BT191,MATCH(TRUE,INDEX((BH191:BT191&lt;&gt;0),0),0)))-1</f>
        <v>7.1748878923766801E-2</v>
      </c>
      <c r="BX191" s="212">
        <f t="shared" si="50"/>
        <v>2.39</v>
      </c>
      <c r="BY191" s="212">
        <f t="shared" si="67"/>
        <v>14.101000000000001</v>
      </c>
      <c r="BZ191" s="212">
        <f ca="1">IF(L191="BR",'Impostos e Frete'!$F$6,IF(L191="EU",'Impostos e Frete'!$I$3,IF(L191="CN",'Impostos e Frete'!$I$4,IF(L191="JP",'Impostos e Frete'!$I$5,IF(L191="RU",'Impostos e Frete'!$I$7,"ERRO")))))</f>
        <v>0.14176320000000001</v>
      </c>
      <c r="CA191" s="212">
        <f>VLOOKUP(L191,'Impostos e Frete'!$A$3:$B$7,2,0)*'Preços e Condições'!BY191</f>
        <v>1.8331300000000001</v>
      </c>
      <c r="CB191" s="147">
        <f t="shared" si="51"/>
        <v>0</v>
      </c>
      <c r="CC191" s="147">
        <f>IF(X191="BRL",'Impostos e Frete'!$B$11,'Impostos e Frete'!$B$12)</f>
        <v>9.1999999999999998E-2</v>
      </c>
      <c r="CD191" s="213">
        <f t="shared" ca="1" si="52"/>
        <v>16.167893199999998</v>
      </c>
      <c r="CE191" s="214">
        <f t="shared" ca="1" si="53"/>
        <v>1.0509130579999999</v>
      </c>
      <c r="CF191" s="215">
        <f>VLOOKUP(L191,'Impostos e Frete'!$A$3:$C$7,3,0)</f>
        <v>105</v>
      </c>
      <c r="CG191" s="215">
        <f t="shared" si="54"/>
        <v>60</v>
      </c>
      <c r="CH191" s="215">
        <f t="shared" si="55"/>
        <v>-45</v>
      </c>
      <c r="CI191" s="216">
        <f t="shared" ca="1" si="56"/>
        <v>0.36513837161473006</v>
      </c>
      <c r="CJ191" s="217">
        <f t="shared" ca="1" si="57"/>
        <v>16.533031571614728</v>
      </c>
      <c r="CK191" s="218">
        <f t="shared" ca="1" si="58"/>
        <v>1.0746470521549574</v>
      </c>
    </row>
    <row r="192" spans="1:89">
      <c r="A192" s="176">
        <v>10252</v>
      </c>
      <c r="B192" s="177">
        <v>9370</v>
      </c>
      <c r="C192" s="178">
        <v>70</v>
      </c>
      <c r="D192" s="178">
        <v>1900</v>
      </c>
      <c r="E192" s="178" t="s">
        <v>209</v>
      </c>
      <c r="F192" s="179" t="s">
        <v>470</v>
      </c>
      <c r="G192" s="180" t="s">
        <v>82</v>
      </c>
      <c r="H192" s="178" t="s">
        <v>43</v>
      </c>
      <c r="I192" s="178"/>
      <c r="J192" s="178"/>
      <c r="K192" s="178"/>
      <c r="L192" s="178" t="s">
        <v>59</v>
      </c>
      <c r="M192" s="178">
        <v>60</v>
      </c>
      <c r="N192" s="178"/>
      <c r="O192" s="178"/>
      <c r="P192" s="178"/>
      <c r="Q192" s="178"/>
      <c r="R192" s="178" t="s">
        <v>19</v>
      </c>
      <c r="S192" s="181"/>
      <c r="T192" s="181"/>
      <c r="U192" s="182"/>
      <c r="V192" s="182" t="s">
        <v>35</v>
      </c>
      <c r="W192" s="183">
        <v>400</v>
      </c>
      <c r="X192" s="182" t="s">
        <v>51</v>
      </c>
      <c r="Y192" s="184">
        <v>3080</v>
      </c>
      <c r="Z192" s="184">
        <v>3080</v>
      </c>
      <c r="AA192" s="184">
        <v>3080</v>
      </c>
      <c r="AB192" s="184">
        <v>3010</v>
      </c>
      <c r="AC192" s="184">
        <v>3010</v>
      </c>
      <c r="AD192" s="184">
        <v>3010</v>
      </c>
      <c r="AE192" s="184">
        <v>2810</v>
      </c>
      <c r="AF192" s="184">
        <v>2810</v>
      </c>
      <c r="AG192" s="184">
        <v>2810</v>
      </c>
      <c r="AH192" s="184">
        <v>2660</v>
      </c>
      <c r="AI192" s="184">
        <v>2660</v>
      </c>
      <c r="AJ192" s="184">
        <v>2660</v>
      </c>
      <c r="AK192" s="184">
        <v>2660</v>
      </c>
      <c r="AL192" s="184">
        <v>2660</v>
      </c>
      <c r="AM192" s="184">
        <v>2660</v>
      </c>
      <c r="AN192" s="184">
        <v>2780</v>
      </c>
      <c r="AO192" s="184">
        <v>2780</v>
      </c>
      <c r="AP192" s="184">
        <v>2780</v>
      </c>
      <c r="AQ192" s="184">
        <v>2960</v>
      </c>
      <c r="AR192" s="184">
        <v>2960</v>
      </c>
      <c r="AS192" s="184">
        <v>2960</v>
      </c>
      <c r="AT192" s="184">
        <v>2960</v>
      </c>
      <c r="AU192" s="184">
        <v>2960</v>
      </c>
      <c r="AV192" s="184">
        <v>2960</v>
      </c>
      <c r="AW192" s="184">
        <v>2810</v>
      </c>
      <c r="AX192" s="184">
        <v>2810</v>
      </c>
      <c r="AY192" s="184">
        <v>2810</v>
      </c>
      <c r="AZ192" s="184">
        <v>2850</v>
      </c>
      <c r="BA192" s="184">
        <v>2850</v>
      </c>
      <c r="BB192" s="184">
        <v>2850</v>
      </c>
      <c r="BC192" s="184">
        <v>2810</v>
      </c>
      <c r="BD192" s="184">
        <v>2810</v>
      </c>
      <c r="BE192" s="184">
        <v>2810</v>
      </c>
      <c r="BF192" s="184">
        <v>2660</v>
      </c>
      <c r="BG192" s="184">
        <v>2660</v>
      </c>
      <c r="BH192" s="184">
        <v>2660</v>
      </c>
      <c r="BI192" s="184"/>
      <c r="BJ192" s="184"/>
      <c r="BK192" s="184"/>
      <c r="BL192" s="184">
        <v>2680</v>
      </c>
      <c r="BM192" s="184">
        <v>2780</v>
      </c>
      <c r="BN192" s="184">
        <v>2780</v>
      </c>
      <c r="BO192" s="184"/>
      <c r="BP192" s="184"/>
      <c r="BQ192" s="184"/>
      <c r="BR192" s="184"/>
      <c r="BS192" s="184"/>
      <c r="BT192" s="184"/>
      <c r="BU192" s="146" cm="1">
        <f t="array" ref="BU192">LOOKUP(2,1/(Y192:BT192&lt;&gt;""),Y192:BH192)</f>
        <v>2780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46174</v>
      </c>
      <c r="BW192" s="211" cm="1">
        <f t="array" ref="BW192">(LOOKUP(2,1/(BH192:BT192&lt;&gt;""),BH192:BT192))/(INDEX(BH192:BT192,MATCH(TRUE,INDEX((BH192:BT192&lt;&gt;0),0),0)))-1</f>
        <v>4.5112781954887327E-2</v>
      </c>
      <c r="BX192" s="212">
        <f t="shared" ref="BX192:BX255" si="68">BU192/1000</f>
        <v>2.78</v>
      </c>
      <c r="BY192" s="212">
        <f t="shared" si="67"/>
        <v>16.402000000000001</v>
      </c>
      <c r="BZ192" s="212">
        <f ca="1">IF(L192="BR",'Impostos e Frete'!$F$6,IF(L192="EU",'Impostos e Frete'!$I$3,IF(L192="CN",'Impostos e Frete'!$I$4,IF(L192="JP",'Impostos e Frete'!$I$5,IF(L192="RU",'Impostos e Frete'!$I$7,"ERRO")))))</f>
        <v>0.14176320000000001</v>
      </c>
      <c r="CA192" s="212">
        <f>VLOOKUP(L192,'Impostos e Frete'!$A$3:$B$7,2,0)*'Preços e Condições'!BY192</f>
        <v>2.13226</v>
      </c>
      <c r="CB192" s="147">
        <f t="shared" ref="CB192:CB255" si="69">IF(R192="CFR",$CB$2,IF(R192="FOB",0,IF(R192="EXW",$CB$1,"ERRO")))</f>
        <v>0</v>
      </c>
      <c r="CC192" s="147">
        <f>IF(X192="BRL",'Impostos e Frete'!$B$11,'Impostos e Frete'!$B$12)</f>
        <v>9.1999999999999998E-2</v>
      </c>
      <c r="CD192" s="213">
        <f t="shared" ref="CD192:CD255" ca="1" si="70">SUM(BY192:CC192)</f>
        <v>18.768023199999998</v>
      </c>
      <c r="CE192" s="214">
        <f t="shared" ref="CE192:CE255" ca="1" si="71">IF(C192="","erro",(CD192/1000)*C192)</f>
        <v>1.3137616239999999</v>
      </c>
      <c r="CF192" s="215">
        <f>VLOOKUP(L192,'Impostos e Frete'!$A$3:$C$7,3,0)</f>
        <v>105</v>
      </c>
      <c r="CG192" s="215">
        <f t="shared" ref="CG192:CG255" si="72">M192</f>
        <v>60</v>
      </c>
      <c r="CH192" s="215">
        <f t="shared" ref="CH192:CH255" si="73">CG192-CF192</f>
        <v>-45</v>
      </c>
      <c r="CI192" s="216">
        <f t="shared" ref="CI192:CI255" ca="1" si="74">CD192*(1+VALUE($CI$2))^((CH192*-1)/30)-CD192</f>
        <v>0.42386013718073556</v>
      </c>
      <c r="CJ192" s="217">
        <f t="shared" ref="CJ192:CJ255" ca="1" si="75">CD192+CI192</f>
        <v>19.191883337180734</v>
      </c>
      <c r="CK192" s="218">
        <f t="shared" ref="CK192:CK255" ca="1" si="76">IF(C192="","erro",(CJ192/1000)*C192)</f>
        <v>1.3434318336026514</v>
      </c>
    </row>
    <row r="193" spans="1:89">
      <c r="A193" s="176">
        <v>10252</v>
      </c>
      <c r="B193" s="177">
        <v>9370</v>
      </c>
      <c r="C193" s="178">
        <v>70</v>
      </c>
      <c r="D193" s="178">
        <v>1900</v>
      </c>
      <c r="E193" s="178" t="s">
        <v>209</v>
      </c>
      <c r="F193" s="179" t="s">
        <v>470</v>
      </c>
      <c r="G193" s="180" t="s">
        <v>82</v>
      </c>
      <c r="H193" s="178" t="s">
        <v>43</v>
      </c>
      <c r="I193" s="178"/>
      <c r="J193" s="178"/>
      <c r="K193" s="178"/>
      <c r="L193" s="178" t="s">
        <v>59</v>
      </c>
      <c r="M193" s="178">
        <v>60</v>
      </c>
      <c r="N193" s="178"/>
      <c r="O193" s="178"/>
      <c r="P193" s="178"/>
      <c r="Q193" s="178"/>
      <c r="R193" s="178" t="s">
        <v>19</v>
      </c>
      <c r="S193" s="181"/>
      <c r="T193" s="181"/>
      <c r="U193" s="182"/>
      <c r="V193" s="182" t="s">
        <v>35</v>
      </c>
      <c r="W193" s="183">
        <v>800</v>
      </c>
      <c r="X193" s="182" t="s">
        <v>51</v>
      </c>
      <c r="Y193" s="184"/>
      <c r="Z193" s="184"/>
      <c r="AA193" s="184"/>
      <c r="AB193" s="184"/>
      <c r="AC193" s="184"/>
      <c r="AD193" s="184"/>
      <c r="AE193" s="184"/>
      <c r="AF193" s="184"/>
      <c r="AG193" s="184"/>
      <c r="AH193" s="184"/>
      <c r="AI193" s="184"/>
      <c r="AJ193" s="184"/>
      <c r="AK193" s="184"/>
      <c r="AL193" s="184"/>
      <c r="AM193" s="184"/>
      <c r="AN193" s="184"/>
      <c r="AO193" s="184"/>
      <c r="AP193" s="184"/>
      <c r="AQ193" s="184"/>
      <c r="AR193" s="184"/>
      <c r="AS193" s="184"/>
      <c r="AT193" s="184"/>
      <c r="AU193" s="184"/>
      <c r="AV193" s="184"/>
      <c r="AW193" s="184">
        <v>2760</v>
      </c>
      <c r="AX193" s="184">
        <v>2760</v>
      </c>
      <c r="AY193" s="184">
        <v>2760</v>
      </c>
      <c r="AZ193" s="184">
        <v>2800</v>
      </c>
      <c r="BA193" s="184">
        <v>2800</v>
      </c>
      <c r="BB193" s="184">
        <v>2800</v>
      </c>
      <c r="BC193" s="184">
        <v>2760</v>
      </c>
      <c r="BD193" s="184">
        <v>2760</v>
      </c>
      <c r="BE193" s="184">
        <v>2760</v>
      </c>
      <c r="BF193" s="184">
        <v>2610</v>
      </c>
      <c r="BG193" s="184">
        <v>2610</v>
      </c>
      <c r="BH193" s="184">
        <v>2610</v>
      </c>
      <c r="BI193" s="184"/>
      <c r="BJ193" s="184"/>
      <c r="BK193" s="184"/>
      <c r="BL193" s="184">
        <v>2630</v>
      </c>
      <c r="BM193" s="184">
        <v>2730</v>
      </c>
      <c r="BN193" s="184">
        <v>2730</v>
      </c>
      <c r="BO193" s="184"/>
      <c r="BP193" s="184"/>
      <c r="BQ193" s="184"/>
      <c r="BR193" s="184"/>
      <c r="BS193" s="184"/>
      <c r="BT193" s="184"/>
      <c r="BU193" s="146" cm="1">
        <f t="array" ref="BU193">LOOKUP(2,1/(Y193:BT193&lt;&gt;""),Y193:BH193)</f>
        <v>2730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46174</v>
      </c>
      <c r="BW193" s="211" cm="1">
        <f t="array" ref="BW193">(LOOKUP(2,1/(BH193:BT193&lt;&gt;""),BH193:BT193))/(INDEX(BH193:BT193,MATCH(TRUE,INDEX((BH193:BT193&lt;&gt;0),0),0)))-1</f>
        <v>4.5977011494252817E-2</v>
      </c>
      <c r="BX193" s="212">
        <f t="shared" si="68"/>
        <v>2.73</v>
      </c>
      <c r="BY193" s="212">
        <f t="shared" si="67"/>
        <v>16.106999999999999</v>
      </c>
      <c r="BZ193" s="212">
        <f ca="1">IF(L193="BR",'Impostos e Frete'!$F$6,IF(L193="EU",'Impostos e Frete'!$I$3,IF(L193="CN",'Impostos e Frete'!$I$4,IF(L193="JP",'Impostos e Frete'!$I$5,IF(L193="RU",'Impostos e Frete'!$I$7,"ERRO")))))</f>
        <v>0.14176320000000001</v>
      </c>
      <c r="CA193" s="212">
        <f>VLOOKUP(L193,'Impostos e Frete'!$A$3:$B$7,2,0)*'Preços e Condições'!BY193</f>
        <v>2.0939100000000002</v>
      </c>
      <c r="CB193" s="147">
        <f t="shared" si="69"/>
        <v>0</v>
      </c>
      <c r="CC193" s="147">
        <f>IF(X193="BRL",'Impostos e Frete'!$B$11,'Impostos e Frete'!$B$12)</f>
        <v>9.1999999999999998E-2</v>
      </c>
      <c r="CD193" s="213">
        <f t="shared" ca="1" si="70"/>
        <v>18.434673199999999</v>
      </c>
      <c r="CE193" s="214">
        <f t="shared" ca="1" si="71"/>
        <v>1.2904271239999998</v>
      </c>
      <c r="CF193" s="215">
        <f>VLOOKUP(L193,'Impostos e Frete'!$A$3:$C$7,3,0)</f>
        <v>105</v>
      </c>
      <c r="CG193" s="215">
        <f t="shared" si="72"/>
        <v>60</v>
      </c>
      <c r="CH193" s="215">
        <f t="shared" si="73"/>
        <v>-45</v>
      </c>
      <c r="CI193" s="216">
        <f t="shared" ca="1" si="74"/>
        <v>0.41633170569791389</v>
      </c>
      <c r="CJ193" s="217">
        <f t="shared" ca="1" si="75"/>
        <v>18.851004905697913</v>
      </c>
      <c r="CK193" s="218">
        <f t="shared" ca="1" si="76"/>
        <v>1.3195703433988539</v>
      </c>
    </row>
    <row r="194" spans="1:89">
      <c r="A194" s="176">
        <v>10252</v>
      </c>
      <c r="B194" s="177">
        <v>9370</v>
      </c>
      <c r="C194" s="178">
        <v>70</v>
      </c>
      <c r="D194" s="178">
        <v>1900</v>
      </c>
      <c r="E194" s="178" t="s">
        <v>209</v>
      </c>
      <c r="F194" s="179" t="s">
        <v>470</v>
      </c>
      <c r="G194" s="180" t="s">
        <v>82</v>
      </c>
      <c r="H194" s="178" t="s">
        <v>43</v>
      </c>
      <c r="I194" s="178"/>
      <c r="J194" s="178"/>
      <c r="K194" s="178"/>
      <c r="L194" s="178" t="s">
        <v>59</v>
      </c>
      <c r="M194" s="178">
        <v>60</v>
      </c>
      <c r="N194" s="178"/>
      <c r="O194" s="178"/>
      <c r="P194" s="178"/>
      <c r="Q194" s="178"/>
      <c r="R194" s="178" t="s">
        <v>19</v>
      </c>
      <c r="S194" s="181"/>
      <c r="T194" s="181"/>
      <c r="U194" s="182"/>
      <c r="V194" s="182" t="s">
        <v>35</v>
      </c>
      <c r="W194" s="183">
        <v>1000</v>
      </c>
      <c r="X194" s="182" t="s">
        <v>51</v>
      </c>
      <c r="Y194" s="184">
        <v>3030</v>
      </c>
      <c r="Z194" s="184">
        <v>3030</v>
      </c>
      <c r="AA194" s="184">
        <v>3030</v>
      </c>
      <c r="AB194" s="184">
        <v>2960</v>
      </c>
      <c r="AC194" s="184">
        <v>2960</v>
      </c>
      <c r="AD194" s="184">
        <v>2960</v>
      </c>
      <c r="AE194" s="184">
        <v>2760</v>
      </c>
      <c r="AF194" s="184">
        <v>2760</v>
      </c>
      <c r="AG194" s="184">
        <v>2760</v>
      </c>
      <c r="AH194" s="184">
        <v>2610</v>
      </c>
      <c r="AI194" s="184">
        <v>2610</v>
      </c>
      <c r="AJ194" s="184">
        <v>2610</v>
      </c>
      <c r="AK194" s="184">
        <v>2610</v>
      </c>
      <c r="AL194" s="184">
        <v>2610</v>
      </c>
      <c r="AM194" s="184">
        <v>2610</v>
      </c>
      <c r="AN194" s="184">
        <v>2730</v>
      </c>
      <c r="AO194" s="184">
        <v>2730</v>
      </c>
      <c r="AP194" s="184">
        <v>2730</v>
      </c>
      <c r="AQ194" s="184">
        <v>2910</v>
      </c>
      <c r="AR194" s="184">
        <v>2910</v>
      </c>
      <c r="AS194" s="184">
        <v>2910</v>
      </c>
      <c r="AT194" s="184">
        <v>2910</v>
      </c>
      <c r="AU194" s="184">
        <v>2910</v>
      </c>
      <c r="AV194" s="184">
        <v>2910</v>
      </c>
      <c r="AW194" s="184"/>
      <c r="AX194" s="184"/>
      <c r="AY194" s="184"/>
      <c r="AZ194" s="184"/>
      <c r="BA194" s="184"/>
      <c r="BB194" s="184"/>
      <c r="BC194" s="184"/>
      <c r="BD194" s="184"/>
      <c r="BE194" s="184"/>
      <c r="BF194" s="184"/>
      <c r="BG194" s="184"/>
      <c r="BH194" s="184"/>
      <c r="BI194" s="184"/>
      <c r="BJ194" s="184"/>
      <c r="BK194" s="184"/>
      <c r="BL194" s="184"/>
      <c r="BM194" s="184"/>
      <c r="BN194" s="184"/>
      <c r="BO194" s="184"/>
      <c r="BP194" s="184"/>
      <c r="BQ194" s="184"/>
      <c r="BR194" s="184"/>
      <c r="BS194" s="184"/>
      <c r="BT194" s="184"/>
      <c r="BU194" s="146" cm="1">
        <f t="array" ref="BU194">LOOKUP(2,1/(Y194:BT194&lt;&gt;""),Y194:BH194)</f>
        <v>2910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45627</v>
      </c>
      <c r="BW194" s="211" t="e" cm="1">
        <f t="array" ref="BW194">(LOOKUP(2,1/(BH194:BT194&lt;&gt;""),BH194:BT194))/(INDEX(BH194:BT194,MATCH(TRUE,INDEX((BH194:BT194&lt;&gt;0),0),0)))-1</f>
        <v>#N/A</v>
      </c>
      <c r="BX194" s="212">
        <f t="shared" si="68"/>
        <v>2.91</v>
      </c>
      <c r="BY194" s="212">
        <f t="shared" si="67"/>
        <v>17.169</v>
      </c>
      <c r="BZ194" s="212">
        <f ca="1">IF(L194="BR",'Impostos e Frete'!$F$6,IF(L194="EU",'Impostos e Frete'!$I$3,IF(L194="CN",'Impostos e Frete'!$I$4,IF(L194="JP",'Impostos e Frete'!$I$5,IF(L194="RU",'Impostos e Frete'!$I$7,"ERRO")))))</f>
        <v>0.14176320000000001</v>
      </c>
      <c r="CA194" s="212">
        <f>VLOOKUP(L194,'Impostos e Frete'!$A$3:$B$7,2,0)*'Preços e Condições'!BY194</f>
        <v>2.23197</v>
      </c>
      <c r="CB194" s="147">
        <f t="shared" si="69"/>
        <v>0</v>
      </c>
      <c r="CC194" s="147">
        <f>IF(X194="BRL",'Impostos e Frete'!$B$11,'Impostos e Frete'!$B$12)</f>
        <v>9.1999999999999998E-2</v>
      </c>
      <c r="CD194" s="213">
        <f t="shared" ca="1" si="70"/>
        <v>19.634733199999999</v>
      </c>
      <c r="CE194" s="214">
        <f t="shared" ca="1" si="71"/>
        <v>1.3744313240000001</v>
      </c>
      <c r="CF194" s="215">
        <f>VLOOKUP(L194,'Impostos e Frete'!$A$3:$C$7,3,0)</f>
        <v>105</v>
      </c>
      <c r="CG194" s="215">
        <f t="shared" si="72"/>
        <v>60</v>
      </c>
      <c r="CH194" s="215">
        <f t="shared" si="73"/>
        <v>-45</v>
      </c>
      <c r="CI194" s="216">
        <f t="shared" ca="1" si="74"/>
        <v>0.44343405903606836</v>
      </c>
      <c r="CJ194" s="217">
        <f t="shared" ca="1" si="75"/>
        <v>20.078167259036068</v>
      </c>
      <c r="CK194" s="218">
        <f t="shared" ca="1" si="76"/>
        <v>1.4054717081325248</v>
      </c>
    </row>
    <row r="195" spans="1:89">
      <c r="A195" s="176">
        <v>10253</v>
      </c>
      <c r="B195" s="177">
        <v>9370</v>
      </c>
      <c r="C195" s="178">
        <v>70</v>
      </c>
      <c r="D195" s="178">
        <v>1900</v>
      </c>
      <c r="E195" s="178" t="s">
        <v>209</v>
      </c>
      <c r="F195" s="179" t="s">
        <v>470</v>
      </c>
      <c r="G195" s="180" t="s">
        <v>212</v>
      </c>
      <c r="H195" s="178" t="s">
        <v>43</v>
      </c>
      <c r="I195" s="178" t="s">
        <v>213</v>
      </c>
      <c r="J195" s="178"/>
      <c r="K195" s="178"/>
      <c r="L195" s="178" t="s">
        <v>59</v>
      </c>
      <c r="M195" s="178">
        <v>60</v>
      </c>
      <c r="N195" s="178"/>
      <c r="O195" s="178"/>
      <c r="P195" s="178"/>
      <c r="Q195" s="178"/>
      <c r="R195" s="178" t="s">
        <v>19</v>
      </c>
      <c r="S195" s="181"/>
      <c r="T195" s="181"/>
      <c r="U195" s="182"/>
      <c r="V195" s="182" t="s">
        <v>35</v>
      </c>
      <c r="W195" s="183">
        <v>400</v>
      </c>
      <c r="X195" s="182" t="s">
        <v>51</v>
      </c>
      <c r="Y195" s="184">
        <v>3080</v>
      </c>
      <c r="Z195" s="184">
        <v>3080</v>
      </c>
      <c r="AA195" s="184">
        <v>3080</v>
      </c>
      <c r="AB195" s="184">
        <v>3010</v>
      </c>
      <c r="AC195" s="184">
        <v>3010</v>
      </c>
      <c r="AD195" s="184">
        <v>3010</v>
      </c>
      <c r="AE195" s="184">
        <v>2810</v>
      </c>
      <c r="AF195" s="184">
        <v>2810</v>
      </c>
      <c r="AG195" s="184">
        <v>2810</v>
      </c>
      <c r="AH195" s="184">
        <v>2660</v>
      </c>
      <c r="AI195" s="184">
        <v>2660</v>
      </c>
      <c r="AJ195" s="184">
        <v>2660</v>
      </c>
      <c r="AK195" s="184">
        <v>2660</v>
      </c>
      <c r="AL195" s="184">
        <v>2660</v>
      </c>
      <c r="AM195" s="184">
        <v>2660</v>
      </c>
      <c r="AN195" s="184">
        <v>2780</v>
      </c>
      <c r="AO195" s="184">
        <v>2780</v>
      </c>
      <c r="AP195" s="184">
        <v>2780</v>
      </c>
      <c r="AQ195" s="184">
        <v>2960</v>
      </c>
      <c r="AR195" s="184">
        <v>2960</v>
      </c>
      <c r="AS195" s="184">
        <v>2960</v>
      </c>
      <c r="AT195" s="184">
        <v>2960</v>
      </c>
      <c r="AU195" s="184">
        <v>2960</v>
      </c>
      <c r="AV195" s="184">
        <v>2960</v>
      </c>
      <c r="AW195" s="184">
        <v>2810</v>
      </c>
      <c r="AX195" s="184">
        <v>2810</v>
      </c>
      <c r="AY195" s="184">
        <v>2810</v>
      </c>
      <c r="AZ195" s="184">
        <v>2850</v>
      </c>
      <c r="BA195" s="184">
        <v>2850</v>
      </c>
      <c r="BB195" s="184">
        <v>2850</v>
      </c>
      <c r="BC195" s="184">
        <v>2810</v>
      </c>
      <c r="BD195" s="184">
        <v>2810</v>
      </c>
      <c r="BE195" s="184">
        <v>2810</v>
      </c>
      <c r="BF195" s="184">
        <v>2660</v>
      </c>
      <c r="BG195" s="184">
        <v>2660</v>
      </c>
      <c r="BH195" s="184">
        <v>2660</v>
      </c>
      <c r="BI195" s="184"/>
      <c r="BJ195" s="184"/>
      <c r="BK195" s="184"/>
      <c r="BL195" s="184">
        <v>2680</v>
      </c>
      <c r="BM195" s="184">
        <v>2780</v>
      </c>
      <c r="BN195" s="184">
        <v>2780</v>
      </c>
      <c r="BO195" s="184"/>
      <c r="BP195" s="184"/>
      <c r="BQ195" s="184"/>
      <c r="BR195" s="184"/>
      <c r="BS195" s="184"/>
      <c r="BT195" s="184"/>
      <c r="BU195" s="146" cm="1">
        <f t="array" ref="BU195">LOOKUP(2,1/(Y195:BT195&lt;&gt;""),Y195:BH195)</f>
        <v>2780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46174</v>
      </c>
      <c r="BW195" s="211" cm="1">
        <f t="array" ref="BW195">(LOOKUP(2,1/(BH195:BT195&lt;&gt;""),BH195:BT195))/(INDEX(BH195:BT195,MATCH(TRUE,INDEX((BH195:BT195&lt;&gt;0),0),0)))-1</f>
        <v>4.5112781954887327E-2</v>
      </c>
      <c r="BX195" s="212">
        <f t="shared" si="68"/>
        <v>2.78</v>
      </c>
      <c r="BY195" s="212">
        <f t="shared" si="67"/>
        <v>16.402000000000001</v>
      </c>
      <c r="BZ195" s="212">
        <f ca="1">IF(L195="BR",'Impostos e Frete'!$F$6,IF(L195="EU",'Impostos e Frete'!$I$3,IF(L195="CN",'Impostos e Frete'!$I$4,IF(L195="JP",'Impostos e Frete'!$I$5,IF(L195="RU",'Impostos e Frete'!$I$7,"ERRO")))))</f>
        <v>0.14176320000000001</v>
      </c>
      <c r="CA195" s="212">
        <f>VLOOKUP(L195,'Impostos e Frete'!$A$3:$B$7,2,0)*'Preços e Condições'!BY195</f>
        <v>2.13226</v>
      </c>
      <c r="CB195" s="147">
        <f t="shared" si="69"/>
        <v>0</v>
      </c>
      <c r="CC195" s="147">
        <f>IF(X195="BRL",'Impostos e Frete'!$B$11,'Impostos e Frete'!$B$12)</f>
        <v>9.1999999999999998E-2</v>
      </c>
      <c r="CD195" s="213">
        <f t="shared" ca="1" si="70"/>
        <v>18.768023199999998</v>
      </c>
      <c r="CE195" s="214">
        <f t="shared" ca="1" si="71"/>
        <v>1.3137616239999999</v>
      </c>
      <c r="CF195" s="215">
        <f>VLOOKUP(L195,'Impostos e Frete'!$A$3:$C$7,3,0)</f>
        <v>105</v>
      </c>
      <c r="CG195" s="215">
        <f t="shared" si="72"/>
        <v>60</v>
      </c>
      <c r="CH195" s="215">
        <f t="shared" si="73"/>
        <v>-45</v>
      </c>
      <c r="CI195" s="216">
        <f t="shared" ca="1" si="74"/>
        <v>0.42386013718073556</v>
      </c>
      <c r="CJ195" s="217">
        <f t="shared" ca="1" si="75"/>
        <v>19.191883337180734</v>
      </c>
      <c r="CK195" s="218">
        <f t="shared" ca="1" si="76"/>
        <v>1.3434318336026514</v>
      </c>
    </row>
    <row r="196" spans="1:89">
      <c r="A196" s="176">
        <v>10253</v>
      </c>
      <c r="B196" s="177">
        <v>9370</v>
      </c>
      <c r="C196" s="178">
        <v>70</v>
      </c>
      <c r="D196" s="178">
        <v>1900</v>
      </c>
      <c r="E196" s="178" t="s">
        <v>209</v>
      </c>
      <c r="F196" s="179" t="s">
        <v>470</v>
      </c>
      <c r="G196" s="180" t="s">
        <v>212</v>
      </c>
      <c r="H196" s="178" t="s">
        <v>43</v>
      </c>
      <c r="I196" s="178" t="s">
        <v>213</v>
      </c>
      <c r="J196" s="178"/>
      <c r="K196" s="178"/>
      <c r="L196" s="178" t="s">
        <v>59</v>
      </c>
      <c r="M196" s="178">
        <v>60</v>
      </c>
      <c r="N196" s="178"/>
      <c r="O196" s="178"/>
      <c r="P196" s="178"/>
      <c r="Q196" s="178"/>
      <c r="R196" s="178" t="s">
        <v>19</v>
      </c>
      <c r="S196" s="181"/>
      <c r="T196" s="181"/>
      <c r="U196" s="182"/>
      <c r="V196" s="182" t="s">
        <v>35</v>
      </c>
      <c r="W196" s="183">
        <v>800</v>
      </c>
      <c r="X196" s="182" t="s">
        <v>51</v>
      </c>
      <c r="Y196" s="184"/>
      <c r="Z196" s="184"/>
      <c r="AA196" s="184"/>
      <c r="AB196" s="184"/>
      <c r="AC196" s="184"/>
      <c r="AD196" s="184"/>
      <c r="AE196" s="184"/>
      <c r="AF196" s="184"/>
      <c r="AG196" s="184"/>
      <c r="AH196" s="184"/>
      <c r="AI196" s="184"/>
      <c r="AJ196" s="184"/>
      <c r="AK196" s="184"/>
      <c r="AL196" s="184"/>
      <c r="AM196" s="184"/>
      <c r="AN196" s="184"/>
      <c r="AO196" s="184"/>
      <c r="AP196" s="184"/>
      <c r="AQ196" s="184"/>
      <c r="AR196" s="184"/>
      <c r="AS196" s="184"/>
      <c r="AT196" s="184"/>
      <c r="AU196" s="184"/>
      <c r="AV196" s="184"/>
      <c r="AW196" s="184">
        <v>2760</v>
      </c>
      <c r="AX196" s="184">
        <v>2760</v>
      </c>
      <c r="AY196" s="184">
        <v>2760</v>
      </c>
      <c r="AZ196" s="184">
        <v>2800</v>
      </c>
      <c r="BA196" s="184">
        <v>2800</v>
      </c>
      <c r="BB196" s="184">
        <v>2800</v>
      </c>
      <c r="BC196" s="184">
        <v>2760</v>
      </c>
      <c r="BD196" s="184">
        <v>2760</v>
      </c>
      <c r="BE196" s="184">
        <v>2760</v>
      </c>
      <c r="BF196" s="184">
        <v>2610</v>
      </c>
      <c r="BG196" s="184">
        <v>2610</v>
      </c>
      <c r="BH196" s="184">
        <v>2610</v>
      </c>
      <c r="BI196" s="184"/>
      <c r="BJ196" s="184"/>
      <c r="BK196" s="184"/>
      <c r="BL196" s="184">
        <v>2630</v>
      </c>
      <c r="BM196" s="184">
        <v>2730</v>
      </c>
      <c r="BN196" s="184">
        <v>2730</v>
      </c>
      <c r="BO196" s="184"/>
      <c r="BP196" s="184"/>
      <c r="BQ196" s="184"/>
      <c r="BR196" s="184"/>
      <c r="BS196" s="184"/>
      <c r="BT196" s="184"/>
      <c r="BU196" s="146" cm="1">
        <f t="array" ref="BU196">LOOKUP(2,1/(Y196:BT196&lt;&gt;""),Y196:BH196)</f>
        <v>2730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46174</v>
      </c>
      <c r="BW196" s="211" cm="1">
        <f t="array" ref="BW196">(LOOKUP(2,1/(BH196:BT196&lt;&gt;""),BH196:BT196))/(INDEX(BH196:BT196,MATCH(TRUE,INDEX((BH196:BT196&lt;&gt;0),0),0)))-1</f>
        <v>4.5977011494252817E-2</v>
      </c>
      <c r="BX196" s="212">
        <f t="shared" si="68"/>
        <v>2.73</v>
      </c>
      <c r="BY196" s="212">
        <f t="shared" si="67"/>
        <v>16.106999999999999</v>
      </c>
      <c r="BZ196" s="212">
        <f ca="1">IF(L196="BR",'Impostos e Frete'!$F$6,IF(L196="EU",'Impostos e Frete'!$I$3,IF(L196="CN",'Impostos e Frete'!$I$4,IF(L196="JP",'Impostos e Frete'!$I$5,IF(L196="RU",'Impostos e Frete'!$I$7,"ERRO")))))</f>
        <v>0.14176320000000001</v>
      </c>
      <c r="CA196" s="212">
        <f>VLOOKUP(L196,'Impostos e Frete'!$A$3:$B$7,2,0)*'Preços e Condições'!BY196</f>
        <v>2.0939100000000002</v>
      </c>
      <c r="CB196" s="147">
        <f t="shared" si="69"/>
        <v>0</v>
      </c>
      <c r="CC196" s="147">
        <f>IF(X196="BRL",'Impostos e Frete'!$B$11,'Impostos e Frete'!$B$12)</f>
        <v>9.1999999999999998E-2</v>
      </c>
      <c r="CD196" s="213">
        <f t="shared" ca="1" si="70"/>
        <v>18.434673199999999</v>
      </c>
      <c r="CE196" s="214">
        <f t="shared" ca="1" si="71"/>
        <v>1.2904271239999998</v>
      </c>
      <c r="CF196" s="215">
        <f>VLOOKUP(L196,'Impostos e Frete'!$A$3:$C$7,3,0)</f>
        <v>105</v>
      </c>
      <c r="CG196" s="215">
        <f t="shared" si="72"/>
        <v>60</v>
      </c>
      <c r="CH196" s="215">
        <f t="shared" si="73"/>
        <v>-45</v>
      </c>
      <c r="CI196" s="216">
        <f t="shared" ca="1" si="74"/>
        <v>0.41633170569791389</v>
      </c>
      <c r="CJ196" s="217">
        <f t="shared" ca="1" si="75"/>
        <v>18.851004905697913</v>
      </c>
      <c r="CK196" s="218">
        <f t="shared" ca="1" si="76"/>
        <v>1.3195703433988539</v>
      </c>
    </row>
    <row r="197" spans="1:89">
      <c r="A197" s="176">
        <v>10253</v>
      </c>
      <c r="B197" s="177">
        <v>9370</v>
      </c>
      <c r="C197" s="178">
        <v>70</v>
      </c>
      <c r="D197" s="178">
        <v>1900</v>
      </c>
      <c r="E197" s="178" t="s">
        <v>209</v>
      </c>
      <c r="F197" s="179" t="s">
        <v>470</v>
      </c>
      <c r="G197" s="180" t="s">
        <v>212</v>
      </c>
      <c r="H197" s="178" t="s">
        <v>43</v>
      </c>
      <c r="I197" s="178" t="s">
        <v>213</v>
      </c>
      <c r="J197" s="178"/>
      <c r="K197" s="178"/>
      <c r="L197" s="178" t="s">
        <v>59</v>
      </c>
      <c r="M197" s="178">
        <v>60</v>
      </c>
      <c r="N197" s="178"/>
      <c r="O197" s="178"/>
      <c r="P197" s="178"/>
      <c r="Q197" s="178"/>
      <c r="R197" s="178" t="s">
        <v>19</v>
      </c>
      <c r="S197" s="181"/>
      <c r="T197" s="181"/>
      <c r="U197" s="182"/>
      <c r="V197" s="182" t="s">
        <v>35</v>
      </c>
      <c r="W197" s="183">
        <v>1000</v>
      </c>
      <c r="X197" s="182" t="s">
        <v>51</v>
      </c>
      <c r="Y197" s="184">
        <v>3030</v>
      </c>
      <c r="Z197" s="184">
        <v>3030</v>
      </c>
      <c r="AA197" s="184">
        <v>3030</v>
      </c>
      <c r="AB197" s="184">
        <v>2960</v>
      </c>
      <c r="AC197" s="184">
        <v>2960</v>
      </c>
      <c r="AD197" s="184">
        <v>2960</v>
      </c>
      <c r="AE197" s="184">
        <v>2760</v>
      </c>
      <c r="AF197" s="184">
        <v>2760</v>
      </c>
      <c r="AG197" s="184">
        <v>2760</v>
      </c>
      <c r="AH197" s="184">
        <v>2610</v>
      </c>
      <c r="AI197" s="184">
        <v>2610</v>
      </c>
      <c r="AJ197" s="184">
        <v>2610</v>
      </c>
      <c r="AK197" s="184">
        <v>2610</v>
      </c>
      <c r="AL197" s="184">
        <v>2610</v>
      </c>
      <c r="AM197" s="184">
        <v>2610</v>
      </c>
      <c r="AN197" s="184">
        <v>2730</v>
      </c>
      <c r="AO197" s="184">
        <v>2730</v>
      </c>
      <c r="AP197" s="184">
        <v>2730</v>
      </c>
      <c r="AQ197" s="184">
        <v>2910</v>
      </c>
      <c r="AR197" s="184">
        <v>2910</v>
      </c>
      <c r="AS197" s="184">
        <v>2910</v>
      </c>
      <c r="AT197" s="184">
        <v>2910</v>
      </c>
      <c r="AU197" s="184">
        <v>2910</v>
      </c>
      <c r="AV197" s="184">
        <v>2910</v>
      </c>
      <c r="AW197" s="184"/>
      <c r="AX197" s="184"/>
      <c r="AY197" s="184"/>
      <c r="AZ197" s="184"/>
      <c r="BA197" s="184"/>
      <c r="BB197" s="184"/>
      <c r="BC197" s="184"/>
      <c r="BD197" s="184"/>
      <c r="BE197" s="184"/>
      <c r="BF197" s="184"/>
      <c r="BG197" s="184"/>
      <c r="BH197" s="184"/>
      <c r="BI197" s="184"/>
      <c r="BJ197" s="184"/>
      <c r="BK197" s="184"/>
      <c r="BL197" s="184"/>
      <c r="BM197" s="184"/>
      <c r="BN197" s="184"/>
      <c r="BO197" s="184"/>
      <c r="BP197" s="184"/>
      <c r="BQ197" s="184"/>
      <c r="BR197" s="184"/>
      <c r="BS197" s="184"/>
      <c r="BT197" s="184"/>
      <c r="BU197" s="146" cm="1">
        <f t="array" ref="BU197">LOOKUP(2,1/(Y197:BT197&lt;&gt;""),Y197:BH197)</f>
        <v>2910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45627</v>
      </c>
      <c r="BW197" s="211" t="e" cm="1">
        <f t="array" ref="BW197">(LOOKUP(2,1/(BH197:BT197&lt;&gt;""),BH197:BT197))/(INDEX(BH197:BT197,MATCH(TRUE,INDEX((BH197:BT197&lt;&gt;0),0),0)))-1</f>
        <v>#N/A</v>
      </c>
      <c r="BX197" s="212">
        <f t="shared" si="68"/>
        <v>2.91</v>
      </c>
      <c r="BY197" s="212">
        <f t="shared" si="67"/>
        <v>17.169</v>
      </c>
      <c r="BZ197" s="212">
        <f ca="1">IF(L197="BR",'Impostos e Frete'!$F$6,IF(L197="EU",'Impostos e Frete'!$I$3,IF(L197="CN",'Impostos e Frete'!$I$4,IF(L197="JP",'Impostos e Frete'!$I$5,IF(L197="RU",'Impostos e Frete'!$I$7,"ERRO")))))</f>
        <v>0.14176320000000001</v>
      </c>
      <c r="CA197" s="212">
        <f>VLOOKUP(L197,'Impostos e Frete'!$A$3:$B$7,2,0)*'Preços e Condições'!BY197</f>
        <v>2.23197</v>
      </c>
      <c r="CB197" s="147">
        <f t="shared" si="69"/>
        <v>0</v>
      </c>
      <c r="CC197" s="147">
        <f>IF(X197="BRL",'Impostos e Frete'!$B$11,'Impostos e Frete'!$B$12)</f>
        <v>9.1999999999999998E-2</v>
      </c>
      <c r="CD197" s="213">
        <f t="shared" ca="1" si="70"/>
        <v>19.634733199999999</v>
      </c>
      <c r="CE197" s="214">
        <f t="shared" ca="1" si="71"/>
        <v>1.3744313240000001</v>
      </c>
      <c r="CF197" s="215">
        <f>VLOOKUP(L197,'Impostos e Frete'!$A$3:$C$7,3,0)</f>
        <v>105</v>
      </c>
      <c r="CG197" s="215">
        <f t="shared" si="72"/>
        <v>60</v>
      </c>
      <c r="CH197" s="215">
        <f t="shared" si="73"/>
        <v>-45</v>
      </c>
      <c r="CI197" s="216">
        <f t="shared" ca="1" si="74"/>
        <v>0.44343405903606836</v>
      </c>
      <c r="CJ197" s="217">
        <f t="shared" ca="1" si="75"/>
        <v>20.078167259036068</v>
      </c>
      <c r="CK197" s="218">
        <f t="shared" ca="1" si="76"/>
        <v>1.4054717081325248</v>
      </c>
    </row>
    <row r="198" spans="1:89">
      <c r="A198" s="176">
        <v>10249</v>
      </c>
      <c r="B198" s="177">
        <v>9370</v>
      </c>
      <c r="C198" s="178">
        <v>70</v>
      </c>
      <c r="D198" s="178">
        <v>1900</v>
      </c>
      <c r="E198" s="178" t="s">
        <v>209</v>
      </c>
      <c r="F198" s="179" t="s">
        <v>470</v>
      </c>
      <c r="G198" s="180" t="s">
        <v>83</v>
      </c>
      <c r="H198" s="178" t="s">
        <v>43</v>
      </c>
      <c r="I198" s="178"/>
      <c r="J198" s="178"/>
      <c r="K198" s="178"/>
      <c r="L198" s="178" t="s">
        <v>59</v>
      </c>
      <c r="M198" s="178">
        <v>60</v>
      </c>
      <c r="N198" s="178"/>
      <c r="O198" s="178"/>
      <c r="P198" s="178"/>
      <c r="Q198" s="178"/>
      <c r="R198" s="178" t="s">
        <v>19</v>
      </c>
      <c r="S198" s="181"/>
      <c r="T198" s="181"/>
      <c r="U198" s="182"/>
      <c r="V198" s="182" t="s">
        <v>35</v>
      </c>
      <c r="W198" s="183">
        <v>50</v>
      </c>
      <c r="X198" s="182" t="s">
        <v>51</v>
      </c>
      <c r="Y198" s="184">
        <v>3550</v>
      </c>
      <c r="Z198" s="184">
        <v>3550</v>
      </c>
      <c r="AA198" s="184">
        <v>3550</v>
      </c>
      <c r="AB198" s="184"/>
      <c r="AC198" s="184"/>
      <c r="AD198" s="184"/>
      <c r="AE198" s="184"/>
      <c r="AF198" s="184"/>
      <c r="AG198" s="184"/>
      <c r="AH198" s="184"/>
      <c r="AI198" s="184"/>
      <c r="AJ198" s="184"/>
      <c r="AK198" s="184"/>
      <c r="AL198" s="184"/>
      <c r="AM198" s="184"/>
      <c r="AN198" s="184"/>
      <c r="AO198" s="184"/>
      <c r="AP198" s="184"/>
      <c r="AQ198" s="184"/>
      <c r="AR198" s="184"/>
      <c r="AS198" s="184"/>
      <c r="AT198" s="184"/>
      <c r="AU198" s="184"/>
      <c r="AV198" s="184"/>
      <c r="AW198" s="184"/>
      <c r="AX198" s="184"/>
      <c r="AY198" s="184"/>
      <c r="AZ198" s="184"/>
      <c r="BA198" s="184"/>
      <c r="BB198" s="184"/>
      <c r="BC198" s="184"/>
      <c r="BD198" s="184"/>
      <c r="BE198" s="184"/>
      <c r="BF198" s="184"/>
      <c r="BG198" s="184"/>
      <c r="BH198" s="184"/>
      <c r="BI198" s="184"/>
      <c r="BJ198" s="184"/>
      <c r="BK198" s="184"/>
      <c r="BL198" s="184"/>
      <c r="BM198" s="184"/>
      <c r="BN198" s="184"/>
      <c r="BO198" s="184"/>
      <c r="BP198" s="184"/>
      <c r="BQ198" s="184"/>
      <c r="BR198" s="184"/>
      <c r="BS198" s="184"/>
      <c r="BT198" s="184"/>
      <c r="BU198" s="146" cm="1">
        <f t="array" ref="BU198">LOOKUP(2,1/(Y198:BT198&lt;&gt;""),Y198:BH198)</f>
        <v>3550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44986</v>
      </c>
      <c r="BW198" s="211" t="e" cm="1">
        <f t="array" ref="BW198">(LOOKUP(2,1/(BH198:BT198&lt;&gt;""),BH198:BT198))/(INDEX(BH198:BT198,MATCH(TRUE,INDEX((BH198:BT198&lt;&gt;0),0),0)))-1</f>
        <v>#N/A</v>
      </c>
      <c r="BX198" s="212">
        <f t="shared" si="68"/>
        <v>3.55</v>
      </c>
      <c r="BY198" s="212">
        <f t="shared" si="67"/>
        <v>20.945</v>
      </c>
      <c r="BZ198" s="212">
        <f ca="1">IF(L198="BR",'Impostos e Frete'!$F$6,IF(L198="EU",'Impostos e Frete'!$I$3,IF(L198="CN",'Impostos e Frete'!$I$4,IF(L198="JP",'Impostos e Frete'!$I$5,IF(L198="RU",'Impostos e Frete'!$I$7,"ERRO")))))</f>
        <v>0.14176320000000001</v>
      </c>
      <c r="CA198" s="212">
        <f>VLOOKUP(L198,'Impostos e Frete'!$A$3:$B$7,2,0)*'Preços e Condições'!BY198</f>
        <v>2.7228500000000002</v>
      </c>
      <c r="CB198" s="147">
        <f t="shared" si="69"/>
        <v>0</v>
      </c>
      <c r="CC198" s="147">
        <f>IF(X198="BRL",'Impostos e Frete'!$B$11,'Impostos e Frete'!$B$12)</f>
        <v>9.1999999999999998E-2</v>
      </c>
      <c r="CD198" s="213">
        <f t="shared" ca="1" si="70"/>
        <v>23.9016132</v>
      </c>
      <c r="CE198" s="214">
        <f t="shared" ca="1" si="71"/>
        <v>1.673112924</v>
      </c>
      <c r="CF198" s="215">
        <f>VLOOKUP(L198,'Impostos e Frete'!$A$3:$C$7,3,0)</f>
        <v>105</v>
      </c>
      <c r="CG198" s="215">
        <f t="shared" si="72"/>
        <v>60</v>
      </c>
      <c r="CH198" s="215">
        <f t="shared" si="73"/>
        <v>-45</v>
      </c>
      <c r="CI198" s="216">
        <f t="shared" ca="1" si="74"/>
        <v>0.53979798201617868</v>
      </c>
      <c r="CJ198" s="217">
        <f t="shared" ca="1" si="75"/>
        <v>24.441411182016179</v>
      </c>
      <c r="CK198" s="218">
        <f t="shared" ca="1" si="76"/>
        <v>1.7108987827411326</v>
      </c>
    </row>
    <row r="199" spans="1:89">
      <c r="A199" s="176">
        <v>10249</v>
      </c>
      <c r="B199" s="177">
        <v>9370</v>
      </c>
      <c r="C199" s="178">
        <v>70</v>
      </c>
      <c r="D199" s="178">
        <v>1900</v>
      </c>
      <c r="E199" s="178" t="s">
        <v>209</v>
      </c>
      <c r="F199" s="179" t="s">
        <v>470</v>
      </c>
      <c r="G199" s="180" t="s">
        <v>83</v>
      </c>
      <c r="H199" s="178" t="s">
        <v>43</v>
      </c>
      <c r="I199" s="178"/>
      <c r="J199" s="178"/>
      <c r="K199" s="178"/>
      <c r="L199" s="178" t="s">
        <v>59</v>
      </c>
      <c r="M199" s="178">
        <v>60</v>
      </c>
      <c r="N199" s="178"/>
      <c r="O199" s="178"/>
      <c r="P199" s="178"/>
      <c r="Q199" s="178"/>
      <c r="R199" s="178" t="s">
        <v>19</v>
      </c>
      <c r="S199" s="181"/>
      <c r="T199" s="181"/>
      <c r="U199" s="182"/>
      <c r="V199" s="182" t="s">
        <v>35</v>
      </c>
      <c r="W199" s="183">
        <v>100</v>
      </c>
      <c r="X199" s="182" t="s">
        <v>51</v>
      </c>
      <c r="Y199" s="184">
        <v>3400</v>
      </c>
      <c r="Z199" s="184">
        <v>3400</v>
      </c>
      <c r="AA199" s="184">
        <v>3400</v>
      </c>
      <c r="AB199" s="184"/>
      <c r="AC199" s="184"/>
      <c r="AD199" s="184"/>
      <c r="AE199" s="184"/>
      <c r="AF199" s="184"/>
      <c r="AG199" s="184"/>
      <c r="AH199" s="184"/>
      <c r="AI199" s="184"/>
      <c r="AJ199" s="184"/>
      <c r="AK199" s="184"/>
      <c r="AL199" s="184"/>
      <c r="AM199" s="184"/>
      <c r="AN199" s="184"/>
      <c r="AO199" s="184"/>
      <c r="AP199" s="184"/>
      <c r="AQ199" s="184"/>
      <c r="AR199" s="184"/>
      <c r="AS199" s="184"/>
      <c r="AT199" s="184"/>
      <c r="AU199" s="184"/>
      <c r="AV199" s="184"/>
      <c r="AW199" s="184"/>
      <c r="AX199" s="184"/>
      <c r="AY199" s="184"/>
      <c r="AZ199" s="184"/>
      <c r="BA199" s="184"/>
      <c r="BB199" s="184"/>
      <c r="BC199" s="184"/>
      <c r="BD199" s="184"/>
      <c r="BE199" s="184"/>
      <c r="BF199" s="184"/>
      <c r="BG199" s="184"/>
      <c r="BH199" s="184"/>
      <c r="BI199" s="184"/>
      <c r="BJ199" s="184"/>
      <c r="BK199" s="184"/>
      <c r="BL199" s="184"/>
      <c r="BM199" s="184"/>
      <c r="BN199" s="184"/>
      <c r="BO199" s="184"/>
      <c r="BP199" s="184"/>
      <c r="BQ199" s="184"/>
      <c r="BR199" s="184"/>
      <c r="BS199" s="184"/>
      <c r="BT199" s="184"/>
      <c r="BU199" s="146" cm="1">
        <f t="array" ref="BU199">LOOKUP(2,1/(Y199:BT199&lt;&gt;""),Y199:BH199)</f>
        <v>3400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44986</v>
      </c>
      <c r="BW199" s="211" t="e" cm="1">
        <f t="array" ref="BW199">(LOOKUP(2,1/(BH199:BT199&lt;&gt;""),BH199:BT199))/(INDEX(BH199:BT199,MATCH(TRUE,INDEX((BH199:BT199&lt;&gt;0),0),0)))-1</f>
        <v>#N/A</v>
      </c>
      <c r="BX199" s="212">
        <f t="shared" si="68"/>
        <v>3.4</v>
      </c>
      <c r="BY199" s="212">
        <f t="shared" si="67"/>
        <v>20.060000000000002</v>
      </c>
      <c r="BZ199" s="212">
        <f ca="1">IF(L199="BR",'Impostos e Frete'!$F$6,IF(L199="EU",'Impostos e Frete'!$I$3,IF(L199="CN",'Impostos e Frete'!$I$4,IF(L199="JP",'Impostos e Frete'!$I$5,IF(L199="RU",'Impostos e Frete'!$I$7,"ERRO")))))</f>
        <v>0.14176320000000001</v>
      </c>
      <c r="CA199" s="212">
        <f>VLOOKUP(L199,'Impostos e Frete'!$A$3:$B$7,2,0)*'Preços e Condições'!BY199</f>
        <v>2.6078000000000006</v>
      </c>
      <c r="CB199" s="147">
        <f t="shared" si="69"/>
        <v>0</v>
      </c>
      <c r="CC199" s="147">
        <f>IF(X199="BRL",'Impostos e Frete'!$B$11,'Impostos e Frete'!$B$12)</f>
        <v>9.1999999999999998E-2</v>
      </c>
      <c r="CD199" s="213">
        <f t="shared" ca="1" si="70"/>
        <v>22.901563200000002</v>
      </c>
      <c r="CE199" s="214">
        <f t="shared" ca="1" si="71"/>
        <v>1.6031094240000001</v>
      </c>
      <c r="CF199" s="215">
        <f>VLOOKUP(L199,'Impostos e Frete'!$A$3:$C$7,3,0)</f>
        <v>105</v>
      </c>
      <c r="CG199" s="215">
        <f t="shared" si="72"/>
        <v>60</v>
      </c>
      <c r="CH199" s="215">
        <f t="shared" si="73"/>
        <v>-45</v>
      </c>
      <c r="CI199" s="216">
        <f t="shared" ca="1" si="74"/>
        <v>0.51721268756771721</v>
      </c>
      <c r="CJ199" s="217">
        <f t="shared" ca="1" si="75"/>
        <v>23.418775887567719</v>
      </c>
      <c r="CK199" s="218">
        <f t="shared" ca="1" si="76"/>
        <v>1.6393143121297404</v>
      </c>
    </row>
    <row r="200" spans="1:89">
      <c r="A200" s="176">
        <v>10249</v>
      </c>
      <c r="B200" s="177">
        <v>9370</v>
      </c>
      <c r="C200" s="178">
        <v>70</v>
      </c>
      <c r="D200" s="178">
        <v>1900</v>
      </c>
      <c r="E200" s="178" t="s">
        <v>209</v>
      </c>
      <c r="F200" s="179" t="s">
        <v>470</v>
      </c>
      <c r="G200" s="180" t="s">
        <v>83</v>
      </c>
      <c r="H200" s="178" t="s">
        <v>43</v>
      </c>
      <c r="I200" s="178"/>
      <c r="J200" s="178"/>
      <c r="K200" s="178"/>
      <c r="L200" s="178" t="s">
        <v>59</v>
      </c>
      <c r="M200" s="178">
        <v>60</v>
      </c>
      <c r="N200" s="178"/>
      <c r="O200" s="178"/>
      <c r="P200" s="178"/>
      <c r="Q200" s="178"/>
      <c r="R200" s="178" t="s">
        <v>19</v>
      </c>
      <c r="S200" s="181"/>
      <c r="T200" s="181"/>
      <c r="U200" s="182"/>
      <c r="V200" s="182" t="s">
        <v>35</v>
      </c>
      <c r="W200" s="183">
        <v>150</v>
      </c>
      <c r="X200" s="182" t="s">
        <v>51</v>
      </c>
      <c r="Y200" s="184">
        <v>3350</v>
      </c>
      <c r="Z200" s="184">
        <v>3350</v>
      </c>
      <c r="AA200" s="184">
        <v>3350</v>
      </c>
      <c r="AB200" s="184"/>
      <c r="AC200" s="184"/>
      <c r="AD200" s="184"/>
      <c r="AE200" s="184"/>
      <c r="AF200" s="184"/>
      <c r="AG200" s="184"/>
      <c r="AH200" s="184"/>
      <c r="AI200" s="184"/>
      <c r="AJ200" s="184"/>
      <c r="AK200" s="184"/>
      <c r="AL200" s="184"/>
      <c r="AM200" s="184"/>
      <c r="AN200" s="184"/>
      <c r="AO200" s="184"/>
      <c r="AP200" s="184"/>
      <c r="AQ200" s="184"/>
      <c r="AR200" s="184"/>
      <c r="AS200" s="184"/>
      <c r="AT200" s="184"/>
      <c r="AU200" s="184"/>
      <c r="AV200" s="184"/>
      <c r="AW200" s="184"/>
      <c r="AX200" s="184"/>
      <c r="AY200" s="184"/>
      <c r="AZ200" s="184"/>
      <c r="BA200" s="184"/>
      <c r="BB200" s="184"/>
      <c r="BC200" s="184"/>
      <c r="BD200" s="184"/>
      <c r="BE200" s="184"/>
      <c r="BF200" s="184"/>
      <c r="BG200" s="184"/>
      <c r="BH200" s="184"/>
      <c r="BI200" s="184"/>
      <c r="BJ200" s="184"/>
      <c r="BK200" s="184"/>
      <c r="BL200" s="184"/>
      <c r="BM200" s="184"/>
      <c r="BN200" s="184"/>
      <c r="BO200" s="184"/>
      <c r="BP200" s="184"/>
      <c r="BQ200" s="184"/>
      <c r="BR200" s="184"/>
      <c r="BS200" s="184"/>
      <c r="BT200" s="184"/>
      <c r="BU200" s="146" cm="1">
        <f t="array" ref="BU200">LOOKUP(2,1/(Y200:BT200&lt;&gt;""),Y200:BH200)</f>
        <v>3350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44986</v>
      </c>
      <c r="BW200" s="211" t="e" cm="1">
        <f t="array" ref="BW200">(LOOKUP(2,1/(BH200:BT200&lt;&gt;""),BH200:BT200))/(INDEX(BH200:BT200,MATCH(TRUE,INDEX((BH200:BT200&lt;&gt;0),0),0)))-1</f>
        <v>#N/A</v>
      </c>
      <c r="BX200" s="212">
        <f t="shared" si="68"/>
        <v>3.35</v>
      </c>
      <c r="BY200" s="212">
        <f t="shared" si="67"/>
        <v>19.765000000000001</v>
      </c>
      <c r="BZ200" s="212">
        <f ca="1">IF(L200="BR",'Impostos e Frete'!$F$6,IF(L200="EU",'Impostos e Frete'!$I$3,IF(L200="CN",'Impostos e Frete'!$I$4,IF(L200="JP",'Impostos e Frete'!$I$5,IF(L200="RU",'Impostos e Frete'!$I$7,"ERRO")))))</f>
        <v>0.14176320000000001</v>
      </c>
      <c r="CA200" s="212">
        <f>VLOOKUP(L200,'Impostos e Frete'!$A$3:$B$7,2,0)*'Preços e Condições'!BY200</f>
        <v>2.5694500000000002</v>
      </c>
      <c r="CB200" s="147">
        <f t="shared" si="69"/>
        <v>0</v>
      </c>
      <c r="CC200" s="147">
        <f>IF(X200="BRL",'Impostos e Frete'!$B$11,'Impostos e Frete'!$B$12)</f>
        <v>9.1999999999999998E-2</v>
      </c>
      <c r="CD200" s="213">
        <f t="shared" ca="1" si="70"/>
        <v>22.568213199999999</v>
      </c>
      <c r="CE200" s="214">
        <f t="shared" ca="1" si="71"/>
        <v>1.5797749239999999</v>
      </c>
      <c r="CF200" s="215">
        <f>VLOOKUP(L200,'Impostos e Frete'!$A$3:$C$7,3,0)</f>
        <v>105</v>
      </c>
      <c r="CG200" s="215">
        <f t="shared" si="72"/>
        <v>60</v>
      </c>
      <c r="CH200" s="215">
        <f t="shared" si="73"/>
        <v>-45</v>
      </c>
      <c r="CI200" s="216">
        <f t="shared" ca="1" si="74"/>
        <v>0.50968425608489554</v>
      </c>
      <c r="CJ200" s="217">
        <f t="shared" ca="1" si="75"/>
        <v>23.077897456084894</v>
      </c>
      <c r="CK200" s="218">
        <f t="shared" ca="1" si="76"/>
        <v>1.6154528219259428</v>
      </c>
    </row>
    <row r="201" spans="1:89">
      <c r="A201" s="176">
        <v>10249</v>
      </c>
      <c r="B201" s="177">
        <v>9370</v>
      </c>
      <c r="C201" s="178">
        <v>70</v>
      </c>
      <c r="D201" s="178">
        <v>1900</v>
      </c>
      <c r="E201" s="178" t="s">
        <v>209</v>
      </c>
      <c r="F201" s="179" t="s">
        <v>470</v>
      </c>
      <c r="G201" s="180" t="s">
        <v>83</v>
      </c>
      <c r="H201" s="178" t="s">
        <v>43</v>
      </c>
      <c r="I201" s="178"/>
      <c r="J201" s="178"/>
      <c r="K201" s="178"/>
      <c r="L201" s="178" t="s">
        <v>59</v>
      </c>
      <c r="M201" s="178">
        <v>60</v>
      </c>
      <c r="N201" s="178"/>
      <c r="O201" s="178"/>
      <c r="P201" s="178"/>
      <c r="Q201" s="178"/>
      <c r="R201" s="178" t="s">
        <v>19</v>
      </c>
      <c r="S201" s="181"/>
      <c r="T201" s="181"/>
      <c r="U201" s="182"/>
      <c r="V201" s="182" t="s">
        <v>35</v>
      </c>
      <c r="W201" s="183">
        <v>400</v>
      </c>
      <c r="X201" s="182" t="s">
        <v>51</v>
      </c>
      <c r="Y201" s="184"/>
      <c r="Z201" s="184"/>
      <c r="AA201" s="184"/>
      <c r="AB201" s="146">
        <f t="shared" ref="AB201:AG201" si="77">AB191+200</f>
        <v>200</v>
      </c>
      <c r="AC201" s="146">
        <f t="shared" si="77"/>
        <v>200</v>
      </c>
      <c r="AD201" s="146">
        <f t="shared" si="77"/>
        <v>200</v>
      </c>
      <c r="AE201" s="146">
        <f t="shared" si="77"/>
        <v>200</v>
      </c>
      <c r="AF201" s="146">
        <f t="shared" si="77"/>
        <v>200</v>
      </c>
      <c r="AG201" s="146">
        <f t="shared" si="77"/>
        <v>200</v>
      </c>
      <c r="AH201" s="184">
        <v>2860</v>
      </c>
      <c r="AI201" s="184">
        <v>2860</v>
      </c>
      <c r="AJ201" s="184">
        <v>2860</v>
      </c>
      <c r="AK201" s="184">
        <v>2860</v>
      </c>
      <c r="AL201" s="184">
        <v>2860</v>
      </c>
      <c r="AM201" s="184">
        <v>2860</v>
      </c>
      <c r="AN201" s="184">
        <v>2980</v>
      </c>
      <c r="AO201" s="184">
        <v>2980</v>
      </c>
      <c r="AP201" s="184">
        <v>2980</v>
      </c>
      <c r="AQ201" s="184">
        <v>3160</v>
      </c>
      <c r="AR201" s="184">
        <v>3160</v>
      </c>
      <c r="AS201" s="184">
        <v>3160</v>
      </c>
      <c r="AT201" s="184">
        <v>3160</v>
      </c>
      <c r="AU201" s="184">
        <v>3160</v>
      </c>
      <c r="AV201" s="184">
        <v>3160</v>
      </c>
      <c r="AW201" s="184"/>
      <c r="AX201" s="184"/>
      <c r="AY201" s="184"/>
      <c r="AZ201" s="184"/>
      <c r="BA201" s="184"/>
      <c r="BB201" s="184"/>
      <c r="BC201" s="184">
        <v>3010</v>
      </c>
      <c r="BD201" s="184">
        <v>3010</v>
      </c>
      <c r="BE201" s="184">
        <v>3010</v>
      </c>
      <c r="BF201" s="184">
        <v>2860</v>
      </c>
      <c r="BG201" s="184">
        <v>2860</v>
      </c>
      <c r="BH201" s="184">
        <v>2860</v>
      </c>
      <c r="BI201" s="184"/>
      <c r="BJ201" s="184"/>
      <c r="BK201" s="184"/>
      <c r="BL201" s="184">
        <v>2880</v>
      </c>
      <c r="BM201" s="184">
        <v>2980</v>
      </c>
      <c r="BN201" s="184">
        <v>2980</v>
      </c>
      <c r="BO201" s="184"/>
      <c r="BP201" s="184"/>
      <c r="BQ201" s="184"/>
      <c r="BR201" s="184"/>
      <c r="BS201" s="184"/>
      <c r="BT201" s="184"/>
      <c r="BU201" s="146" cm="1">
        <f t="array" ref="BU201">LOOKUP(2,1/(Y201:BT201&lt;&gt;""),Y201:BH201)</f>
        <v>2980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46174</v>
      </c>
      <c r="BW201" s="211" cm="1">
        <f t="array" ref="BW201">(LOOKUP(2,1/(BH201:BT201&lt;&gt;""),BH201:BT201))/(INDEX(BH201:BT201,MATCH(TRUE,INDEX((BH201:BT201&lt;&gt;0),0),0)))-1</f>
        <v>4.195804195804187E-2</v>
      </c>
      <c r="BX201" s="212">
        <f t="shared" si="68"/>
        <v>2.98</v>
      </c>
      <c r="BY201" s="212">
        <f t="shared" si="67"/>
        <v>17.582000000000001</v>
      </c>
      <c r="BZ201" s="212">
        <f ca="1">IF(L201="BR",'Impostos e Frete'!$F$6,IF(L201="EU",'Impostos e Frete'!$I$3,IF(L201="CN",'Impostos e Frete'!$I$4,IF(L201="JP",'Impostos e Frete'!$I$5,IF(L201="RU",'Impostos e Frete'!$I$7,"ERRO")))))</f>
        <v>0.14176320000000001</v>
      </c>
      <c r="CA201" s="212">
        <f>VLOOKUP(L201,'Impostos e Frete'!$A$3:$B$7,2,0)*'Preços e Condições'!BY201</f>
        <v>2.28566</v>
      </c>
      <c r="CB201" s="147">
        <f t="shared" si="69"/>
        <v>0</v>
      </c>
      <c r="CC201" s="147">
        <f>IF(X201="BRL",'Impostos e Frete'!$B$11,'Impostos e Frete'!$B$12)</f>
        <v>9.1999999999999998E-2</v>
      </c>
      <c r="CD201" s="213">
        <f t="shared" ca="1" si="70"/>
        <v>20.101423199999999</v>
      </c>
      <c r="CE201" s="214">
        <f t="shared" ca="1" si="71"/>
        <v>1.407099624</v>
      </c>
      <c r="CF201" s="215">
        <f>VLOOKUP(L201,'Impostos e Frete'!$A$3:$C$7,3,0)</f>
        <v>105</v>
      </c>
      <c r="CG201" s="215">
        <f t="shared" si="72"/>
        <v>60</v>
      </c>
      <c r="CH201" s="215">
        <f t="shared" si="73"/>
        <v>-45</v>
      </c>
      <c r="CI201" s="216">
        <f t="shared" ca="1" si="74"/>
        <v>0.45397386311201871</v>
      </c>
      <c r="CJ201" s="217">
        <f t="shared" ca="1" si="75"/>
        <v>20.555397063112018</v>
      </c>
      <c r="CK201" s="218">
        <f t="shared" ca="1" si="76"/>
        <v>1.4388777944178412</v>
      </c>
    </row>
    <row r="202" spans="1:89">
      <c r="A202" s="176">
        <v>10249</v>
      </c>
      <c r="B202" s="177">
        <v>9370</v>
      </c>
      <c r="C202" s="178">
        <v>70</v>
      </c>
      <c r="D202" s="178">
        <v>1900</v>
      </c>
      <c r="E202" s="178" t="s">
        <v>209</v>
      </c>
      <c r="F202" s="179" t="s">
        <v>470</v>
      </c>
      <c r="G202" s="180" t="s">
        <v>83</v>
      </c>
      <c r="H202" s="178" t="s">
        <v>43</v>
      </c>
      <c r="I202" s="178"/>
      <c r="J202" s="178"/>
      <c r="K202" s="178"/>
      <c r="L202" s="178" t="s">
        <v>59</v>
      </c>
      <c r="M202" s="178">
        <v>60</v>
      </c>
      <c r="N202" s="178"/>
      <c r="O202" s="178"/>
      <c r="P202" s="178"/>
      <c r="Q202" s="178"/>
      <c r="R202" s="178" t="s">
        <v>19</v>
      </c>
      <c r="S202" s="181"/>
      <c r="T202" s="181"/>
      <c r="U202" s="182"/>
      <c r="V202" s="182" t="s">
        <v>35</v>
      </c>
      <c r="W202" s="183">
        <v>1000</v>
      </c>
      <c r="X202" s="182" t="s">
        <v>51</v>
      </c>
      <c r="Y202" s="184"/>
      <c r="Z202" s="184"/>
      <c r="AA202" s="184"/>
      <c r="AB202" s="146">
        <f t="shared" ref="AB202:AG202" si="78">AB193+200</f>
        <v>200</v>
      </c>
      <c r="AC202" s="146">
        <f t="shared" si="78"/>
        <v>200</v>
      </c>
      <c r="AD202" s="146">
        <f t="shared" si="78"/>
        <v>200</v>
      </c>
      <c r="AE202" s="146">
        <f t="shared" si="78"/>
        <v>200</v>
      </c>
      <c r="AF202" s="146">
        <f t="shared" si="78"/>
        <v>200</v>
      </c>
      <c r="AG202" s="146">
        <f t="shared" si="78"/>
        <v>200</v>
      </c>
      <c r="AH202" s="184">
        <v>2810</v>
      </c>
      <c r="AI202" s="184">
        <v>2810</v>
      </c>
      <c r="AJ202" s="184">
        <v>2810</v>
      </c>
      <c r="AK202" s="184">
        <v>2810</v>
      </c>
      <c r="AL202" s="184">
        <v>2810</v>
      </c>
      <c r="AM202" s="184">
        <v>2810</v>
      </c>
      <c r="AN202" s="184">
        <v>2930</v>
      </c>
      <c r="AO202" s="184">
        <v>2930</v>
      </c>
      <c r="AP202" s="184">
        <v>2930</v>
      </c>
      <c r="AQ202" s="184">
        <v>3110</v>
      </c>
      <c r="AR202" s="184">
        <v>3110</v>
      </c>
      <c r="AS202" s="184">
        <v>3110</v>
      </c>
      <c r="AT202" s="184">
        <v>3110</v>
      </c>
      <c r="AU202" s="184">
        <v>3110</v>
      </c>
      <c r="AV202" s="184">
        <v>3110</v>
      </c>
      <c r="AW202" s="184"/>
      <c r="AX202" s="184"/>
      <c r="AY202" s="184"/>
      <c r="AZ202" s="184"/>
      <c r="BA202" s="184"/>
      <c r="BB202" s="184"/>
      <c r="BC202" s="184"/>
      <c r="BD202" s="184"/>
      <c r="BE202" s="184"/>
      <c r="BF202" s="184"/>
      <c r="BG202" s="184"/>
      <c r="BH202" s="184"/>
      <c r="BI202" s="184"/>
      <c r="BJ202" s="184"/>
      <c r="BK202" s="184"/>
      <c r="BL202" s="184"/>
      <c r="BM202" s="184"/>
      <c r="BN202" s="184"/>
      <c r="BO202" s="184"/>
      <c r="BP202" s="184"/>
      <c r="BQ202" s="184"/>
      <c r="BR202" s="184"/>
      <c r="BS202" s="184"/>
      <c r="BT202" s="184"/>
      <c r="BU202" s="146" cm="1">
        <f t="array" ref="BU202">LOOKUP(2,1/(Y202:BT202&lt;&gt;""),Y202:BH202)</f>
        <v>3110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45627</v>
      </c>
      <c r="BW202" s="211" t="e" cm="1">
        <f t="array" ref="BW202">(LOOKUP(2,1/(BH202:BT202&lt;&gt;""),BH202:BT202))/(INDEX(BH202:BT202,MATCH(TRUE,INDEX((BH202:BT202&lt;&gt;0),0),0)))-1</f>
        <v>#N/A</v>
      </c>
      <c r="BX202" s="212">
        <f t="shared" si="68"/>
        <v>3.11</v>
      </c>
      <c r="BY202" s="212">
        <f t="shared" si="67"/>
        <v>18.349</v>
      </c>
      <c r="BZ202" s="212">
        <f ca="1">IF(L202="BR",'Impostos e Frete'!$F$6,IF(L202="EU",'Impostos e Frete'!$I$3,IF(L202="CN",'Impostos e Frete'!$I$4,IF(L202="JP",'Impostos e Frete'!$I$5,IF(L202="RU",'Impostos e Frete'!$I$7,"ERRO")))))</f>
        <v>0.14176320000000001</v>
      </c>
      <c r="CA202" s="212">
        <f>VLOOKUP(L202,'Impostos e Frete'!$A$3:$B$7,2,0)*'Preços e Condições'!BY202</f>
        <v>2.38537</v>
      </c>
      <c r="CB202" s="147">
        <f t="shared" si="69"/>
        <v>0</v>
      </c>
      <c r="CC202" s="147">
        <f>IF(X202="BRL",'Impostos e Frete'!$B$11,'Impostos e Frete'!$B$12)</f>
        <v>9.1999999999999998E-2</v>
      </c>
      <c r="CD202" s="213">
        <f t="shared" ca="1" si="70"/>
        <v>20.968133199999997</v>
      </c>
      <c r="CE202" s="214">
        <f t="shared" ca="1" si="71"/>
        <v>1.4677693239999996</v>
      </c>
      <c r="CF202" s="215">
        <f>VLOOKUP(L202,'Impostos e Frete'!$A$3:$C$7,3,0)</f>
        <v>105</v>
      </c>
      <c r="CG202" s="215">
        <f t="shared" si="72"/>
        <v>60</v>
      </c>
      <c r="CH202" s="215">
        <f t="shared" si="73"/>
        <v>-45</v>
      </c>
      <c r="CI202" s="216">
        <f t="shared" ca="1" si="74"/>
        <v>0.47354778496735506</v>
      </c>
      <c r="CJ202" s="217">
        <f t="shared" ca="1" si="75"/>
        <v>21.441680984967352</v>
      </c>
      <c r="CK202" s="218">
        <f t="shared" ca="1" si="76"/>
        <v>1.5009176689477146</v>
      </c>
    </row>
    <row r="203" spans="1:89">
      <c r="A203" s="176">
        <v>10255</v>
      </c>
      <c r="B203" s="177">
        <v>9370</v>
      </c>
      <c r="C203" s="178">
        <v>70</v>
      </c>
      <c r="D203" s="178">
        <v>1880</v>
      </c>
      <c r="E203" s="178" t="s">
        <v>209</v>
      </c>
      <c r="F203" s="179" t="s">
        <v>470</v>
      </c>
      <c r="G203" s="180" t="s">
        <v>82</v>
      </c>
      <c r="H203" s="178" t="s">
        <v>43</v>
      </c>
      <c r="I203" s="178"/>
      <c r="J203" s="178"/>
      <c r="K203" s="178"/>
      <c r="L203" s="178" t="s">
        <v>59</v>
      </c>
      <c r="M203" s="178">
        <v>60</v>
      </c>
      <c r="N203" s="178"/>
      <c r="O203" s="178"/>
      <c r="P203" s="178"/>
      <c r="Q203" s="178"/>
      <c r="R203" s="178" t="s">
        <v>19</v>
      </c>
      <c r="S203" s="181"/>
      <c r="T203" s="181"/>
      <c r="U203" s="182"/>
      <c r="V203" s="182" t="s">
        <v>35</v>
      </c>
      <c r="W203" s="183">
        <v>400</v>
      </c>
      <c r="X203" s="182" t="s">
        <v>51</v>
      </c>
      <c r="Y203" s="184">
        <v>3080</v>
      </c>
      <c r="Z203" s="184">
        <v>3080</v>
      </c>
      <c r="AA203" s="184">
        <v>3080</v>
      </c>
      <c r="AB203" s="184">
        <v>3010</v>
      </c>
      <c r="AC203" s="184">
        <v>3010</v>
      </c>
      <c r="AD203" s="184">
        <v>3010</v>
      </c>
      <c r="AE203" s="184">
        <v>2810</v>
      </c>
      <c r="AF203" s="184">
        <v>2810</v>
      </c>
      <c r="AG203" s="184">
        <v>2810</v>
      </c>
      <c r="AH203" s="184">
        <v>2660</v>
      </c>
      <c r="AI203" s="184">
        <v>2660</v>
      </c>
      <c r="AJ203" s="184">
        <v>2660</v>
      </c>
      <c r="AK203" s="184">
        <v>2660</v>
      </c>
      <c r="AL203" s="184">
        <v>2660</v>
      </c>
      <c r="AM203" s="184">
        <v>2660</v>
      </c>
      <c r="AN203" s="184">
        <v>2780</v>
      </c>
      <c r="AO203" s="184">
        <v>2780</v>
      </c>
      <c r="AP203" s="184">
        <v>2780</v>
      </c>
      <c r="AQ203" s="184">
        <v>2960</v>
      </c>
      <c r="AR203" s="184">
        <v>2960</v>
      </c>
      <c r="AS203" s="184">
        <v>2960</v>
      </c>
      <c r="AT203" s="184">
        <v>2960</v>
      </c>
      <c r="AU203" s="184">
        <v>2960</v>
      </c>
      <c r="AV203" s="184">
        <v>2960</v>
      </c>
      <c r="AW203" s="184">
        <v>2810</v>
      </c>
      <c r="AX203" s="184">
        <v>2810</v>
      </c>
      <c r="AY203" s="184">
        <v>2810</v>
      </c>
      <c r="AZ203" s="184">
        <v>2850</v>
      </c>
      <c r="BA203" s="184">
        <v>2850</v>
      </c>
      <c r="BB203" s="184">
        <v>2850</v>
      </c>
      <c r="BC203" s="184">
        <v>2810</v>
      </c>
      <c r="BD203" s="184">
        <v>2810</v>
      </c>
      <c r="BE203" s="184">
        <v>2810</v>
      </c>
      <c r="BF203" s="184">
        <v>2660</v>
      </c>
      <c r="BG203" s="184">
        <v>2660</v>
      </c>
      <c r="BH203" s="184">
        <v>2660</v>
      </c>
      <c r="BI203" s="184"/>
      <c r="BJ203" s="184"/>
      <c r="BK203" s="184"/>
      <c r="BL203" s="184">
        <v>2680</v>
      </c>
      <c r="BM203" s="184">
        <v>2780</v>
      </c>
      <c r="BN203" s="184">
        <v>2780</v>
      </c>
      <c r="BO203" s="184"/>
      <c r="BP203" s="184"/>
      <c r="BQ203" s="184"/>
      <c r="BR203" s="184"/>
      <c r="BS203" s="184"/>
      <c r="BT203" s="184"/>
      <c r="BU203" s="146" cm="1">
        <f t="array" ref="BU203">LOOKUP(2,1/(Y203:BT203&lt;&gt;""),Y203:BH203)</f>
        <v>2780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46174</v>
      </c>
      <c r="BW203" s="211" cm="1">
        <f t="array" ref="BW203">(LOOKUP(2,1/(BH203:BT203&lt;&gt;""),BH203:BT203))/(INDEX(BH203:BT203,MATCH(TRUE,INDEX((BH203:BT203&lt;&gt;0),0),0)))-1</f>
        <v>4.5112781954887327E-2</v>
      </c>
      <c r="BX203" s="212">
        <f t="shared" si="68"/>
        <v>2.78</v>
      </c>
      <c r="BY203" s="212">
        <f t="shared" si="67"/>
        <v>16.402000000000001</v>
      </c>
      <c r="BZ203" s="212">
        <f ca="1">IF(L203="BR",'Impostos e Frete'!$F$6,IF(L203="EU",'Impostos e Frete'!$I$3,IF(L203="CN",'Impostos e Frete'!$I$4,IF(L203="JP",'Impostos e Frete'!$I$5,IF(L203="RU",'Impostos e Frete'!$I$7,"ERRO")))))</f>
        <v>0.14176320000000001</v>
      </c>
      <c r="CA203" s="212">
        <f>VLOOKUP(L203,'Impostos e Frete'!$A$3:$B$7,2,0)*'Preços e Condições'!BY203</f>
        <v>2.13226</v>
      </c>
      <c r="CB203" s="147">
        <f t="shared" si="69"/>
        <v>0</v>
      </c>
      <c r="CC203" s="147">
        <f>IF(X203="BRL",'Impostos e Frete'!$B$11,'Impostos e Frete'!$B$12)</f>
        <v>9.1999999999999998E-2</v>
      </c>
      <c r="CD203" s="213">
        <f t="shared" ca="1" si="70"/>
        <v>18.768023199999998</v>
      </c>
      <c r="CE203" s="214">
        <f t="shared" ca="1" si="71"/>
        <v>1.3137616239999999</v>
      </c>
      <c r="CF203" s="215">
        <f>VLOOKUP(L203,'Impostos e Frete'!$A$3:$C$7,3,0)</f>
        <v>105</v>
      </c>
      <c r="CG203" s="215">
        <f t="shared" si="72"/>
        <v>60</v>
      </c>
      <c r="CH203" s="215">
        <f t="shared" si="73"/>
        <v>-45</v>
      </c>
      <c r="CI203" s="216">
        <f t="shared" ca="1" si="74"/>
        <v>0.42386013718073556</v>
      </c>
      <c r="CJ203" s="217">
        <f t="shared" ca="1" si="75"/>
        <v>19.191883337180734</v>
      </c>
      <c r="CK203" s="218">
        <f t="shared" ca="1" si="76"/>
        <v>1.3434318336026514</v>
      </c>
    </row>
    <row r="204" spans="1:89">
      <c r="A204" s="176">
        <v>10255</v>
      </c>
      <c r="B204" s="177">
        <v>9370</v>
      </c>
      <c r="C204" s="178">
        <v>70</v>
      </c>
      <c r="D204" s="178">
        <v>1880</v>
      </c>
      <c r="E204" s="178" t="s">
        <v>209</v>
      </c>
      <c r="F204" s="179" t="s">
        <v>470</v>
      </c>
      <c r="G204" s="180" t="s">
        <v>82</v>
      </c>
      <c r="H204" s="178" t="s">
        <v>43</v>
      </c>
      <c r="I204" s="178"/>
      <c r="J204" s="178"/>
      <c r="K204" s="178"/>
      <c r="L204" s="178" t="s">
        <v>59</v>
      </c>
      <c r="M204" s="178">
        <v>60</v>
      </c>
      <c r="N204" s="178"/>
      <c r="O204" s="178"/>
      <c r="P204" s="178"/>
      <c r="Q204" s="178"/>
      <c r="R204" s="178" t="s">
        <v>19</v>
      </c>
      <c r="S204" s="181"/>
      <c r="T204" s="181"/>
      <c r="U204" s="182"/>
      <c r="V204" s="182" t="s">
        <v>35</v>
      </c>
      <c r="W204" s="183">
        <v>800</v>
      </c>
      <c r="X204" s="182" t="s">
        <v>51</v>
      </c>
      <c r="Y204" s="184"/>
      <c r="Z204" s="184"/>
      <c r="AA204" s="184"/>
      <c r="AB204" s="184"/>
      <c r="AC204" s="184"/>
      <c r="AD204" s="184"/>
      <c r="AE204" s="184"/>
      <c r="AF204" s="184"/>
      <c r="AG204" s="184"/>
      <c r="AH204" s="184"/>
      <c r="AI204" s="184"/>
      <c r="AJ204" s="184"/>
      <c r="AK204" s="184"/>
      <c r="AL204" s="184"/>
      <c r="AM204" s="184"/>
      <c r="AN204" s="184"/>
      <c r="AO204" s="184"/>
      <c r="AP204" s="184"/>
      <c r="AQ204" s="184"/>
      <c r="AR204" s="184"/>
      <c r="AS204" s="184"/>
      <c r="AT204" s="184"/>
      <c r="AU204" s="184"/>
      <c r="AV204" s="184"/>
      <c r="AW204" s="184">
        <v>2760</v>
      </c>
      <c r="AX204" s="184">
        <v>2760</v>
      </c>
      <c r="AY204" s="184">
        <v>2760</v>
      </c>
      <c r="AZ204" s="184">
        <v>2800</v>
      </c>
      <c r="BA204" s="184">
        <v>2800</v>
      </c>
      <c r="BB204" s="184">
        <v>2800</v>
      </c>
      <c r="BC204" s="184">
        <v>2760</v>
      </c>
      <c r="BD204" s="184">
        <v>2760</v>
      </c>
      <c r="BE204" s="184">
        <v>2760</v>
      </c>
      <c r="BF204" s="184">
        <v>2610</v>
      </c>
      <c r="BG204" s="184">
        <v>2610</v>
      </c>
      <c r="BH204" s="184">
        <v>2610</v>
      </c>
      <c r="BI204" s="184"/>
      <c r="BJ204" s="184"/>
      <c r="BK204" s="184"/>
      <c r="BL204" s="184">
        <v>2630</v>
      </c>
      <c r="BM204" s="184">
        <v>2730</v>
      </c>
      <c r="BN204" s="184">
        <v>2730</v>
      </c>
      <c r="BO204" s="184"/>
      <c r="BP204" s="184"/>
      <c r="BQ204" s="184"/>
      <c r="BR204" s="184"/>
      <c r="BS204" s="184"/>
      <c r="BT204" s="184"/>
      <c r="BU204" s="146" cm="1">
        <f t="array" ref="BU204">LOOKUP(2,1/(Y204:BT204&lt;&gt;""),Y204:BH204)</f>
        <v>2730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46174</v>
      </c>
      <c r="BW204" s="211" cm="1">
        <f t="array" ref="BW204">(LOOKUP(2,1/(BH204:BT204&lt;&gt;""),BH204:BT204))/(INDEX(BH204:BT204,MATCH(TRUE,INDEX((BH204:BT204&lt;&gt;0),0),0)))-1</f>
        <v>4.5977011494252817E-2</v>
      </c>
      <c r="BX204" s="212">
        <f t="shared" si="68"/>
        <v>2.73</v>
      </c>
      <c r="BY204" s="212">
        <f t="shared" si="67"/>
        <v>16.106999999999999</v>
      </c>
      <c r="BZ204" s="212">
        <f ca="1">IF(L204="BR",'Impostos e Frete'!$F$6,IF(L204="EU",'Impostos e Frete'!$I$3,IF(L204="CN",'Impostos e Frete'!$I$4,IF(L204="JP",'Impostos e Frete'!$I$5,IF(L204="RU",'Impostos e Frete'!$I$7,"ERRO")))))</f>
        <v>0.14176320000000001</v>
      </c>
      <c r="CA204" s="212">
        <f>VLOOKUP(L204,'Impostos e Frete'!$A$3:$B$7,2,0)*'Preços e Condições'!BY204</f>
        <v>2.0939100000000002</v>
      </c>
      <c r="CB204" s="147">
        <f t="shared" si="69"/>
        <v>0</v>
      </c>
      <c r="CC204" s="147">
        <f>IF(X204="BRL",'Impostos e Frete'!$B$11,'Impostos e Frete'!$B$12)</f>
        <v>9.1999999999999998E-2</v>
      </c>
      <c r="CD204" s="213">
        <f t="shared" ca="1" si="70"/>
        <v>18.434673199999999</v>
      </c>
      <c r="CE204" s="214">
        <f t="shared" ca="1" si="71"/>
        <v>1.2904271239999998</v>
      </c>
      <c r="CF204" s="215">
        <f>VLOOKUP(L204,'Impostos e Frete'!$A$3:$C$7,3,0)</f>
        <v>105</v>
      </c>
      <c r="CG204" s="215">
        <f t="shared" si="72"/>
        <v>60</v>
      </c>
      <c r="CH204" s="215">
        <f t="shared" si="73"/>
        <v>-45</v>
      </c>
      <c r="CI204" s="216">
        <f t="shared" ca="1" si="74"/>
        <v>0.41633170569791389</v>
      </c>
      <c r="CJ204" s="217">
        <f t="shared" ca="1" si="75"/>
        <v>18.851004905697913</v>
      </c>
      <c r="CK204" s="218">
        <f t="shared" ca="1" si="76"/>
        <v>1.3195703433988539</v>
      </c>
    </row>
    <row r="205" spans="1:89">
      <c r="A205" s="176">
        <v>10256</v>
      </c>
      <c r="B205" s="177">
        <v>9370</v>
      </c>
      <c r="C205" s="178">
        <v>70</v>
      </c>
      <c r="D205" s="178">
        <v>1880</v>
      </c>
      <c r="E205" s="178" t="s">
        <v>209</v>
      </c>
      <c r="F205" s="179" t="s">
        <v>470</v>
      </c>
      <c r="G205" s="180" t="s">
        <v>308</v>
      </c>
      <c r="H205" s="178" t="s">
        <v>43</v>
      </c>
      <c r="I205" s="178"/>
      <c r="J205" s="178"/>
      <c r="K205" s="178"/>
      <c r="L205" s="178" t="s">
        <v>59</v>
      </c>
      <c r="M205" s="178">
        <v>60</v>
      </c>
      <c r="N205" s="178"/>
      <c r="O205" s="178"/>
      <c r="P205" s="178"/>
      <c r="Q205" s="178"/>
      <c r="R205" s="178" t="s">
        <v>19</v>
      </c>
      <c r="S205" s="181"/>
      <c r="T205" s="181"/>
      <c r="U205" s="182"/>
      <c r="V205" s="182" t="s">
        <v>35</v>
      </c>
      <c r="W205" s="183">
        <v>400</v>
      </c>
      <c r="X205" s="182" t="s">
        <v>51</v>
      </c>
      <c r="Y205" s="184">
        <v>3080</v>
      </c>
      <c r="Z205" s="184">
        <v>3080</v>
      </c>
      <c r="AA205" s="184">
        <v>3080</v>
      </c>
      <c r="AB205" s="184">
        <v>3010</v>
      </c>
      <c r="AC205" s="184">
        <v>3010</v>
      </c>
      <c r="AD205" s="184">
        <v>3010</v>
      </c>
      <c r="AE205" s="184">
        <v>2810</v>
      </c>
      <c r="AF205" s="184">
        <v>2810</v>
      </c>
      <c r="AG205" s="184">
        <v>2810</v>
      </c>
      <c r="AH205" s="184">
        <v>2660</v>
      </c>
      <c r="AI205" s="184">
        <v>2660</v>
      </c>
      <c r="AJ205" s="184">
        <v>2660</v>
      </c>
      <c r="AK205" s="184">
        <v>2660</v>
      </c>
      <c r="AL205" s="184">
        <v>2660</v>
      </c>
      <c r="AM205" s="184">
        <v>2660</v>
      </c>
      <c r="AN205" s="184">
        <v>2780</v>
      </c>
      <c r="AO205" s="184">
        <v>2780</v>
      </c>
      <c r="AP205" s="184">
        <v>2780</v>
      </c>
      <c r="AQ205" s="184">
        <v>2960</v>
      </c>
      <c r="AR205" s="184">
        <v>2960</v>
      </c>
      <c r="AS205" s="184">
        <v>2960</v>
      </c>
      <c r="AT205" s="184">
        <v>2960</v>
      </c>
      <c r="AU205" s="184">
        <v>2960</v>
      </c>
      <c r="AV205" s="184">
        <v>2960</v>
      </c>
      <c r="AW205" s="184">
        <v>2810</v>
      </c>
      <c r="AX205" s="184">
        <v>2810</v>
      </c>
      <c r="AY205" s="184">
        <v>2810</v>
      </c>
      <c r="AZ205" s="184">
        <v>2850</v>
      </c>
      <c r="BA205" s="184">
        <v>2850</v>
      </c>
      <c r="BB205" s="184">
        <v>2850</v>
      </c>
      <c r="BC205" s="184">
        <v>2810</v>
      </c>
      <c r="BD205" s="184">
        <v>2810</v>
      </c>
      <c r="BE205" s="184">
        <v>2810</v>
      </c>
      <c r="BF205" s="184">
        <v>2660</v>
      </c>
      <c r="BG205" s="184">
        <v>2660</v>
      </c>
      <c r="BH205" s="184">
        <v>2660</v>
      </c>
      <c r="BI205" s="184"/>
      <c r="BJ205" s="184"/>
      <c r="BK205" s="184"/>
      <c r="BL205" s="184">
        <v>2680</v>
      </c>
      <c r="BM205" s="184">
        <v>2780</v>
      </c>
      <c r="BN205" s="184">
        <v>2780</v>
      </c>
      <c r="BO205" s="184"/>
      <c r="BP205" s="184"/>
      <c r="BQ205" s="184"/>
      <c r="BR205" s="184"/>
      <c r="BS205" s="184"/>
      <c r="BT205" s="184"/>
      <c r="BU205" s="146" cm="1">
        <f t="array" ref="BU205">LOOKUP(2,1/(Y205:BT205&lt;&gt;""),Y205:BH205)</f>
        <v>2780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46174</v>
      </c>
      <c r="BW205" s="211" cm="1">
        <f t="array" ref="BW205">(LOOKUP(2,1/(BH205:BT205&lt;&gt;""),BH205:BT205))/(INDEX(BH205:BT205,MATCH(TRUE,INDEX((BH205:BT205&lt;&gt;0),0),0)))-1</f>
        <v>4.5112781954887327E-2</v>
      </c>
      <c r="BX205" s="212">
        <f t="shared" si="68"/>
        <v>2.78</v>
      </c>
      <c r="BY205" s="212">
        <f t="shared" si="67"/>
        <v>16.402000000000001</v>
      </c>
      <c r="BZ205" s="212">
        <f ca="1">IF(L205="BR",'Impostos e Frete'!$F$6,IF(L205="EU",'Impostos e Frete'!$I$3,IF(L205="CN",'Impostos e Frete'!$I$4,IF(L205="JP",'Impostos e Frete'!$I$5,IF(L205="RU",'Impostos e Frete'!$I$7,"ERRO")))))</f>
        <v>0.14176320000000001</v>
      </c>
      <c r="CA205" s="212">
        <f>VLOOKUP(L205,'Impostos e Frete'!$A$3:$B$7,2,0)*'Preços e Condições'!BY205</f>
        <v>2.13226</v>
      </c>
      <c r="CB205" s="147">
        <f t="shared" si="69"/>
        <v>0</v>
      </c>
      <c r="CC205" s="147">
        <f>IF(X205="BRL",'Impostos e Frete'!$B$11,'Impostos e Frete'!$B$12)</f>
        <v>9.1999999999999998E-2</v>
      </c>
      <c r="CD205" s="213">
        <f t="shared" ca="1" si="70"/>
        <v>18.768023199999998</v>
      </c>
      <c r="CE205" s="214">
        <f t="shared" ca="1" si="71"/>
        <v>1.3137616239999999</v>
      </c>
      <c r="CF205" s="215">
        <f>VLOOKUP(L205,'Impostos e Frete'!$A$3:$C$7,3,0)</f>
        <v>105</v>
      </c>
      <c r="CG205" s="215">
        <f t="shared" si="72"/>
        <v>60</v>
      </c>
      <c r="CH205" s="215">
        <f t="shared" si="73"/>
        <v>-45</v>
      </c>
      <c r="CI205" s="216">
        <f t="shared" ca="1" si="74"/>
        <v>0.42386013718073556</v>
      </c>
      <c r="CJ205" s="217">
        <f t="shared" ca="1" si="75"/>
        <v>19.191883337180734</v>
      </c>
      <c r="CK205" s="218">
        <f t="shared" ca="1" si="76"/>
        <v>1.3434318336026514</v>
      </c>
    </row>
    <row r="206" spans="1:89">
      <c r="A206" s="176">
        <v>10256</v>
      </c>
      <c r="B206" s="177">
        <v>9370</v>
      </c>
      <c r="C206" s="178">
        <v>70</v>
      </c>
      <c r="D206" s="178">
        <v>1880</v>
      </c>
      <c r="E206" s="178" t="s">
        <v>209</v>
      </c>
      <c r="F206" s="179" t="s">
        <v>470</v>
      </c>
      <c r="G206" s="180" t="s">
        <v>308</v>
      </c>
      <c r="H206" s="178" t="s">
        <v>43</v>
      </c>
      <c r="I206" s="178"/>
      <c r="J206" s="178"/>
      <c r="K206" s="178"/>
      <c r="L206" s="178" t="s">
        <v>59</v>
      </c>
      <c r="M206" s="178">
        <v>60</v>
      </c>
      <c r="N206" s="178"/>
      <c r="O206" s="178"/>
      <c r="P206" s="178"/>
      <c r="Q206" s="178"/>
      <c r="R206" s="178" t="s">
        <v>19</v>
      </c>
      <c r="S206" s="181"/>
      <c r="T206" s="181"/>
      <c r="U206" s="182"/>
      <c r="V206" s="182" t="s">
        <v>35</v>
      </c>
      <c r="W206" s="183">
        <v>800</v>
      </c>
      <c r="X206" s="182" t="s">
        <v>51</v>
      </c>
      <c r="Y206" s="184"/>
      <c r="Z206" s="184"/>
      <c r="AA206" s="184"/>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v>2760</v>
      </c>
      <c r="AX206" s="184">
        <v>2760</v>
      </c>
      <c r="AY206" s="184">
        <v>2760</v>
      </c>
      <c r="AZ206" s="184">
        <v>2800</v>
      </c>
      <c r="BA206" s="184">
        <v>2800</v>
      </c>
      <c r="BB206" s="184">
        <v>2800</v>
      </c>
      <c r="BC206" s="184">
        <v>2760</v>
      </c>
      <c r="BD206" s="184">
        <v>2760</v>
      </c>
      <c r="BE206" s="184">
        <v>2760</v>
      </c>
      <c r="BF206" s="184">
        <v>2610</v>
      </c>
      <c r="BG206" s="184">
        <v>2610</v>
      </c>
      <c r="BH206" s="184">
        <v>2610</v>
      </c>
      <c r="BI206" s="184"/>
      <c r="BJ206" s="184"/>
      <c r="BK206" s="184"/>
      <c r="BL206" s="184">
        <v>2630</v>
      </c>
      <c r="BM206" s="184">
        <v>2730</v>
      </c>
      <c r="BN206" s="184">
        <v>2730</v>
      </c>
      <c r="BO206" s="184"/>
      <c r="BP206" s="184"/>
      <c r="BQ206" s="184"/>
      <c r="BR206" s="184"/>
      <c r="BS206" s="184"/>
      <c r="BT206" s="184"/>
      <c r="BU206" s="146" cm="1">
        <f t="array" ref="BU206">LOOKUP(2,1/(Y206:BT206&lt;&gt;""),Y206:BH206)</f>
        <v>2730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46174</v>
      </c>
      <c r="BW206" s="211" cm="1">
        <f t="array" ref="BW206">(LOOKUP(2,1/(BH206:BT206&lt;&gt;""),BH206:BT206))/(INDEX(BH206:BT206,MATCH(TRUE,INDEX((BH206:BT206&lt;&gt;0),0),0)))-1</f>
        <v>4.5977011494252817E-2</v>
      </c>
      <c r="BX206" s="212">
        <f t="shared" si="68"/>
        <v>2.73</v>
      </c>
      <c r="BY206" s="212">
        <f t="shared" si="67"/>
        <v>16.106999999999999</v>
      </c>
      <c r="BZ206" s="212">
        <f ca="1">IF(L206="BR",'Impostos e Frete'!$F$6,IF(L206="EU",'Impostos e Frete'!$I$3,IF(L206="CN",'Impostos e Frete'!$I$4,IF(L206="JP",'Impostos e Frete'!$I$5,IF(L206="RU",'Impostos e Frete'!$I$7,"ERRO")))))</f>
        <v>0.14176320000000001</v>
      </c>
      <c r="CA206" s="212">
        <f>VLOOKUP(L206,'Impostos e Frete'!$A$3:$B$7,2,0)*'Preços e Condições'!BY206</f>
        <v>2.0939100000000002</v>
      </c>
      <c r="CB206" s="147">
        <f t="shared" si="69"/>
        <v>0</v>
      </c>
      <c r="CC206" s="147">
        <f>IF(X206="BRL",'Impostos e Frete'!$B$11,'Impostos e Frete'!$B$12)</f>
        <v>9.1999999999999998E-2</v>
      </c>
      <c r="CD206" s="213">
        <f t="shared" ca="1" si="70"/>
        <v>18.434673199999999</v>
      </c>
      <c r="CE206" s="214">
        <f t="shared" ca="1" si="71"/>
        <v>1.2904271239999998</v>
      </c>
      <c r="CF206" s="215">
        <f>VLOOKUP(L206,'Impostos e Frete'!$A$3:$C$7,3,0)</f>
        <v>105</v>
      </c>
      <c r="CG206" s="215">
        <f t="shared" si="72"/>
        <v>60</v>
      </c>
      <c r="CH206" s="215">
        <f t="shared" si="73"/>
        <v>-45</v>
      </c>
      <c r="CI206" s="216">
        <f t="shared" ca="1" si="74"/>
        <v>0.41633170569791389</v>
      </c>
      <c r="CJ206" s="217">
        <f t="shared" ca="1" si="75"/>
        <v>18.851004905697913</v>
      </c>
      <c r="CK206" s="218">
        <f t="shared" ca="1" si="76"/>
        <v>1.3195703433988539</v>
      </c>
    </row>
    <row r="207" spans="1:89">
      <c r="A207" s="176">
        <v>10247</v>
      </c>
      <c r="B207" s="177">
        <v>31052</v>
      </c>
      <c r="C207" s="178">
        <v>80</v>
      </c>
      <c r="D207" s="178">
        <v>1900</v>
      </c>
      <c r="E207" s="178" t="s">
        <v>49</v>
      </c>
      <c r="F207" s="179" t="s">
        <v>470</v>
      </c>
      <c r="G207" s="180" t="s">
        <v>84</v>
      </c>
      <c r="H207" s="178" t="s">
        <v>62</v>
      </c>
      <c r="I207" s="178"/>
      <c r="J207" s="178"/>
      <c r="K207" s="178"/>
      <c r="L207" s="178" t="s">
        <v>59</v>
      </c>
      <c r="M207" s="178">
        <v>60</v>
      </c>
      <c r="N207" s="178"/>
      <c r="O207" s="178"/>
      <c r="P207" s="178"/>
      <c r="Q207" s="178"/>
      <c r="R207" s="178" t="s">
        <v>19</v>
      </c>
      <c r="S207" s="181"/>
      <c r="T207" s="181"/>
      <c r="U207" s="182"/>
      <c r="V207" s="182" t="s">
        <v>35</v>
      </c>
      <c r="W207" s="183">
        <v>20</v>
      </c>
      <c r="X207" s="182" t="s">
        <v>51</v>
      </c>
      <c r="Y207" s="184">
        <v>3650</v>
      </c>
      <c r="Z207" s="184">
        <v>3650</v>
      </c>
      <c r="AA207" s="184">
        <v>3650</v>
      </c>
      <c r="AB207" s="184">
        <v>3380</v>
      </c>
      <c r="AC207" s="184">
        <v>3380</v>
      </c>
      <c r="AD207" s="184">
        <v>3380</v>
      </c>
      <c r="AE207" s="184">
        <v>3180</v>
      </c>
      <c r="AF207" s="184">
        <v>3180</v>
      </c>
      <c r="AG207" s="184">
        <v>3180</v>
      </c>
      <c r="AH207" s="184">
        <v>3030</v>
      </c>
      <c r="AI207" s="184">
        <v>3030</v>
      </c>
      <c r="AJ207" s="184">
        <v>3030</v>
      </c>
      <c r="AK207" s="184">
        <v>3030</v>
      </c>
      <c r="AL207" s="184">
        <v>3030</v>
      </c>
      <c r="AM207" s="184">
        <v>3030</v>
      </c>
      <c r="AN207" s="184">
        <v>3150</v>
      </c>
      <c r="AO207" s="184">
        <v>3150</v>
      </c>
      <c r="AP207" s="184">
        <v>3150</v>
      </c>
      <c r="AQ207" s="184">
        <v>3330</v>
      </c>
      <c r="AR207" s="184">
        <v>3330</v>
      </c>
      <c r="AS207" s="184">
        <v>3330</v>
      </c>
      <c r="AT207" s="184">
        <v>3330</v>
      </c>
      <c r="AU207" s="184">
        <v>3330</v>
      </c>
      <c r="AV207" s="184">
        <v>3330</v>
      </c>
      <c r="AW207" s="184">
        <v>3180</v>
      </c>
      <c r="AX207" s="184">
        <v>3180</v>
      </c>
      <c r="AY207" s="184">
        <v>3180</v>
      </c>
      <c r="AZ207" s="184">
        <v>3260</v>
      </c>
      <c r="BA207" s="184">
        <v>3260</v>
      </c>
      <c r="BB207" s="184">
        <v>3260</v>
      </c>
      <c r="BC207" s="184">
        <v>3260</v>
      </c>
      <c r="BD207" s="184">
        <v>3260</v>
      </c>
      <c r="BE207" s="184">
        <v>3260</v>
      </c>
      <c r="BF207" s="184">
        <v>3110</v>
      </c>
      <c r="BG207" s="184">
        <v>3110</v>
      </c>
      <c r="BH207" s="184">
        <v>3110</v>
      </c>
      <c r="BI207" s="184"/>
      <c r="BJ207" s="184"/>
      <c r="BK207" s="184"/>
      <c r="BL207" s="184">
        <v>3210</v>
      </c>
      <c r="BM207" s="184">
        <v>3310</v>
      </c>
      <c r="BN207" s="184">
        <v>3310</v>
      </c>
      <c r="BO207" s="184"/>
      <c r="BP207" s="184"/>
      <c r="BQ207" s="184"/>
      <c r="BR207" s="184"/>
      <c r="BS207" s="184"/>
      <c r="BT207" s="184"/>
      <c r="BU207" s="146" cm="1">
        <f t="array" ref="BU207">LOOKUP(2,1/(Y207:BT207&lt;&gt;""),Y207:BH207)</f>
        <v>3310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46174</v>
      </c>
      <c r="BW207" s="211" cm="1">
        <f t="array" ref="BW207">(LOOKUP(2,1/(BH207:BT207&lt;&gt;""),BH207:BT207))/(INDEX(BH207:BT207,MATCH(TRUE,INDEX((BH207:BT207&lt;&gt;0),0),0)))-1</f>
        <v>6.4308681672025747E-2</v>
      </c>
      <c r="BX207" s="212">
        <f t="shared" si="68"/>
        <v>3.31</v>
      </c>
      <c r="BY207" s="212">
        <f t="shared" si="67"/>
        <v>19.529</v>
      </c>
      <c r="BZ207" s="212">
        <f ca="1">IF(L207="BR",'Impostos e Frete'!$F$6,IF(L207="EU",'Impostos e Frete'!$I$3,IF(L207="CN",'Impostos e Frete'!$I$4,IF(L207="JP",'Impostos e Frete'!$I$5,IF(L207="RU",'Impostos e Frete'!$I$7,"ERRO")))))</f>
        <v>0.14176320000000001</v>
      </c>
      <c r="CA207" s="212">
        <f>VLOOKUP(L207,'Impostos e Frete'!$A$3:$B$7,2,0)*'Preços e Condições'!BY207</f>
        <v>2.53877</v>
      </c>
      <c r="CB207" s="147">
        <f t="shared" si="69"/>
        <v>0</v>
      </c>
      <c r="CC207" s="147">
        <f>IF(X207="BRL",'Impostos e Frete'!$B$11,'Impostos e Frete'!$B$12)</f>
        <v>9.1999999999999998E-2</v>
      </c>
      <c r="CD207" s="213">
        <f t="shared" ca="1" si="70"/>
        <v>22.301533199999998</v>
      </c>
      <c r="CE207" s="214">
        <f t="shared" ca="1" si="71"/>
        <v>1.7841226559999999</v>
      </c>
      <c r="CF207" s="215">
        <f>VLOOKUP(L207,'Impostos e Frete'!$A$3:$C$7,3,0)</f>
        <v>105</v>
      </c>
      <c r="CG207" s="215">
        <f t="shared" si="72"/>
        <v>60</v>
      </c>
      <c r="CH207" s="215">
        <f t="shared" si="73"/>
        <v>-45</v>
      </c>
      <c r="CI207" s="216">
        <f t="shared" ca="1" si="74"/>
        <v>0.5036615108986382</v>
      </c>
      <c r="CJ207" s="217">
        <f t="shared" ca="1" si="75"/>
        <v>22.805194710898636</v>
      </c>
      <c r="CK207" s="218">
        <f t="shared" ca="1" si="76"/>
        <v>1.8244155768718908</v>
      </c>
    </row>
    <row r="208" spans="1:89">
      <c r="A208" s="176">
        <v>10247</v>
      </c>
      <c r="B208" s="177">
        <v>31052</v>
      </c>
      <c r="C208" s="178">
        <v>80</v>
      </c>
      <c r="D208" s="178">
        <v>1900</v>
      </c>
      <c r="E208" s="178" t="s">
        <v>49</v>
      </c>
      <c r="F208" s="179" t="s">
        <v>470</v>
      </c>
      <c r="G208" s="180" t="s">
        <v>84</v>
      </c>
      <c r="H208" s="178" t="s">
        <v>62</v>
      </c>
      <c r="I208" s="178"/>
      <c r="J208" s="178"/>
      <c r="K208" s="178"/>
      <c r="L208" s="178" t="s">
        <v>59</v>
      </c>
      <c r="M208" s="178">
        <v>60</v>
      </c>
      <c r="N208" s="178"/>
      <c r="O208" s="178"/>
      <c r="P208" s="178"/>
      <c r="Q208" s="178"/>
      <c r="R208" s="178" t="s">
        <v>19</v>
      </c>
      <c r="S208" s="181"/>
      <c r="T208" s="181"/>
      <c r="U208" s="182"/>
      <c r="V208" s="182" t="s">
        <v>35</v>
      </c>
      <c r="W208" s="183">
        <v>50</v>
      </c>
      <c r="X208" s="182" t="s">
        <v>51</v>
      </c>
      <c r="Y208" s="184">
        <v>3350</v>
      </c>
      <c r="Z208" s="184">
        <v>3350</v>
      </c>
      <c r="AA208" s="184">
        <v>3350</v>
      </c>
      <c r="AB208" s="184">
        <v>3080</v>
      </c>
      <c r="AC208" s="184">
        <v>3080</v>
      </c>
      <c r="AD208" s="184">
        <v>3080</v>
      </c>
      <c r="AE208" s="184">
        <v>2880</v>
      </c>
      <c r="AF208" s="184">
        <v>2880</v>
      </c>
      <c r="AG208" s="184">
        <v>2880</v>
      </c>
      <c r="AH208" s="184">
        <v>2730</v>
      </c>
      <c r="AI208" s="184">
        <v>2730</v>
      </c>
      <c r="AJ208" s="184">
        <v>2730</v>
      </c>
      <c r="AK208" s="184">
        <v>2730</v>
      </c>
      <c r="AL208" s="184">
        <v>2730</v>
      </c>
      <c r="AM208" s="184">
        <v>2730</v>
      </c>
      <c r="AN208" s="184">
        <v>2850</v>
      </c>
      <c r="AO208" s="184">
        <v>2850</v>
      </c>
      <c r="AP208" s="184">
        <v>2850</v>
      </c>
      <c r="AQ208" s="184">
        <v>3030</v>
      </c>
      <c r="AR208" s="184">
        <v>3030</v>
      </c>
      <c r="AS208" s="184">
        <v>3030</v>
      </c>
      <c r="AT208" s="184">
        <v>3030</v>
      </c>
      <c r="AU208" s="184">
        <v>3030</v>
      </c>
      <c r="AV208" s="184">
        <v>3030</v>
      </c>
      <c r="AW208" s="184">
        <v>2880</v>
      </c>
      <c r="AX208" s="184">
        <v>2880</v>
      </c>
      <c r="AY208" s="184">
        <v>2880</v>
      </c>
      <c r="AZ208" s="184">
        <v>2960</v>
      </c>
      <c r="BA208" s="184">
        <v>2960</v>
      </c>
      <c r="BB208" s="184">
        <v>2960</v>
      </c>
      <c r="BC208" s="184">
        <v>2960</v>
      </c>
      <c r="BD208" s="184">
        <v>2960</v>
      </c>
      <c r="BE208" s="184">
        <v>2960</v>
      </c>
      <c r="BF208" s="184">
        <v>2810</v>
      </c>
      <c r="BG208" s="184">
        <v>2810</v>
      </c>
      <c r="BH208" s="184">
        <v>2810</v>
      </c>
      <c r="BI208" s="184"/>
      <c r="BJ208" s="184"/>
      <c r="BK208" s="184"/>
      <c r="BL208" s="184">
        <v>2910</v>
      </c>
      <c r="BM208" s="184">
        <v>3010</v>
      </c>
      <c r="BN208" s="184">
        <v>3010</v>
      </c>
      <c r="BO208" s="184"/>
      <c r="BP208" s="184"/>
      <c r="BQ208" s="184"/>
      <c r="BR208" s="184"/>
      <c r="BS208" s="184"/>
      <c r="BT208" s="184"/>
      <c r="BU208" s="146" cm="1">
        <f t="array" ref="BU208">LOOKUP(2,1/(Y208:BT208&lt;&gt;""),Y208:BH208)</f>
        <v>3010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46174</v>
      </c>
      <c r="BW208" s="211" cm="1">
        <f t="array" ref="BW208">(LOOKUP(2,1/(BH208:BT208&lt;&gt;""),BH208:BT208))/(INDEX(BH208:BT208,MATCH(TRUE,INDEX((BH208:BT208&lt;&gt;0),0),0)))-1</f>
        <v>7.1174377224199281E-2</v>
      </c>
      <c r="BX208" s="212">
        <f t="shared" si="68"/>
        <v>3.01</v>
      </c>
      <c r="BY208" s="212">
        <f t="shared" si="67"/>
        <v>17.759</v>
      </c>
      <c r="BZ208" s="212">
        <f ca="1">IF(L208="BR",'Impostos e Frete'!$F$6,IF(L208="EU",'Impostos e Frete'!$I$3,IF(L208="CN",'Impostos e Frete'!$I$4,IF(L208="JP",'Impostos e Frete'!$I$5,IF(L208="RU",'Impostos e Frete'!$I$7,"ERRO")))))</f>
        <v>0.14176320000000001</v>
      </c>
      <c r="CA208" s="212">
        <f>VLOOKUP(L208,'Impostos e Frete'!$A$3:$B$7,2,0)*'Preços e Condições'!BY208</f>
        <v>2.3086700000000002</v>
      </c>
      <c r="CB208" s="147">
        <f t="shared" si="69"/>
        <v>0</v>
      </c>
      <c r="CC208" s="147">
        <f>IF(X208="BRL",'Impostos e Frete'!$B$11,'Impostos e Frete'!$B$12)</f>
        <v>9.1999999999999998E-2</v>
      </c>
      <c r="CD208" s="213">
        <f t="shared" ca="1" si="70"/>
        <v>20.301433199999998</v>
      </c>
      <c r="CE208" s="214">
        <f t="shared" ca="1" si="71"/>
        <v>1.6241146559999999</v>
      </c>
      <c r="CF208" s="215">
        <f>VLOOKUP(L208,'Impostos e Frete'!$A$3:$C$7,3,0)</f>
        <v>105</v>
      </c>
      <c r="CG208" s="215">
        <f t="shared" si="72"/>
        <v>60</v>
      </c>
      <c r="CH208" s="215">
        <f t="shared" si="73"/>
        <v>-45</v>
      </c>
      <c r="CI208" s="216">
        <f t="shared" ca="1" si="74"/>
        <v>0.45849092200171171</v>
      </c>
      <c r="CJ208" s="217">
        <f t="shared" ca="1" si="75"/>
        <v>20.75992412200171</v>
      </c>
      <c r="CK208" s="218">
        <f t="shared" ca="1" si="76"/>
        <v>1.6607939297601368</v>
      </c>
    </row>
    <row r="209" spans="1:89">
      <c r="A209" s="176">
        <v>10247</v>
      </c>
      <c r="B209" s="177">
        <v>31052</v>
      </c>
      <c r="C209" s="178">
        <v>80</v>
      </c>
      <c r="D209" s="178">
        <v>1900</v>
      </c>
      <c r="E209" s="178" t="s">
        <v>49</v>
      </c>
      <c r="F209" s="179" t="s">
        <v>470</v>
      </c>
      <c r="G209" s="180" t="s">
        <v>84</v>
      </c>
      <c r="H209" s="178" t="s">
        <v>62</v>
      </c>
      <c r="I209" s="178"/>
      <c r="J209" s="178"/>
      <c r="K209" s="178"/>
      <c r="L209" s="178" t="s">
        <v>59</v>
      </c>
      <c r="M209" s="178">
        <v>60</v>
      </c>
      <c r="N209" s="178"/>
      <c r="O209" s="178"/>
      <c r="P209" s="178"/>
      <c r="Q209" s="178"/>
      <c r="R209" s="178" t="s">
        <v>19</v>
      </c>
      <c r="S209" s="181"/>
      <c r="T209" s="181"/>
      <c r="U209" s="182"/>
      <c r="V209" s="182" t="s">
        <v>35</v>
      </c>
      <c r="W209" s="183">
        <v>100</v>
      </c>
      <c r="X209" s="182" t="s">
        <v>51</v>
      </c>
      <c r="Y209" s="184">
        <v>3300</v>
      </c>
      <c r="Z209" s="184">
        <v>3300</v>
      </c>
      <c r="AA209" s="184">
        <v>3300</v>
      </c>
      <c r="AB209" s="184">
        <v>3030</v>
      </c>
      <c r="AC209" s="184">
        <v>3030</v>
      </c>
      <c r="AD209" s="184">
        <v>3030</v>
      </c>
      <c r="AE209" s="184">
        <v>2830</v>
      </c>
      <c r="AF209" s="184">
        <v>2830</v>
      </c>
      <c r="AG209" s="184">
        <v>2830</v>
      </c>
      <c r="AH209" s="184">
        <v>2680</v>
      </c>
      <c r="AI209" s="184">
        <v>2680</v>
      </c>
      <c r="AJ209" s="184">
        <v>2680</v>
      </c>
      <c r="AK209" s="184">
        <v>2680</v>
      </c>
      <c r="AL209" s="184">
        <v>2680</v>
      </c>
      <c r="AM209" s="184">
        <v>2680</v>
      </c>
      <c r="AN209" s="184">
        <v>2800</v>
      </c>
      <c r="AO209" s="184">
        <v>2800</v>
      </c>
      <c r="AP209" s="184">
        <v>2800</v>
      </c>
      <c r="AQ209" s="184">
        <v>2980</v>
      </c>
      <c r="AR209" s="184">
        <v>2980</v>
      </c>
      <c r="AS209" s="184">
        <v>2980</v>
      </c>
      <c r="AT209" s="184">
        <v>2980</v>
      </c>
      <c r="AU209" s="184">
        <v>2980</v>
      </c>
      <c r="AV209" s="184">
        <v>2980</v>
      </c>
      <c r="AW209" s="184">
        <v>2830</v>
      </c>
      <c r="AX209" s="184">
        <v>2830</v>
      </c>
      <c r="AY209" s="184">
        <v>2830</v>
      </c>
      <c r="AZ209" s="184">
        <v>2910</v>
      </c>
      <c r="BA209" s="184">
        <v>2910</v>
      </c>
      <c r="BB209" s="184">
        <v>2910</v>
      </c>
      <c r="BC209" s="184">
        <v>2910</v>
      </c>
      <c r="BD209" s="184">
        <v>2910</v>
      </c>
      <c r="BE209" s="184">
        <v>2910</v>
      </c>
      <c r="BF209" s="184">
        <v>2760</v>
      </c>
      <c r="BG209" s="184">
        <v>2760</v>
      </c>
      <c r="BH209" s="184">
        <v>2760</v>
      </c>
      <c r="BI209" s="184"/>
      <c r="BJ209" s="184"/>
      <c r="BK209" s="184"/>
      <c r="BL209" s="184">
        <v>2860</v>
      </c>
      <c r="BM209" s="184">
        <v>2960</v>
      </c>
      <c r="BN209" s="184">
        <v>2960</v>
      </c>
      <c r="BO209" s="184"/>
      <c r="BP209" s="184"/>
      <c r="BQ209" s="184"/>
      <c r="BR209" s="184"/>
      <c r="BS209" s="184"/>
      <c r="BT209" s="184"/>
      <c r="BU209" s="146" cm="1">
        <f t="array" ref="BU209">LOOKUP(2,1/(Y209:BT209&lt;&gt;""),Y209:BH209)</f>
        <v>2960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46174</v>
      </c>
      <c r="BW209" s="211" cm="1">
        <f t="array" ref="BW209">(LOOKUP(2,1/(BH209:BT209&lt;&gt;""),BH209:BT209))/(INDEX(BH209:BT209,MATCH(TRUE,INDEX((BH209:BT209&lt;&gt;0),0),0)))-1</f>
        <v>7.2463768115942129E-2</v>
      </c>
      <c r="BX209" s="212">
        <f>BU209/1000</f>
        <v>2.96</v>
      </c>
      <c r="BY209" s="212">
        <f t="shared" si="67"/>
        <v>17.464000000000002</v>
      </c>
      <c r="BZ209" s="212">
        <f ca="1">IF(L209="BR",'Impostos e Frete'!$F$6,IF(L209="EU",'Impostos e Frete'!$I$3,IF(L209="CN",'Impostos e Frete'!$I$4,IF(L209="JP",'Impostos e Frete'!$I$5,IF(L209="RU",'Impostos e Frete'!$I$7,"ERRO")))))</f>
        <v>0.14176320000000001</v>
      </c>
      <c r="CA209" s="212">
        <f>VLOOKUP(L209,'Impostos e Frete'!$A$3:$B$7,2,0)*'Preços e Condições'!BY209</f>
        <v>2.2703200000000003</v>
      </c>
      <c r="CB209" s="147">
        <f>IF(R209="CFR",$CB$2,IF(R209="FOB",0,IF(R209="EXW",$CB$1,"ERRO")))</f>
        <v>0</v>
      </c>
      <c r="CC209" s="147">
        <f>IF(X209="BRL",'Impostos e Frete'!$B$11,'Impostos e Frete'!$B$12)</f>
        <v>9.1999999999999998E-2</v>
      </c>
      <c r="CD209" s="213">
        <f ca="1">SUM(BY209:CC209)</f>
        <v>19.968083200000002</v>
      </c>
      <c r="CE209" s="214">
        <f ca="1">IF(C209="","erro",(CD209/1000)*C209)</f>
        <v>1.5974466560000002</v>
      </c>
      <c r="CF209" s="215">
        <f>VLOOKUP(L209,'Impostos e Frete'!$A$3:$C$7,3,0)</f>
        <v>105</v>
      </c>
      <c r="CG209" s="215">
        <f>M209</f>
        <v>60</v>
      </c>
      <c r="CH209" s="215">
        <f>CG209-CF209</f>
        <v>-45</v>
      </c>
      <c r="CI209" s="216">
        <f ca="1">CD209*(1+VALUE($CI$2))^((CH209*-1)/30)-CD209</f>
        <v>0.45096249051889004</v>
      </c>
      <c r="CJ209" s="217">
        <f ca="1">CD209+CI209</f>
        <v>20.419045690518892</v>
      </c>
      <c r="CK209" s="218">
        <f ca="1">IF(C209="","erro",(CJ209/1000)*C209)</f>
        <v>1.6335236552415113</v>
      </c>
    </row>
    <row r="210" spans="1:89">
      <c r="A210" s="176">
        <v>17444</v>
      </c>
      <c r="B210" s="177">
        <v>3222</v>
      </c>
      <c r="C210" s="178">
        <v>80</v>
      </c>
      <c r="D210" s="178">
        <v>1830</v>
      </c>
      <c r="E210" s="178" t="s">
        <v>49</v>
      </c>
      <c r="F210" s="179" t="s">
        <v>470</v>
      </c>
      <c r="G210" s="180" t="s">
        <v>306</v>
      </c>
      <c r="H210" s="178" t="s">
        <v>66</v>
      </c>
      <c r="I210" s="178"/>
      <c r="J210" s="178"/>
      <c r="K210" s="178"/>
      <c r="L210" s="178" t="s">
        <v>59</v>
      </c>
      <c r="M210" s="178">
        <v>60</v>
      </c>
      <c r="N210" s="178"/>
      <c r="O210" s="178"/>
      <c r="P210" s="178"/>
      <c r="Q210" s="178"/>
      <c r="R210" s="178" t="s">
        <v>19</v>
      </c>
      <c r="S210" s="181"/>
      <c r="T210" s="181"/>
      <c r="U210" s="182"/>
      <c r="V210" s="182" t="s">
        <v>35</v>
      </c>
      <c r="W210" s="183">
        <v>50</v>
      </c>
      <c r="X210" s="182" t="s">
        <v>51</v>
      </c>
      <c r="Y210" s="184">
        <v>3020</v>
      </c>
      <c r="Z210" s="184">
        <v>3020</v>
      </c>
      <c r="AA210" s="184">
        <v>3020</v>
      </c>
      <c r="AB210" s="184">
        <v>2820</v>
      </c>
      <c r="AC210" s="184">
        <v>2820</v>
      </c>
      <c r="AD210" s="184">
        <v>2820</v>
      </c>
      <c r="AE210" s="184">
        <v>2570</v>
      </c>
      <c r="AF210" s="184">
        <v>2570</v>
      </c>
      <c r="AG210" s="184">
        <v>2570</v>
      </c>
      <c r="AH210" s="184">
        <v>2370</v>
      </c>
      <c r="AI210" s="184">
        <v>2370</v>
      </c>
      <c r="AJ210" s="184">
        <v>2370</v>
      </c>
      <c r="AK210" s="184">
        <v>2670</v>
      </c>
      <c r="AL210" s="184">
        <v>2670</v>
      </c>
      <c r="AM210" s="184">
        <v>2670</v>
      </c>
      <c r="AN210" s="184">
        <v>2810</v>
      </c>
      <c r="AO210" s="184">
        <v>2810</v>
      </c>
      <c r="AP210" s="184">
        <v>2810</v>
      </c>
      <c r="AQ210" s="184">
        <v>2960</v>
      </c>
      <c r="AR210" s="184">
        <v>2960</v>
      </c>
      <c r="AS210" s="184">
        <v>2960</v>
      </c>
      <c r="AT210" s="184">
        <v>2960</v>
      </c>
      <c r="AU210" s="184">
        <v>2960</v>
      </c>
      <c r="AV210" s="184">
        <v>2960</v>
      </c>
      <c r="AW210" s="184">
        <v>2810</v>
      </c>
      <c r="AX210" s="184">
        <v>2810</v>
      </c>
      <c r="AY210" s="184">
        <v>2810</v>
      </c>
      <c r="AZ210" s="184">
        <v>2890</v>
      </c>
      <c r="BA210" s="184">
        <v>2890</v>
      </c>
      <c r="BB210" s="184">
        <v>2890</v>
      </c>
      <c r="BC210" s="184">
        <v>2890</v>
      </c>
      <c r="BD210" s="184">
        <v>2890</v>
      </c>
      <c r="BE210" s="184">
        <v>2890</v>
      </c>
      <c r="BF210" s="184">
        <v>2740</v>
      </c>
      <c r="BG210" s="184">
        <v>2740</v>
      </c>
      <c r="BH210" s="184">
        <v>2740</v>
      </c>
      <c r="BI210" s="184"/>
      <c r="BJ210" s="184"/>
      <c r="BK210" s="184"/>
      <c r="BL210" s="184">
        <v>2820</v>
      </c>
      <c r="BM210" s="184">
        <v>2900</v>
      </c>
      <c r="BN210" s="184">
        <v>2900</v>
      </c>
      <c r="BO210" s="184"/>
      <c r="BP210" s="184"/>
      <c r="BQ210" s="184"/>
      <c r="BR210" s="184"/>
      <c r="BS210" s="184"/>
      <c r="BT210" s="184"/>
      <c r="BU210" s="146" cm="1">
        <f t="array" ref="BU210">LOOKUP(2,1/(Y210:BT210&lt;&gt;""),Y210:BH210)</f>
        <v>2900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46174</v>
      </c>
      <c r="BW210" s="211" cm="1">
        <f t="array" ref="BW210">(LOOKUP(2,1/(BH210:BT210&lt;&gt;""),BH210:BT210))/(INDEX(BH210:BT210,MATCH(TRUE,INDEX((BH210:BT210&lt;&gt;0),0),0)))-1</f>
        <v>5.8394160583941535E-2</v>
      </c>
      <c r="BX210" s="212">
        <f t="shared" si="68"/>
        <v>2.9</v>
      </c>
      <c r="BY210" s="212">
        <f t="shared" si="67"/>
        <v>17.11</v>
      </c>
      <c r="BZ210" s="212">
        <f ca="1">IF(L210="BR",'Impostos e Frete'!$F$6,IF(L210="EU",'Impostos e Frete'!$I$3,IF(L210="CN",'Impostos e Frete'!$I$4,IF(L210="JP",'Impostos e Frete'!$I$5,IF(L210="RU",'Impostos e Frete'!$I$7,"ERRO")))))</f>
        <v>0.14176320000000001</v>
      </c>
      <c r="CA210" s="212">
        <f>VLOOKUP(L210,'Impostos e Frete'!$A$3:$B$7,2,0)*'Preços e Condições'!BY210</f>
        <v>2.2242999999999999</v>
      </c>
      <c r="CB210" s="147">
        <f t="shared" si="69"/>
        <v>0</v>
      </c>
      <c r="CC210" s="147">
        <f>IF(X210="BRL",'Impostos e Frete'!$B$11,'Impostos e Frete'!$B$12)</f>
        <v>9.1999999999999998E-2</v>
      </c>
      <c r="CD210" s="213">
        <f t="shared" ca="1" si="70"/>
        <v>19.568063199999997</v>
      </c>
      <c r="CE210" s="214">
        <f t="shared" ca="1" si="71"/>
        <v>1.5654450559999997</v>
      </c>
      <c r="CF210" s="215">
        <f>VLOOKUP(L210,'Impostos e Frete'!$A$3:$C$7,3,0)</f>
        <v>105</v>
      </c>
      <c r="CG210" s="215">
        <f t="shared" si="72"/>
        <v>60</v>
      </c>
      <c r="CH210" s="215">
        <f t="shared" si="73"/>
        <v>-45</v>
      </c>
      <c r="CI210" s="216">
        <f t="shared" ca="1" si="74"/>
        <v>0.44192837273950403</v>
      </c>
      <c r="CJ210" s="217">
        <f t="shared" ca="1" si="75"/>
        <v>20.009991572739501</v>
      </c>
      <c r="CK210" s="218">
        <f t="shared" ca="1" si="76"/>
        <v>1.6007993258191602</v>
      </c>
    </row>
    <row r="211" spans="1:89">
      <c r="A211" s="176"/>
      <c r="B211" s="177">
        <v>673</v>
      </c>
      <c r="C211" s="190">
        <v>80</v>
      </c>
      <c r="D211" s="190">
        <v>1855</v>
      </c>
      <c r="E211" s="178" t="s">
        <v>49</v>
      </c>
      <c r="F211" s="191" t="s">
        <v>1</v>
      </c>
      <c r="G211" s="192" t="s">
        <v>133</v>
      </c>
      <c r="H211" s="190" t="s">
        <v>63</v>
      </c>
      <c r="I211" s="178">
        <v>673</v>
      </c>
      <c r="J211" s="183"/>
      <c r="K211" s="190"/>
      <c r="L211" s="183" t="s">
        <v>58</v>
      </c>
      <c r="M211" s="183">
        <v>0</v>
      </c>
      <c r="N211" s="183"/>
      <c r="O211" s="183"/>
      <c r="P211" s="183">
        <v>3</v>
      </c>
      <c r="Q211" s="183" t="s">
        <v>27</v>
      </c>
      <c r="R211" s="183" t="s">
        <v>19</v>
      </c>
      <c r="S211" s="181">
        <v>0.12</v>
      </c>
      <c r="T211" s="181" t="s">
        <v>210</v>
      </c>
      <c r="U211" s="182">
        <v>9.2499999999999999E-2</v>
      </c>
      <c r="V211" s="182" t="s">
        <v>35</v>
      </c>
      <c r="W211" s="183">
        <v>20</v>
      </c>
      <c r="X211" s="182" t="s">
        <v>46</v>
      </c>
      <c r="Y211" s="184"/>
      <c r="Z211" s="184"/>
      <c r="AA211" s="184"/>
      <c r="AB211" s="184"/>
      <c r="AC211" s="184"/>
      <c r="AD211" s="184"/>
      <c r="AE211" s="184"/>
      <c r="AF211" s="184"/>
      <c r="AG211" s="184"/>
      <c r="AH211" s="146">
        <f>22310</f>
        <v>22310</v>
      </c>
      <c r="AI211" s="146">
        <f>22310</f>
        <v>22310</v>
      </c>
      <c r="AJ211" s="146">
        <f>22310</f>
        <v>22310</v>
      </c>
      <c r="AK211" s="146">
        <f>21640</f>
        <v>21640</v>
      </c>
      <c r="AL211" s="146">
        <f>21640</f>
        <v>21640</v>
      </c>
      <c r="AM211" s="146">
        <f>21640</f>
        <v>21640</v>
      </c>
      <c r="AN211" s="146">
        <f>21640</f>
        <v>21640</v>
      </c>
      <c r="AO211" s="146">
        <f>21640</f>
        <v>21640</v>
      </c>
      <c r="AP211" s="146">
        <f>21640</f>
        <v>21640</v>
      </c>
      <c r="AQ211" s="146">
        <f>23458</f>
        <v>23458</v>
      </c>
      <c r="AR211" s="146">
        <f>23458</f>
        <v>23458</v>
      </c>
      <c r="AS211" s="146">
        <f>23458</f>
        <v>23458</v>
      </c>
      <c r="AT211" s="184">
        <v>24631</v>
      </c>
      <c r="AU211" s="184">
        <v>24631</v>
      </c>
      <c r="AV211" s="184">
        <v>24631</v>
      </c>
      <c r="AW211" s="184">
        <v>24631</v>
      </c>
      <c r="AX211" s="184">
        <v>24631</v>
      </c>
      <c r="AY211" s="184">
        <v>24631</v>
      </c>
      <c r="AZ211" s="184">
        <v>24631</v>
      </c>
      <c r="BA211" s="184">
        <v>24631</v>
      </c>
      <c r="BB211" s="184">
        <v>24631</v>
      </c>
      <c r="BC211" s="184">
        <v>24631</v>
      </c>
      <c r="BD211" s="184">
        <v>24631</v>
      </c>
      <c r="BE211" s="184">
        <v>24631</v>
      </c>
      <c r="BF211" s="184">
        <v>24631</v>
      </c>
      <c r="BG211" s="184">
        <v>24631</v>
      </c>
      <c r="BH211" s="184">
        <v>24631</v>
      </c>
      <c r="BI211" s="184">
        <v>24631</v>
      </c>
      <c r="BJ211" s="184">
        <v>24631</v>
      </c>
      <c r="BK211" s="184">
        <v>24631</v>
      </c>
      <c r="BL211" s="184">
        <v>26060</v>
      </c>
      <c r="BM211" s="184">
        <v>26060</v>
      </c>
      <c r="BN211" s="184">
        <v>26060</v>
      </c>
      <c r="BO211" s="184"/>
      <c r="BP211" s="184"/>
      <c r="BQ211" s="184"/>
      <c r="BR211" s="184"/>
      <c r="BS211" s="184"/>
      <c r="BT211" s="184"/>
      <c r="BU211" s="146" cm="1">
        <f t="array" ref="BU211">LOOKUP(2,1/(Y211:BT211&lt;&gt;""),Y211:BH211)</f>
        <v>26060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46174</v>
      </c>
      <c r="BW211" s="211" cm="1">
        <f t="array" ref="BW211">(LOOKUP(2,1/(BH211:BT211&lt;&gt;""),BH211:BT211))/(INDEX(BH211:BT211,MATCH(TRUE,INDEX((BH211:BT211&lt;&gt;0),0),0)))-1</f>
        <v>5.8016320896431273E-2</v>
      </c>
      <c r="BX211" s="212">
        <f t="shared" si="68"/>
        <v>26.06</v>
      </c>
      <c r="BY211" s="212">
        <f t="shared" si="67"/>
        <v>26.06</v>
      </c>
      <c r="BZ211" s="212">
        <f>IF(L211="BR",'Impostos e Frete'!$F$6,IF(L211="EU",'Impostos e Frete'!$I$3,IF(L211="CN",'Impostos e Frete'!$I$4,IF(L211="JP",'Impostos e Frete'!$I$5,IF(L211="RU",'Impostos e Frete'!$I$7,"ERRO")))))</f>
        <v>0</v>
      </c>
      <c r="CA211" s="212">
        <f>VLOOKUP(L211,'Impostos e Frete'!$A$3:$B$7,2,0)*'Preços e Condições'!BY211</f>
        <v>0</v>
      </c>
      <c r="CB211" s="147">
        <f t="shared" si="69"/>
        <v>0</v>
      </c>
      <c r="CC211" s="147">
        <f>IF(X211="BRL",'Impostos e Frete'!$B$11,'Impostos e Frete'!$B$12)</f>
        <v>0.2</v>
      </c>
      <c r="CD211" s="213">
        <f t="shared" si="70"/>
        <v>26.259999999999998</v>
      </c>
      <c r="CE211" s="214">
        <f t="shared" si="71"/>
        <v>2.1008</v>
      </c>
      <c r="CF211" s="215">
        <f>VLOOKUP(L211,'Impostos e Frete'!$A$3:$C$7,3,0)</f>
        <v>45</v>
      </c>
      <c r="CG211" s="215">
        <f t="shared" si="72"/>
        <v>0</v>
      </c>
      <c r="CH211" s="215">
        <f t="shared" si="73"/>
        <v>-45</v>
      </c>
      <c r="CI211" s="216">
        <f t="shared" si="74"/>
        <v>0.59306017920768994</v>
      </c>
      <c r="CJ211" s="217">
        <f t="shared" si="75"/>
        <v>26.853060179207688</v>
      </c>
      <c r="CK211" s="218">
        <f t="shared" si="76"/>
        <v>2.1482448143366151</v>
      </c>
    </row>
    <row r="212" spans="1:89">
      <c r="A212" s="176"/>
      <c r="B212" s="177">
        <v>986</v>
      </c>
      <c r="C212" s="190">
        <v>90</v>
      </c>
      <c r="D212" s="183">
        <v>1855</v>
      </c>
      <c r="E212" s="178" t="s">
        <v>49</v>
      </c>
      <c r="F212" s="191" t="s">
        <v>1</v>
      </c>
      <c r="G212" s="192" t="s">
        <v>5</v>
      </c>
      <c r="H212" s="183" t="s">
        <v>43</v>
      </c>
      <c r="I212" s="178">
        <v>986</v>
      </c>
      <c r="J212" s="183"/>
      <c r="K212" s="183"/>
      <c r="L212" s="183" t="s">
        <v>58</v>
      </c>
      <c r="M212" s="183">
        <v>0</v>
      </c>
      <c r="N212" s="183"/>
      <c r="O212" s="183"/>
      <c r="P212" s="183">
        <v>3</v>
      </c>
      <c r="Q212" s="183" t="s">
        <v>27</v>
      </c>
      <c r="R212" s="183" t="s">
        <v>19</v>
      </c>
      <c r="S212" s="181">
        <v>0.12</v>
      </c>
      <c r="T212" s="181" t="s">
        <v>210</v>
      </c>
      <c r="U212" s="182">
        <v>9.2499999999999999E-2</v>
      </c>
      <c r="V212" s="182" t="s">
        <v>35</v>
      </c>
      <c r="W212" s="183">
        <v>50</v>
      </c>
      <c r="X212" s="182" t="s">
        <v>46</v>
      </c>
      <c r="Y212" s="146">
        <f>18500</f>
        <v>18500</v>
      </c>
      <c r="Z212" s="146">
        <f>18500</f>
        <v>18500</v>
      </c>
      <c r="AA212" s="146">
        <f>18500</f>
        <v>18500</v>
      </c>
      <c r="AB212" s="146">
        <f>18500</f>
        <v>18500</v>
      </c>
      <c r="AC212" s="146">
        <f>18500</f>
        <v>18500</v>
      </c>
      <c r="AD212" s="146">
        <f>18500</f>
        <v>18500</v>
      </c>
      <c r="AE212" s="146">
        <f>17575</f>
        <v>17575</v>
      </c>
      <c r="AF212" s="146">
        <f>17575</f>
        <v>17575</v>
      </c>
      <c r="AG212" s="146">
        <f>17575</f>
        <v>17575</v>
      </c>
      <c r="AH212" s="146">
        <f>17000</f>
        <v>17000</v>
      </c>
      <c r="AI212" s="146">
        <f>17000</f>
        <v>17000</v>
      </c>
      <c r="AJ212" s="146">
        <f>17000</f>
        <v>17000</v>
      </c>
      <c r="AK212" s="146">
        <f>16490</f>
        <v>16490</v>
      </c>
      <c r="AL212" s="146">
        <f>16490</f>
        <v>16490</v>
      </c>
      <c r="AM212" s="146">
        <f>16490</f>
        <v>16490</v>
      </c>
      <c r="AN212" s="146">
        <f>16490</f>
        <v>16490</v>
      </c>
      <c r="AO212" s="146">
        <f>16490</f>
        <v>16490</v>
      </c>
      <c r="AP212" s="146">
        <f>16490</f>
        <v>16490</v>
      </c>
      <c r="AQ212" s="146">
        <f>17875</f>
        <v>17875</v>
      </c>
      <c r="AR212" s="146">
        <f>17875</f>
        <v>17875</v>
      </c>
      <c r="AS212" s="146">
        <f>17875</f>
        <v>17875</v>
      </c>
      <c r="AT212" s="184">
        <v>19216</v>
      </c>
      <c r="AU212" s="184">
        <v>19216</v>
      </c>
      <c r="AV212" s="184">
        <v>19216</v>
      </c>
      <c r="AW212" s="184">
        <v>19216</v>
      </c>
      <c r="AX212" s="184">
        <v>19216</v>
      </c>
      <c r="AY212" s="184">
        <v>19216</v>
      </c>
      <c r="AZ212" s="184">
        <v>19216</v>
      </c>
      <c r="BA212" s="184">
        <v>19216</v>
      </c>
      <c r="BB212" s="184">
        <v>19216</v>
      </c>
      <c r="BC212" s="184">
        <v>19216</v>
      </c>
      <c r="BD212" s="184">
        <v>19216</v>
      </c>
      <c r="BE212" s="184">
        <v>19216</v>
      </c>
      <c r="BF212" s="184">
        <v>19216</v>
      </c>
      <c r="BG212" s="184">
        <v>19216</v>
      </c>
      <c r="BH212" s="184">
        <v>19216</v>
      </c>
      <c r="BI212" s="184">
        <v>19216</v>
      </c>
      <c r="BJ212" s="184">
        <v>19216</v>
      </c>
      <c r="BK212" s="184">
        <v>19216</v>
      </c>
      <c r="BL212" s="184">
        <v>20331</v>
      </c>
      <c r="BM212" s="184">
        <v>20331</v>
      </c>
      <c r="BN212" s="184">
        <v>20331</v>
      </c>
      <c r="BO212" s="184"/>
      <c r="BP212" s="184"/>
      <c r="BQ212" s="184"/>
      <c r="BR212" s="184"/>
      <c r="BS212" s="184"/>
      <c r="BT212" s="184"/>
      <c r="BU212" s="146" cm="1">
        <f t="array" ref="BU212">LOOKUP(2,1/(Y212:BT212&lt;&gt;""),Y212:BH212)</f>
        <v>20331</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46174</v>
      </c>
      <c r="BW212" s="211" cm="1">
        <f t="array" ref="BW212">(LOOKUP(2,1/(BH212:BT212&lt;&gt;""),BH212:BT212))/(INDEX(BH212:BT212,MATCH(TRUE,INDEX((BH212:BT212&lt;&gt;0),0),0)))-1</f>
        <v>5.8024562864279705E-2</v>
      </c>
      <c r="BX212" s="212">
        <f t="shared" si="68"/>
        <v>20.331</v>
      </c>
      <c r="BY212" s="212">
        <f t="shared" si="67"/>
        <v>20.331</v>
      </c>
      <c r="BZ212" s="212">
        <f>IF(L212="BR",'Impostos e Frete'!$F$6,IF(L212="EU",'Impostos e Frete'!$I$3,IF(L212="CN",'Impostos e Frete'!$I$4,IF(L212="JP",'Impostos e Frete'!$I$5,IF(L212="RU",'Impostos e Frete'!$I$7,"ERRO")))))</f>
        <v>0</v>
      </c>
      <c r="CA212" s="212">
        <f>VLOOKUP(L212,'Impostos e Frete'!$A$3:$B$7,2,0)*'Preços e Condições'!BY212</f>
        <v>0</v>
      </c>
      <c r="CB212" s="147">
        <f t="shared" si="69"/>
        <v>0</v>
      </c>
      <c r="CC212" s="147">
        <f>IF(X212="BRL",'Impostos e Frete'!$B$11,'Impostos e Frete'!$B$12)</f>
        <v>0.2</v>
      </c>
      <c r="CD212" s="213">
        <f t="shared" si="70"/>
        <v>20.530999999999999</v>
      </c>
      <c r="CE212" s="214">
        <f t="shared" si="71"/>
        <v>1.8477899999999998</v>
      </c>
      <c r="CF212" s="215">
        <f>VLOOKUP(L212,'Impostos e Frete'!$A$3:$C$7,3,0)</f>
        <v>45</v>
      </c>
      <c r="CG212" s="215">
        <f t="shared" si="72"/>
        <v>0</v>
      </c>
      <c r="CH212" s="215">
        <f t="shared" si="73"/>
        <v>-45</v>
      </c>
      <c r="CI212" s="216">
        <f t="shared" si="74"/>
        <v>0.46367549654657481</v>
      </c>
      <c r="CJ212" s="217">
        <f t="shared" si="75"/>
        <v>20.994675496546574</v>
      </c>
      <c r="CK212" s="218">
        <f t="shared" si="76"/>
        <v>1.8895207946891914</v>
      </c>
    </row>
    <row r="213" spans="1:89">
      <c r="A213" s="176"/>
      <c r="B213" s="177">
        <v>986</v>
      </c>
      <c r="C213" s="190">
        <v>90</v>
      </c>
      <c r="D213" s="183">
        <v>2175</v>
      </c>
      <c r="E213" s="178" t="s">
        <v>49</v>
      </c>
      <c r="F213" s="191" t="s">
        <v>1</v>
      </c>
      <c r="G213" s="192" t="s">
        <v>5</v>
      </c>
      <c r="H213" s="183" t="s">
        <v>43</v>
      </c>
      <c r="I213" s="178">
        <v>986</v>
      </c>
      <c r="J213" s="183"/>
      <c r="K213" s="183"/>
      <c r="L213" s="183" t="s">
        <v>58</v>
      </c>
      <c r="M213" s="183">
        <v>0</v>
      </c>
      <c r="N213" s="183"/>
      <c r="O213" s="183"/>
      <c r="P213" s="183">
        <v>3</v>
      </c>
      <c r="Q213" s="183" t="s">
        <v>27</v>
      </c>
      <c r="R213" s="183" t="s">
        <v>19</v>
      </c>
      <c r="S213" s="181">
        <v>0.12</v>
      </c>
      <c r="T213" s="181" t="s">
        <v>210</v>
      </c>
      <c r="U213" s="182">
        <v>9.2499999999999999E-2</v>
      </c>
      <c r="V213" s="182" t="s">
        <v>35</v>
      </c>
      <c r="W213" s="183">
        <v>50</v>
      </c>
      <c r="X213" s="182" t="s">
        <v>46</v>
      </c>
      <c r="Y213" s="146">
        <f>18500</f>
        <v>18500</v>
      </c>
      <c r="Z213" s="146">
        <f>18500</f>
        <v>18500</v>
      </c>
      <c r="AA213" s="146">
        <f>18500</f>
        <v>18500</v>
      </c>
      <c r="AB213" s="146">
        <f>18500</f>
        <v>18500</v>
      </c>
      <c r="AC213" s="146">
        <f>18500</f>
        <v>18500</v>
      </c>
      <c r="AD213" s="146">
        <f>18500</f>
        <v>18500</v>
      </c>
      <c r="AE213" s="146">
        <f>17575</f>
        <v>17575</v>
      </c>
      <c r="AF213" s="146">
        <f>17575</f>
        <v>17575</v>
      </c>
      <c r="AG213" s="146">
        <f>17575</f>
        <v>17575</v>
      </c>
      <c r="AH213" s="146">
        <f>17000</f>
        <v>17000</v>
      </c>
      <c r="AI213" s="146">
        <f>17000</f>
        <v>17000</v>
      </c>
      <c r="AJ213" s="146">
        <f>17000</f>
        <v>17000</v>
      </c>
      <c r="AK213" s="146">
        <f>16490</f>
        <v>16490</v>
      </c>
      <c r="AL213" s="146">
        <f>16490</f>
        <v>16490</v>
      </c>
      <c r="AM213" s="146">
        <f>16490</f>
        <v>16490</v>
      </c>
      <c r="AN213" s="146">
        <f>16490</f>
        <v>16490</v>
      </c>
      <c r="AO213" s="146">
        <f>16490</f>
        <v>16490</v>
      </c>
      <c r="AP213" s="146">
        <f>16490</f>
        <v>16490</v>
      </c>
      <c r="AQ213" s="146">
        <f>17875</f>
        <v>17875</v>
      </c>
      <c r="AR213" s="146">
        <f>17875</f>
        <v>17875</v>
      </c>
      <c r="AS213" s="146">
        <f>17875</f>
        <v>17875</v>
      </c>
      <c r="AT213" s="184">
        <v>19216</v>
      </c>
      <c r="AU213" s="184">
        <v>19216</v>
      </c>
      <c r="AV213" s="184">
        <v>19216</v>
      </c>
      <c r="AW213" s="184">
        <v>19216</v>
      </c>
      <c r="AX213" s="184">
        <v>19216</v>
      </c>
      <c r="AY213" s="184">
        <v>19216</v>
      </c>
      <c r="AZ213" s="184">
        <v>19216</v>
      </c>
      <c r="BA213" s="184">
        <v>19216</v>
      </c>
      <c r="BB213" s="184">
        <v>19216</v>
      </c>
      <c r="BC213" s="184">
        <v>19216</v>
      </c>
      <c r="BD213" s="184">
        <v>19216</v>
      </c>
      <c r="BE213" s="184">
        <v>19216</v>
      </c>
      <c r="BF213" s="184">
        <v>19216</v>
      </c>
      <c r="BG213" s="184">
        <v>19216</v>
      </c>
      <c r="BH213" s="184">
        <v>19216</v>
      </c>
      <c r="BI213" s="184">
        <v>19216</v>
      </c>
      <c r="BJ213" s="184">
        <v>19216</v>
      </c>
      <c r="BK213" s="184">
        <v>19216</v>
      </c>
      <c r="BL213" s="184">
        <v>20331</v>
      </c>
      <c r="BM213" s="184">
        <v>20331</v>
      </c>
      <c r="BN213" s="184">
        <v>20331</v>
      </c>
      <c r="BO213" s="184"/>
      <c r="BP213" s="184"/>
      <c r="BQ213" s="184"/>
      <c r="BR213" s="184"/>
      <c r="BS213" s="184"/>
      <c r="BT213" s="184"/>
      <c r="BU213" s="146" cm="1">
        <f t="array" ref="BU213">LOOKUP(2,1/(Y213:BT213&lt;&gt;""),Y213:BH213)</f>
        <v>20331</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46174</v>
      </c>
      <c r="BW213" s="211" cm="1">
        <f t="array" ref="BW213">(LOOKUP(2,1/(BH213:BT213&lt;&gt;""),BH213:BT213))/(INDEX(BH213:BT213,MATCH(TRUE,INDEX((BH213:BT213&lt;&gt;0),0),0)))-1</f>
        <v>5.8024562864279705E-2</v>
      </c>
      <c r="BX213" s="212">
        <f t="shared" si="68"/>
        <v>20.331</v>
      </c>
      <c r="BY213" s="212">
        <f t="shared" si="67"/>
        <v>20.331</v>
      </c>
      <c r="BZ213" s="212">
        <f>IF(L213="BR",'Impostos e Frete'!$F$6,IF(L213="EU",'Impostos e Frete'!$I$3,IF(L213="CN",'Impostos e Frete'!$I$4,IF(L213="JP",'Impostos e Frete'!$I$5,IF(L213="RU",'Impostos e Frete'!$I$7,"ERRO")))))</f>
        <v>0</v>
      </c>
      <c r="CA213" s="212">
        <f>VLOOKUP(L213,'Impostos e Frete'!$A$3:$B$7,2,0)*'Preços e Condições'!BY213</f>
        <v>0</v>
      </c>
      <c r="CB213" s="147">
        <f t="shared" si="69"/>
        <v>0</v>
      </c>
      <c r="CC213" s="147">
        <f>IF(X213="BRL",'Impostos e Frete'!$B$11,'Impostos e Frete'!$B$12)</f>
        <v>0.2</v>
      </c>
      <c r="CD213" s="213">
        <f t="shared" si="70"/>
        <v>20.530999999999999</v>
      </c>
      <c r="CE213" s="214">
        <f t="shared" si="71"/>
        <v>1.8477899999999998</v>
      </c>
      <c r="CF213" s="215">
        <f>VLOOKUP(L213,'Impostos e Frete'!$A$3:$C$7,3,0)</f>
        <v>45</v>
      </c>
      <c r="CG213" s="215">
        <f t="shared" si="72"/>
        <v>0</v>
      </c>
      <c r="CH213" s="215">
        <f t="shared" si="73"/>
        <v>-45</v>
      </c>
      <c r="CI213" s="216">
        <f t="shared" si="74"/>
        <v>0.46367549654657481</v>
      </c>
      <c r="CJ213" s="217">
        <f t="shared" si="75"/>
        <v>20.994675496546574</v>
      </c>
      <c r="CK213" s="218">
        <f t="shared" si="76"/>
        <v>1.8895207946891914</v>
      </c>
    </row>
    <row r="214" spans="1:89">
      <c r="A214" s="176">
        <v>13844</v>
      </c>
      <c r="B214" s="177">
        <v>8269</v>
      </c>
      <c r="C214" s="190">
        <v>68</v>
      </c>
      <c r="D214" s="190">
        <v>623</v>
      </c>
      <c r="E214" s="178" t="s">
        <v>50</v>
      </c>
      <c r="F214" s="191" t="s">
        <v>1</v>
      </c>
      <c r="G214" s="192" t="s">
        <v>14</v>
      </c>
      <c r="H214" s="190" t="s">
        <v>42</v>
      </c>
      <c r="I214" s="178">
        <v>756</v>
      </c>
      <c r="J214" s="183"/>
      <c r="K214" s="190" t="s">
        <v>28</v>
      </c>
      <c r="L214" s="183" t="s">
        <v>58</v>
      </c>
      <c r="M214" s="183">
        <v>0</v>
      </c>
      <c r="N214" s="183"/>
      <c r="O214" s="183"/>
      <c r="P214" s="183">
        <v>3</v>
      </c>
      <c r="Q214" s="183" t="s">
        <v>27</v>
      </c>
      <c r="R214" s="183" t="s">
        <v>19</v>
      </c>
      <c r="S214" s="181">
        <v>0.12</v>
      </c>
      <c r="T214" s="181" t="s">
        <v>210</v>
      </c>
      <c r="U214" s="182">
        <v>9.2499999999999999E-2</v>
      </c>
      <c r="V214" s="182" t="s">
        <v>35</v>
      </c>
      <c r="W214" s="183">
        <v>50</v>
      </c>
      <c r="X214" s="182" t="s">
        <v>46</v>
      </c>
      <c r="Y214" s="146">
        <f>13500</f>
        <v>13500</v>
      </c>
      <c r="Z214" s="146">
        <f>13500</f>
        <v>13500</v>
      </c>
      <c r="AA214" s="146">
        <f>13500</f>
        <v>13500</v>
      </c>
      <c r="AB214" s="146">
        <f>13500</f>
        <v>13500</v>
      </c>
      <c r="AC214" s="146">
        <f>13500</f>
        <v>13500</v>
      </c>
      <c r="AD214" s="146">
        <f>13500</f>
        <v>13500</v>
      </c>
      <c r="AE214" s="146">
        <f>13000</f>
        <v>13000</v>
      </c>
      <c r="AF214" s="146">
        <f>13000</f>
        <v>13000</v>
      </c>
      <c r="AG214" s="146">
        <f>13000</f>
        <v>13000</v>
      </c>
      <c r="AH214" s="146">
        <f>12500</f>
        <v>12500</v>
      </c>
      <c r="AI214" s="146">
        <f>12500</f>
        <v>12500</v>
      </c>
      <c r="AJ214" s="146">
        <f>12500</f>
        <v>12500</v>
      </c>
      <c r="AK214" s="146">
        <f>15930</f>
        <v>15930</v>
      </c>
      <c r="AL214" s="146">
        <f>15930</f>
        <v>15930</v>
      </c>
      <c r="AM214" s="146">
        <f>15930</f>
        <v>15930</v>
      </c>
      <c r="AN214" s="146">
        <f>15930</f>
        <v>15930</v>
      </c>
      <c r="AO214" s="146">
        <f>15930</f>
        <v>15930</v>
      </c>
      <c r="AP214" s="146">
        <f>15930</f>
        <v>15930</v>
      </c>
      <c r="AQ214" s="146">
        <f>17268</f>
        <v>17268</v>
      </c>
      <c r="AR214" s="146">
        <f>17268</f>
        <v>17268</v>
      </c>
      <c r="AS214" s="146">
        <f>17268</f>
        <v>17268</v>
      </c>
      <c r="AT214" s="184">
        <v>17786</v>
      </c>
      <c r="AU214" s="184">
        <v>18131</v>
      </c>
      <c r="AV214" s="184">
        <v>18131</v>
      </c>
      <c r="AW214" s="184">
        <v>18131</v>
      </c>
      <c r="AX214" s="184">
        <v>18131</v>
      </c>
      <c r="AY214" s="184">
        <v>18131</v>
      </c>
      <c r="AZ214" s="184">
        <v>18131</v>
      </c>
      <c r="BA214" s="184">
        <v>18131</v>
      </c>
      <c r="BB214" s="184">
        <v>18131</v>
      </c>
      <c r="BC214" s="184">
        <v>18131</v>
      </c>
      <c r="BD214" s="184">
        <v>18131</v>
      </c>
      <c r="BE214" s="184">
        <v>18131</v>
      </c>
      <c r="BF214" s="184">
        <v>18131</v>
      </c>
      <c r="BG214" s="184">
        <v>18131</v>
      </c>
      <c r="BH214" s="184">
        <v>18131</v>
      </c>
      <c r="BI214" s="184">
        <v>18131</v>
      </c>
      <c r="BJ214" s="184">
        <v>18131</v>
      </c>
      <c r="BK214" s="184">
        <v>18131</v>
      </c>
      <c r="BL214" s="184">
        <v>19183</v>
      </c>
      <c r="BM214" s="184">
        <v>19183</v>
      </c>
      <c r="BN214" s="184">
        <v>19183</v>
      </c>
      <c r="BO214" s="184"/>
      <c r="BP214" s="184"/>
      <c r="BQ214" s="184"/>
      <c r="BR214" s="184"/>
      <c r="BS214" s="184"/>
      <c r="BT214" s="184"/>
      <c r="BU214" s="146" cm="1">
        <f t="array" ref="BU214">LOOKUP(2,1/(Y214:BT214&lt;&gt;""),Y214:BH214)</f>
        <v>19183</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46174</v>
      </c>
      <c r="BW214" s="211" cm="1">
        <f t="array" ref="BW214">(LOOKUP(2,1/(BH214:BT214&lt;&gt;""),BH214:BT214))/(INDEX(BH214:BT214,MATCH(TRUE,INDEX((BH214:BT214&lt;&gt;0),0),0)))-1</f>
        <v>5.8022171970657954E-2</v>
      </c>
      <c r="BX214" s="212">
        <f t="shared" si="68"/>
        <v>19.183</v>
      </c>
      <c r="BY214" s="212">
        <f t="shared" si="67"/>
        <v>19.183</v>
      </c>
      <c r="BZ214" s="212">
        <f>IF(L214="BR",'Impostos e Frete'!$F$6,IF(L214="EU",'Impostos e Frete'!$I$3,IF(L214="CN",'Impostos e Frete'!$I$4,IF(L214="JP",'Impostos e Frete'!$I$5,IF(L214="RU",'Impostos e Frete'!$I$7,"ERRO")))))</f>
        <v>0</v>
      </c>
      <c r="CA214" s="212">
        <f>VLOOKUP(L214,'Impostos e Frete'!$A$3:$B$7,2,0)*'Preços e Condições'!BY214</f>
        <v>0</v>
      </c>
      <c r="CB214" s="147">
        <f t="shared" si="69"/>
        <v>0</v>
      </c>
      <c r="CC214" s="147">
        <f>IF(X214="BRL",'Impostos e Frete'!$B$11,'Impostos e Frete'!$B$12)</f>
        <v>0.2</v>
      </c>
      <c r="CD214" s="213">
        <f t="shared" si="70"/>
        <v>19.382999999999999</v>
      </c>
      <c r="CE214" s="214">
        <f t="shared" si="71"/>
        <v>1.3180439999999998</v>
      </c>
      <c r="CF214" s="215">
        <f>VLOOKUP(L214,'Impostos e Frete'!$A$3:$C$7,3,0)</f>
        <v>45</v>
      </c>
      <c r="CG214" s="215">
        <f t="shared" si="72"/>
        <v>0</v>
      </c>
      <c r="CH214" s="215">
        <f t="shared" si="73"/>
        <v>-45</v>
      </c>
      <c r="CI214" s="216">
        <f t="shared" si="74"/>
        <v>0.43774887485082559</v>
      </c>
      <c r="CJ214" s="217">
        <f t="shared" si="75"/>
        <v>19.820748874850825</v>
      </c>
      <c r="CK214" s="218">
        <f t="shared" si="76"/>
        <v>1.3478109234898561</v>
      </c>
    </row>
    <row r="215" spans="1:89">
      <c r="A215" s="176">
        <v>15434</v>
      </c>
      <c r="B215" s="177">
        <v>399</v>
      </c>
      <c r="C215" s="190">
        <v>67</v>
      </c>
      <c r="D215" s="183">
        <v>1550</v>
      </c>
      <c r="E215" s="178" t="s">
        <v>50</v>
      </c>
      <c r="F215" s="191" t="s">
        <v>1</v>
      </c>
      <c r="G215" s="192" t="s">
        <v>12</v>
      </c>
      <c r="H215" s="178" t="s">
        <v>42</v>
      </c>
      <c r="I215" s="178">
        <v>751</v>
      </c>
      <c r="J215" s="183"/>
      <c r="K215" s="183"/>
      <c r="L215" s="183" t="s">
        <v>58</v>
      </c>
      <c r="M215" s="183">
        <v>0</v>
      </c>
      <c r="N215" s="183"/>
      <c r="O215" s="183"/>
      <c r="P215" s="183">
        <v>3</v>
      </c>
      <c r="Q215" s="183" t="s">
        <v>27</v>
      </c>
      <c r="R215" s="183" t="s">
        <v>19</v>
      </c>
      <c r="S215" s="181">
        <v>0.12</v>
      </c>
      <c r="T215" s="181" t="s">
        <v>210</v>
      </c>
      <c r="U215" s="182">
        <v>9.2499999999999999E-2</v>
      </c>
      <c r="V215" s="182" t="s">
        <v>35</v>
      </c>
      <c r="W215" s="183">
        <v>50</v>
      </c>
      <c r="X215" s="182" t="s">
        <v>46</v>
      </c>
      <c r="Y215" s="146">
        <f t="shared" ref="Y215:AA216" si="79">20739.92</f>
        <v>20739.919999999998</v>
      </c>
      <c r="Z215" s="146">
        <f t="shared" si="79"/>
        <v>20739.919999999998</v>
      </c>
      <c r="AA215" s="146">
        <f t="shared" si="79"/>
        <v>20739.919999999998</v>
      </c>
      <c r="AB215" s="146">
        <f>16500</f>
        <v>16500</v>
      </c>
      <c r="AC215" s="146">
        <f>16500</f>
        <v>16500</v>
      </c>
      <c r="AD215" s="146">
        <f>16500</f>
        <v>16500</v>
      </c>
      <c r="AE215" s="146">
        <f>15840</f>
        <v>15840</v>
      </c>
      <c r="AF215" s="146">
        <f>15840</f>
        <v>15840</v>
      </c>
      <c r="AG215" s="146">
        <f>15840</f>
        <v>15840</v>
      </c>
      <c r="AH215" s="146">
        <f>15050</f>
        <v>15050</v>
      </c>
      <c r="AI215" s="146">
        <f>15050</f>
        <v>15050</v>
      </c>
      <c r="AJ215" s="146">
        <f>15050</f>
        <v>15050</v>
      </c>
      <c r="AK215" s="146">
        <f>14600</f>
        <v>14600</v>
      </c>
      <c r="AL215" s="146">
        <f>14600</f>
        <v>14600</v>
      </c>
      <c r="AM215" s="146">
        <f>14600</f>
        <v>14600</v>
      </c>
      <c r="AN215" s="146">
        <f>14600</f>
        <v>14600</v>
      </c>
      <c r="AO215" s="146">
        <f>14600</f>
        <v>14600</v>
      </c>
      <c r="AP215" s="146">
        <f>14600</f>
        <v>14600</v>
      </c>
      <c r="AQ215" s="146">
        <f>15826</f>
        <v>15826</v>
      </c>
      <c r="AR215" s="146">
        <f>15826</f>
        <v>15826</v>
      </c>
      <c r="AS215" s="146">
        <f>15826</f>
        <v>15826</v>
      </c>
      <c r="AT215" s="184">
        <v>16301</v>
      </c>
      <c r="AU215" s="184">
        <v>16617</v>
      </c>
      <c r="AV215" s="184">
        <v>16617</v>
      </c>
      <c r="AW215" s="184">
        <v>16617</v>
      </c>
      <c r="AX215" s="184">
        <v>16617</v>
      </c>
      <c r="AY215" s="184">
        <v>16617</v>
      </c>
      <c r="AZ215" s="184">
        <v>16617</v>
      </c>
      <c r="BA215" s="184">
        <v>16617</v>
      </c>
      <c r="BB215" s="184">
        <v>16617</v>
      </c>
      <c r="BC215" s="184">
        <v>16617</v>
      </c>
      <c r="BD215" s="184">
        <v>16617</v>
      </c>
      <c r="BE215" s="184">
        <v>16617</v>
      </c>
      <c r="BF215" s="184">
        <v>16617</v>
      </c>
      <c r="BG215" s="184">
        <v>16617</v>
      </c>
      <c r="BH215" s="184">
        <v>16617</v>
      </c>
      <c r="BI215" s="184">
        <v>16617</v>
      </c>
      <c r="BJ215" s="184">
        <v>16617</v>
      </c>
      <c r="BK215" s="184">
        <v>16617</v>
      </c>
      <c r="BL215" s="184">
        <v>17581</v>
      </c>
      <c r="BM215" s="184">
        <v>17581</v>
      </c>
      <c r="BN215" s="184">
        <v>17581</v>
      </c>
      <c r="BO215" s="184"/>
      <c r="BP215" s="184"/>
      <c r="BQ215" s="184"/>
      <c r="BR215" s="184"/>
      <c r="BS215" s="184"/>
      <c r="BT215" s="184"/>
      <c r="BU215" s="146" cm="1">
        <f t="array" ref="BU215">LOOKUP(2,1/(Y215:BT215&lt;&gt;""),Y215:BH215)</f>
        <v>17581</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46174</v>
      </c>
      <c r="BW215" s="211" cm="1">
        <f t="array" ref="BW215">(LOOKUP(2,1/(BH215:BT215&lt;&gt;""),BH215:BT215))/(INDEX(BH215:BT215,MATCH(TRUE,INDEX((BH215:BT215&lt;&gt;0),0),0)))-1</f>
        <v>5.801287837756508E-2</v>
      </c>
      <c r="BX215" s="212">
        <f t="shared" si="68"/>
        <v>17.581</v>
      </c>
      <c r="BY215" s="212">
        <f t="shared" si="67"/>
        <v>17.581</v>
      </c>
      <c r="BZ215" s="212">
        <f>IF(L215="BR",'Impostos e Frete'!$F$6,IF(L215="EU",'Impostos e Frete'!$I$3,IF(L215="CN",'Impostos e Frete'!$I$4,IF(L215="JP",'Impostos e Frete'!$I$5,IF(L215="RU",'Impostos e Frete'!$I$7,"ERRO")))))</f>
        <v>0</v>
      </c>
      <c r="CA215" s="212">
        <f>VLOOKUP(L215,'Impostos e Frete'!$A$3:$B$7,2,0)*'Preços e Condições'!BY215</f>
        <v>0</v>
      </c>
      <c r="CB215" s="147">
        <f t="shared" si="69"/>
        <v>0</v>
      </c>
      <c r="CC215" s="147">
        <f>IF(X215="BRL",'Impostos e Frete'!$B$11,'Impostos e Frete'!$B$12)</f>
        <v>0.2</v>
      </c>
      <c r="CD215" s="213">
        <f t="shared" si="70"/>
        <v>17.780999999999999</v>
      </c>
      <c r="CE215" s="214">
        <f t="shared" si="71"/>
        <v>1.1913269999999998</v>
      </c>
      <c r="CF215" s="215">
        <f>VLOOKUP(L215,'Impostos e Frete'!$A$3:$C$7,3,0)</f>
        <v>45</v>
      </c>
      <c r="CG215" s="215">
        <f t="shared" si="72"/>
        <v>0</v>
      </c>
      <c r="CH215" s="215">
        <f t="shared" si="73"/>
        <v>-45</v>
      </c>
      <c r="CI215" s="216">
        <f t="shared" si="74"/>
        <v>0.40156904213602118</v>
      </c>
      <c r="CJ215" s="217">
        <f t="shared" si="75"/>
        <v>18.18256904213602</v>
      </c>
      <c r="CK215" s="218">
        <f t="shared" si="76"/>
        <v>1.2182321258231132</v>
      </c>
    </row>
    <row r="216" spans="1:89">
      <c r="A216" s="176">
        <v>15434</v>
      </c>
      <c r="B216" s="177">
        <v>399</v>
      </c>
      <c r="C216" s="190">
        <v>67</v>
      </c>
      <c r="D216" s="183">
        <v>1870</v>
      </c>
      <c r="E216" s="178" t="s">
        <v>50</v>
      </c>
      <c r="F216" s="191" t="s">
        <v>1</v>
      </c>
      <c r="G216" s="192" t="s">
        <v>12</v>
      </c>
      <c r="H216" s="178" t="s">
        <v>42</v>
      </c>
      <c r="I216" s="178">
        <v>751</v>
      </c>
      <c r="J216" s="183"/>
      <c r="K216" s="183"/>
      <c r="L216" s="183" t="s">
        <v>58</v>
      </c>
      <c r="M216" s="183">
        <v>0</v>
      </c>
      <c r="N216" s="183"/>
      <c r="O216" s="183"/>
      <c r="P216" s="183">
        <v>3</v>
      </c>
      <c r="Q216" s="183" t="s">
        <v>27</v>
      </c>
      <c r="R216" s="183" t="s">
        <v>19</v>
      </c>
      <c r="S216" s="181">
        <v>0.12</v>
      </c>
      <c r="T216" s="181" t="s">
        <v>210</v>
      </c>
      <c r="U216" s="182">
        <v>9.2499999999999999E-2</v>
      </c>
      <c r="V216" s="182" t="s">
        <v>35</v>
      </c>
      <c r="W216" s="183">
        <v>50</v>
      </c>
      <c r="X216" s="182" t="s">
        <v>46</v>
      </c>
      <c r="Y216" s="146">
        <f t="shared" si="79"/>
        <v>20739.919999999998</v>
      </c>
      <c r="Z216" s="146">
        <f t="shared" si="79"/>
        <v>20739.919999999998</v>
      </c>
      <c r="AA216" s="146">
        <f t="shared" si="79"/>
        <v>20739.919999999998</v>
      </c>
      <c r="AB216" s="146">
        <f>16500</f>
        <v>16500</v>
      </c>
      <c r="AC216" s="146">
        <f>16500</f>
        <v>16500</v>
      </c>
      <c r="AD216" s="146">
        <f>16500</f>
        <v>16500</v>
      </c>
      <c r="AE216" s="146">
        <f>15840</f>
        <v>15840</v>
      </c>
      <c r="AF216" s="146">
        <f>15840</f>
        <v>15840</v>
      </c>
      <c r="AG216" s="146">
        <f>15840</f>
        <v>15840</v>
      </c>
      <c r="AH216" s="146">
        <f>15050</f>
        <v>15050</v>
      </c>
      <c r="AI216" s="146">
        <f>15050</f>
        <v>15050</v>
      </c>
      <c r="AJ216" s="146">
        <f>15050</f>
        <v>15050</v>
      </c>
      <c r="AK216" s="146">
        <f>14600</f>
        <v>14600</v>
      </c>
      <c r="AL216" s="146">
        <f>14600</f>
        <v>14600</v>
      </c>
      <c r="AM216" s="146">
        <f>14600</f>
        <v>14600</v>
      </c>
      <c r="AN216" s="146">
        <f>14600</f>
        <v>14600</v>
      </c>
      <c r="AO216" s="146">
        <f>14600</f>
        <v>14600</v>
      </c>
      <c r="AP216" s="146">
        <f>14600</f>
        <v>14600</v>
      </c>
      <c r="AQ216" s="146">
        <f>15826</f>
        <v>15826</v>
      </c>
      <c r="AR216" s="146">
        <f>15826</f>
        <v>15826</v>
      </c>
      <c r="AS216" s="146">
        <f>15826</f>
        <v>15826</v>
      </c>
      <c r="AT216" s="184">
        <v>16301</v>
      </c>
      <c r="AU216" s="184">
        <v>16617</v>
      </c>
      <c r="AV216" s="184">
        <v>16617</v>
      </c>
      <c r="AW216" s="184">
        <v>16617</v>
      </c>
      <c r="AX216" s="184">
        <v>16617</v>
      </c>
      <c r="AY216" s="184">
        <v>16617</v>
      </c>
      <c r="AZ216" s="184">
        <v>16617</v>
      </c>
      <c r="BA216" s="184">
        <v>16617</v>
      </c>
      <c r="BB216" s="184">
        <v>16617</v>
      </c>
      <c r="BC216" s="184">
        <v>16617</v>
      </c>
      <c r="BD216" s="184">
        <v>16617</v>
      </c>
      <c r="BE216" s="184">
        <v>16617</v>
      </c>
      <c r="BF216" s="184">
        <v>16617</v>
      </c>
      <c r="BG216" s="184">
        <v>16617</v>
      </c>
      <c r="BH216" s="184">
        <v>16617</v>
      </c>
      <c r="BI216" s="184">
        <v>16617</v>
      </c>
      <c r="BJ216" s="184">
        <v>16617</v>
      </c>
      <c r="BK216" s="184">
        <v>16617</v>
      </c>
      <c r="BL216" s="184">
        <v>17581</v>
      </c>
      <c r="BM216" s="184">
        <v>17581</v>
      </c>
      <c r="BN216" s="184">
        <v>17581</v>
      </c>
      <c r="BO216" s="184"/>
      <c r="BP216" s="184"/>
      <c r="BQ216" s="184"/>
      <c r="BR216" s="184"/>
      <c r="BS216" s="184"/>
      <c r="BT216" s="184"/>
      <c r="BU216" s="146" cm="1">
        <f t="array" ref="BU216">LOOKUP(2,1/(Y216:BT216&lt;&gt;""),Y216:BH216)</f>
        <v>17581</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46174</v>
      </c>
      <c r="BW216" s="211" cm="1">
        <f t="array" ref="BW216">(LOOKUP(2,1/(BH216:BT216&lt;&gt;""),BH216:BT216))/(INDEX(BH216:BT216,MATCH(TRUE,INDEX((BH216:BT216&lt;&gt;0),0),0)))-1</f>
        <v>5.801287837756508E-2</v>
      </c>
      <c r="BX216" s="212">
        <f t="shared" si="68"/>
        <v>17.581</v>
      </c>
      <c r="BY216" s="212">
        <f t="shared" si="67"/>
        <v>17.581</v>
      </c>
      <c r="BZ216" s="212">
        <f>IF(L216="BR",'Impostos e Frete'!$F$6,IF(L216="EU",'Impostos e Frete'!$I$3,IF(L216="CN",'Impostos e Frete'!$I$4,IF(L216="JP",'Impostos e Frete'!$I$5,IF(L216="RU",'Impostos e Frete'!$I$7,"ERRO")))))</f>
        <v>0</v>
      </c>
      <c r="CA216" s="212">
        <f>VLOOKUP(L216,'Impostos e Frete'!$A$3:$B$7,2,0)*'Preços e Condições'!BY216</f>
        <v>0</v>
      </c>
      <c r="CB216" s="147">
        <f t="shared" si="69"/>
        <v>0</v>
      </c>
      <c r="CC216" s="147">
        <f>IF(X216="BRL",'Impostos e Frete'!$B$11,'Impostos e Frete'!$B$12)</f>
        <v>0.2</v>
      </c>
      <c r="CD216" s="213">
        <f t="shared" si="70"/>
        <v>17.780999999999999</v>
      </c>
      <c r="CE216" s="214">
        <f t="shared" si="71"/>
        <v>1.1913269999999998</v>
      </c>
      <c r="CF216" s="215">
        <f>VLOOKUP(L216,'Impostos e Frete'!$A$3:$C$7,3,0)</f>
        <v>45</v>
      </c>
      <c r="CG216" s="215">
        <f t="shared" si="72"/>
        <v>0</v>
      </c>
      <c r="CH216" s="215">
        <f t="shared" si="73"/>
        <v>-45</v>
      </c>
      <c r="CI216" s="216">
        <f t="shared" si="74"/>
        <v>0.40156904213602118</v>
      </c>
      <c r="CJ216" s="217">
        <f t="shared" si="75"/>
        <v>18.18256904213602</v>
      </c>
      <c r="CK216" s="218">
        <f t="shared" si="76"/>
        <v>1.2182321258231132</v>
      </c>
    </row>
    <row r="217" spans="1:89">
      <c r="A217" s="176">
        <v>15432</v>
      </c>
      <c r="B217" s="177">
        <v>2638</v>
      </c>
      <c r="C217" s="190">
        <v>67</v>
      </c>
      <c r="D217" s="183">
        <v>1870</v>
      </c>
      <c r="E217" s="178" t="s">
        <v>50</v>
      </c>
      <c r="F217" s="191" t="s">
        <v>1</v>
      </c>
      <c r="G217" s="192" t="s">
        <v>13</v>
      </c>
      <c r="H217" s="178" t="s">
        <v>42</v>
      </c>
      <c r="I217" s="178">
        <v>752</v>
      </c>
      <c r="J217" s="183"/>
      <c r="K217" s="183"/>
      <c r="L217" s="183" t="s">
        <v>58</v>
      </c>
      <c r="M217" s="183">
        <v>0</v>
      </c>
      <c r="N217" s="183"/>
      <c r="O217" s="183"/>
      <c r="P217" s="183">
        <v>3</v>
      </c>
      <c r="Q217" s="183" t="s">
        <v>27</v>
      </c>
      <c r="R217" s="183" t="s">
        <v>19</v>
      </c>
      <c r="S217" s="181">
        <v>0.12</v>
      </c>
      <c r="T217" s="181" t="s">
        <v>210</v>
      </c>
      <c r="U217" s="182">
        <v>9.2499999999999999E-2</v>
      </c>
      <c r="V217" s="182" t="s">
        <v>35</v>
      </c>
      <c r="W217" s="183">
        <v>50</v>
      </c>
      <c r="X217" s="182" t="s">
        <v>46</v>
      </c>
      <c r="Y217" s="146">
        <f>21810.44</f>
        <v>21810.44</v>
      </c>
      <c r="Z217" s="146">
        <f>21810.44</f>
        <v>21810.44</v>
      </c>
      <c r="AA217" s="146">
        <f>21810.44</f>
        <v>21810.44</v>
      </c>
      <c r="AB217" s="146">
        <f>17000</f>
        <v>17000</v>
      </c>
      <c r="AC217" s="146">
        <f>17000</f>
        <v>17000</v>
      </c>
      <c r="AD217" s="146">
        <f>17000</f>
        <v>17000</v>
      </c>
      <c r="AE217" s="146">
        <f>16320</f>
        <v>16320</v>
      </c>
      <c r="AF217" s="146">
        <f>16320</f>
        <v>16320</v>
      </c>
      <c r="AG217" s="146">
        <f>16320</f>
        <v>16320</v>
      </c>
      <c r="AH217" s="146">
        <f>15505</f>
        <v>15505</v>
      </c>
      <c r="AI217" s="146">
        <f>15505</f>
        <v>15505</v>
      </c>
      <c r="AJ217" s="146">
        <f>15505</f>
        <v>15505</v>
      </c>
      <c r="AK217" s="146">
        <f>15040</f>
        <v>15040</v>
      </c>
      <c r="AL217" s="146">
        <f>15040</f>
        <v>15040</v>
      </c>
      <c r="AM217" s="146">
        <f>15040</f>
        <v>15040</v>
      </c>
      <c r="AN217" s="146">
        <f>15040</f>
        <v>15040</v>
      </c>
      <c r="AO217" s="146">
        <f>15040</f>
        <v>15040</v>
      </c>
      <c r="AP217" s="146">
        <f>15040</f>
        <v>15040</v>
      </c>
      <c r="AQ217" s="146">
        <f>16303</f>
        <v>16303</v>
      </c>
      <c r="AR217" s="146">
        <f>16303</f>
        <v>16303</v>
      </c>
      <c r="AS217" s="146">
        <f>16303</f>
        <v>16303</v>
      </c>
      <c r="AT217" s="184">
        <v>16792</v>
      </c>
      <c r="AU217" s="184">
        <v>17118</v>
      </c>
      <c r="AV217" s="184">
        <v>17118</v>
      </c>
      <c r="AW217" s="184">
        <v>17118</v>
      </c>
      <c r="AX217" s="184">
        <v>17118</v>
      </c>
      <c r="AY217" s="184">
        <v>17118</v>
      </c>
      <c r="AZ217" s="184">
        <v>17118</v>
      </c>
      <c r="BA217" s="184">
        <v>17118</v>
      </c>
      <c r="BB217" s="184">
        <v>17118</v>
      </c>
      <c r="BC217" s="184">
        <v>17118</v>
      </c>
      <c r="BD217" s="184">
        <v>17118</v>
      </c>
      <c r="BE217" s="184">
        <v>17118</v>
      </c>
      <c r="BF217" s="184">
        <v>17118</v>
      </c>
      <c r="BG217" s="184">
        <v>17118</v>
      </c>
      <c r="BH217" s="184">
        <v>17118</v>
      </c>
      <c r="BI217" s="184">
        <v>17118</v>
      </c>
      <c r="BJ217" s="184">
        <v>17118</v>
      </c>
      <c r="BK217" s="184">
        <v>17118</v>
      </c>
      <c r="BL217" s="184">
        <v>18111</v>
      </c>
      <c r="BM217" s="184">
        <v>18111</v>
      </c>
      <c r="BN217" s="184">
        <v>18111</v>
      </c>
      <c r="BO217" s="184"/>
      <c r="BP217" s="184"/>
      <c r="BQ217" s="184"/>
      <c r="BR217" s="184"/>
      <c r="BS217" s="184"/>
      <c r="BT217" s="184"/>
      <c r="BU217" s="146" cm="1">
        <f t="array" ref="BU217">LOOKUP(2,1/(Y217:BT217&lt;&gt;""),Y217:BH217)</f>
        <v>18111</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46174</v>
      </c>
      <c r="BW217" s="211" cm="1">
        <f t="array" ref="BW217">(LOOKUP(2,1/(BH217:BT217&lt;&gt;""),BH217:BT217))/(INDEX(BH217:BT217,MATCH(TRUE,INDEX((BH217:BT217&lt;&gt;0),0),0)))-1</f>
        <v>5.8009113214160468E-2</v>
      </c>
      <c r="BX217" s="212">
        <f t="shared" si="68"/>
        <v>18.111000000000001</v>
      </c>
      <c r="BY217" s="212">
        <f t="shared" si="67"/>
        <v>18.111000000000001</v>
      </c>
      <c r="BZ217" s="212">
        <f>IF(L217="BR",'Impostos e Frete'!$F$6,IF(L217="EU",'Impostos e Frete'!$I$3,IF(L217="CN",'Impostos e Frete'!$I$4,IF(L217="JP",'Impostos e Frete'!$I$5,IF(L217="RU",'Impostos e Frete'!$I$7,"ERRO")))))</f>
        <v>0</v>
      </c>
      <c r="CA217" s="212">
        <f>VLOOKUP(L217,'Impostos e Frete'!$A$3:$B$7,2,0)*'Preços e Condições'!BY217</f>
        <v>0</v>
      </c>
      <c r="CB217" s="147">
        <f t="shared" si="69"/>
        <v>0</v>
      </c>
      <c r="CC217" s="147">
        <f>IF(X217="BRL",'Impostos e Frete'!$B$11,'Impostos e Frete'!$B$12)</f>
        <v>0.2</v>
      </c>
      <c r="CD217" s="213">
        <f t="shared" si="70"/>
        <v>18.311</v>
      </c>
      <c r="CE217" s="214">
        <f t="shared" si="71"/>
        <v>1.226837</v>
      </c>
      <c r="CF217" s="215">
        <f>VLOOKUP(L217,'Impostos e Frete'!$A$3:$C$7,3,0)</f>
        <v>45</v>
      </c>
      <c r="CG217" s="215">
        <f t="shared" si="72"/>
        <v>0</v>
      </c>
      <c r="CH217" s="215">
        <f t="shared" si="73"/>
        <v>-45</v>
      </c>
      <c r="CI217" s="216">
        <f t="shared" si="74"/>
        <v>0.41353864971332754</v>
      </c>
      <c r="CJ217" s="217">
        <f t="shared" si="75"/>
        <v>18.724538649713327</v>
      </c>
      <c r="CK217" s="218">
        <f t="shared" si="76"/>
        <v>1.2545440895307929</v>
      </c>
    </row>
    <row r="218" spans="1:89">
      <c r="A218" s="176">
        <v>15440</v>
      </c>
      <c r="B218" s="177">
        <v>8269</v>
      </c>
      <c r="C218" s="190">
        <v>68</v>
      </c>
      <c r="D218" s="183">
        <v>1270</v>
      </c>
      <c r="E218" s="178" t="s">
        <v>50</v>
      </c>
      <c r="F218" s="191" t="s">
        <v>1</v>
      </c>
      <c r="G218" s="192" t="s">
        <v>14</v>
      </c>
      <c r="H218" s="178" t="s">
        <v>42</v>
      </c>
      <c r="I218" s="178">
        <v>756</v>
      </c>
      <c r="J218" s="183"/>
      <c r="K218" s="183"/>
      <c r="L218" s="183" t="s">
        <v>58</v>
      </c>
      <c r="M218" s="183">
        <v>0</v>
      </c>
      <c r="N218" s="183"/>
      <c r="O218" s="183"/>
      <c r="P218" s="183">
        <v>3</v>
      </c>
      <c r="Q218" s="183" t="s">
        <v>27</v>
      </c>
      <c r="R218" s="183" t="s">
        <v>19</v>
      </c>
      <c r="S218" s="181">
        <v>0.12</v>
      </c>
      <c r="T218" s="181" t="s">
        <v>210</v>
      </c>
      <c r="U218" s="182">
        <v>9.2499999999999999E-2</v>
      </c>
      <c r="V218" s="182" t="s">
        <v>35</v>
      </c>
      <c r="W218" s="183">
        <v>50</v>
      </c>
      <c r="X218" s="182" t="s">
        <v>46</v>
      </c>
      <c r="Y218" s="146">
        <f t="shared" ref="Y218:AA220" si="80">23019.38</f>
        <v>23019.38</v>
      </c>
      <c r="Z218" s="146">
        <f t="shared" si="80"/>
        <v>23019.38</v>
      </c>
      <c r="AA218" s="146">
        <f t="shared" si="80"/>
        <v>23019.38</v>
      </c>
      <c r="AB218" s="146">
        <f>18000</f>
        <v>18000</v>
      </c>
      <c r="AC218" s="146">
        <f>18000</f>
        <v>18000</v>
      </c>
      <c r="AD218" s="146">
        <f>18000</f>
        <v>18000</v>
      </c>
      <c r="AE218" s="146">
        <f>17280</f>
        <v>17280</v>
      </c>
      <c r="AF218" s="146">
        <f>17280</f>
        <v>17280</v>
      </c>
      <c r="AG218" s="146">
        <f>17280</f>
        <v>17280</v>
      </c>
      <c r="AH218" s="146">
        <f>16420</f>
        <v>16420</v>
      </c>
      <c r="AI218" s="146">
        <f>16420</f>
        <v>16420</v>
      </c>
      <c r="AJ218" s="146">
        <f>16420</f>
        <v>16420</v>
      </c>
      <c r="AK218" s="146">
        <f>15930</f>
        <v>15930</v>
      </c>
      <c r="AL218" s="146">
        <f>15930</f>
        <v>15930</v>
      </c>
      <c r="AM218" s="146">
        <f>15930</f>
        <v>15930</v>
      </c>
      <c r="AN218" s="146">
        <f>15930</f>
        <v>15930</v>
      </c>
      <c r="AO218" s="146">
        <f>15930</f>
        <v>15930</v>
      </c>
      <c r="AP218" s="146">
        <f>15930</f>
        <v>15930</v>
      </c>
      <c r="AQ218" s="146">
        <f>17268</f>
        <v>17268</v>
      </c>
      <c r="AR218" s="146">
        <f>17268</f>
        <v>17268</v>
      </c>
      <c r="AS218" s="146">
        <f>17268</f>
        <v>17268</v>
      </c>
      <c r="AT218" s="184">
        <v>17786</v>
      </c>
      <c r="AU218" s="184">
        <v>18131</v>
      </c>
      <c r="AV218" s="184">
        <v>18131</v>
      </c>
      <c r="AW218" s="184">
        <v>18131</v>
      </c>
      <c r="AX218" s="184">
        <v>18131</v>
      </c>
      <c r="AY218" s="184">
        <v>18131</v>
      </c>
      <c r="AZ218" s="184">
        <v>18131</v>
      </c>
      <c r="BA218" s="184">
        <v>18131</v>
      </c>
      <c r="BB218" s="184">
        <v>18131</v>
      </c>
      <c r="BC218" s="184">
        <v>18131</v>
      </c>
      <c r="BD218" s="184">
        <v>18131</v>
      </c>
      <c r="BE218" s="184">
        <v>18131</v>
      </c>
      <c r="BF218" s="184">
        <v>18131</v>
      </c>
      <c r="BG218" s="184">
        <v>18131</v>
      </c>
      <c r="BH218" s="184">
        <v>18131</v>
      </c>
      <c r="BI218" s="184">
        <v>18131</v>
      </c>
      <c r="BJ218" s="184">
        <v>18131</v>
      </c>
      <c r="BK218" s="184">
        <v>18131</v>
      </c>
      <c r="BL218" s="184">
        <v>19183</v>
      </c>
      <c r="BM218" s="184">
        <v>19183</v>
      </c>
      <c r="BN218" s="184">
        <v>19183</v>
      </c>
      <c r="BO218" s="184"/>
      <c r="BP218" s="184"/>
      <c r="BQ218" s="184"/>
      <c r="BR218" s="184"/>
      <c r="BS218" s="184"/>
      <c r="BT218" s="184"/>
      <c r="BU218" s="146" cm="1">
        <f t="array" ref="BU218">LOOKUP(2,1/(Y218:BT218&lt;&gt;""),Y218:BH218)</f>
        <v>19183</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46174</v>
      </c>
      <c r="BW218" s="211" cm="1">
        <f t="array" ref="BW218">(LOOKUP(2,1/(BH218:BT218&lt;&gt;""),BH218:BT218))/(INDEX(BH218:BT218,MATCH(TRUE,INDEX((BH218:BT218&lt;&gt;0),0),0)))-1</f>
        <v>5.8022171970657954E-2</v>
      </c>
      <c r="BX218" s="212">
        <f t="shared" si="68"/>
        <v>19.183</v>
      </c>
      <c r="BY218" s="212">
        <f t="shared" si="67"/>
        <v>19.183</v>
      </c>
      <c r="BZ218" s="212">
        <f>IF(L218="BR",'Impostos e Frete'!$F$6,IF(L218="EU",'Impostos e Frete'!$I$3,IF(L218="CN",'Impostos e Frete'!$I$4,IF(L218="JP",'Impostos e Frete'!$I$5,IF(L218="RU",'Impostos e Frete'!$I$7,"ERRO")))))</f>
        <v>0</v>
      </c>
      <c r="CA218" s="212">
        <f>VLOOKUP(L218,'Impostos e Frete'!$A$3:$B$7,2,0)*'Preços e Condições'!BY218</f>
        <v>0</v>
      </c>
      <c r="CB218" s="147">
        <f t="shared" si="69"/>
        <v>0</v>
      </c>
      <c r="CC218" s="147">
        <f>IF(X218="BRL",'Impostos e Frete'!$B$11,'Impostos e Frete'!$B$12)</f>
        <v>0.2</v>
      </c>
      <c r="CD218" s="213">
        <f t="shared" si="70"/>
        <v>19.382999999999999</v>
      </c>
      <c r="CE218" s="214">
        <f t="shared" si="71"/>
        <v>1.3180439999999998</v>
      </c>
      <c r="CF218" s="215">
        <f>VLOOKUP(L218,'Impostos e Frete'!$A$3:$C$7,3,0)</f>
        <v>45</v>
      </c>
      <c r="CG218" s="215">
        <f t="shared" si="72"/>
        <v>0</v>
      </c>
      <c r="CH218" s="215">
        <f t="shared" si="73"/>
        <v>-45</v>
      </c>
      <c r="CI218" s="216">
        <f t="shared" si="74"/>
        <v>0.43774887485082559</v>
      </c>
      <c r="CJ218" s="217">
        <f t="shared" si="75"/>
        <v>19.820748874850825</v>
      </c>
      <c r="CK218" s="218">
        <f t="shared" si="76"/>
        <v>1.3478109234898561</v>
      </c>
    </row>
    <row r="219" spans="1:89">
      <c r="A219" s="176">
        <v>15440</v>
      </c>
      <c r="B219" s="177">
        <v>8269</v>
      </c>
      <c r="C219" s="190">
        <v>68</v>
      </c>
      <c r="D219" s="183">
        <v>1870</v>
      </c>
      <c r="E219" s="178" t="s">
        <v>50</v>
      </c>
      <c r="F219" s="191" t="s">
        <v>1</v>
      </c>
      <c r="G219" s="192" t="s">
        <v>14</v>
      </c>
      <c r="H219" s="178" t="s">
        <v>42</v>
      </c>
      <c r="I219" s="178">
        <v>756</v>
      </c>
      <c r="J219" s="183"/>
      <c r="K219" s="183"/>
      <c r="L219" s="183" t="s">
        <v>58</v>
      </c>
      <c r="M219" s="183">
        <v>0</v>
      </c>
      <c r="N219" s="183"/>
      <c r="O219" s="183"/>
      <c r="P219" s="183">
        <v>3</v>
      </c>
      <c r="Q219" s="183" t="s">
        <v>27</v>
      </c>
      <c r="R219" s="183" t="s">
        <v>19</v>
      </c>
      <c r="S219" s="181">
        <v>0.12</v>
      </c>
      <c r="T219" s="181" t="s">
        <v>210</v>
      </c>
      <c r="U219" s="182">
        <v>9.2499999999999999E-2</v>
      </c>
      <c r="V219" s="182" t="s">
        <v>35</v>
      </c>
      <c r="W219" s="183">
        <v>50</v>
      </c>
      <c r="X219" s="182" t="s">
        <v>46</v>
      </c>
      <c r="Y219" s="146">
        <f t="shared" si="80"/>
        <v>23019.38</v>
      </c>
      <c r="Z219" s="146">
        <f t="shared" si="80"/>
        <v>23019.38</v>
      </c>
      <c r="AA219" s="146">
        <f t="shared" si="80"/>
        <v>23019.38</v>
      </c>
      <c r="AB219" s="146">
        <f>18000</f>
        <v>18000</v>
      </c>
      <c r="AC219" s="146">
        <f>18000</f>
        <v>18000</v>
      </c>
      <c r="AD219" s="146">
        <f>18000</f>
        <v>18000</v>
      </c>
      <c r="AE219" s="146">
        <f>17280</f>
        <v>17280</v>
      </c>
      <c r="AF219" s="146">
        <f>17280</f>
        <v>17280</v>
      </c>
      <c r="AG219" s="146">
        <f>17280</f>
        <v>17280</v>
      </c>
      <c r="AH219" s="146">
        <f>16420</f>
        <v>16420</v>
      </c>
      <c r="AI219" s="146">
        <f>16420</f>
        <v>16420</v>
      </c>
      <c r="AJ219" s="146">
        <f>16420</f>
        <v>16420</v>
      </c>
      <c r="AK219" s="146">
        <f>15930</f>
        <v>15930</v>
      </c>
      <c r="AL219" s="146">
        <f>15930</f>
        <v>15930</v>
      </c>
      <c r="AM219" s="146">
        <f>15930</f>
        <v>15930</v>
      </c>
      <c r="AN219" s="146">
        <f>15930</f>
        <v>15930</v>
      </c>
      <c r="AO219" s="146">
        <f>15930</f>
        <v>15930</v>
      </c>
      <c r="AP219" s="146">
        <f>15930</f>
        <v>15930</v>
      </c>
      <c r="AQ219" s="146">
        <f>17268</f>
        <v>17268</v>
      </c>
      <c r="AR219" s="146">
        <f>17268</f>
        <v>17268</v>
      </c>
      <c r="AS219" s="146">
        <f>17268</f>
        <v>17268</v>
      </c>
      <c r="AT219" s="184">
        <v>17786</v>
      </c>
      <c r="AU219" s="184">
        <v>18131</v>
      </c>
      <c r="AV219" s="184">
        <v>18131</v>
      </c>
      <c r="AW219" s="184">
        <v>18131</v>
      </c>
      <c r="AX219" s="184">
        <v>18131</v>
      </c>
      <c r="AY219" s="184">
        <v>18131</v>
      </c>
      <c r="AZ219" s="184">
        <v>18131</v>
      </c>
      <c r="BA219" s="184">
        <v>18131</v>
      </c>
      <c r="BB219" s="184">
        <v>18131</v>
      </c>
      <c r="BC219" s="184">
        <v>18131</v>
      </c>
      <c r="BD219" s="184">
        <v>18131</v>
      </c>
      <c r="BE219" s="184">
        <v>18131</v>
      </c>
      <c r="BF219" s="184">
        <v>18131</v>
      </c>
      <c r="BG219" s="184">
        <v>18131</v>
      </c>
      <c r="BH219" s="184">
        <v>18131</v>
      </c>
      <c r="BI219" s="184">
        <v>18131</v>
      </c>
      <c r="BJ219" s="184">
        <v>18131</v>
      </c>
      <c r="BK219" s="184">
        <v>18131</v>
      </c>
      <c r="BL219" s="184">
        <v>19183</v>
      </c>
      <c r="BM219" s="184">
        <v>19183</v>
      </c>
      <c r="BN219" s="184">
        <v>19183</v>
      </c>
      <c r="BO219" s="184"/>
      <c r="BP219" s="184"/>
      <c r="BQ219" s="184"/>
      <c r="BR219" s="184"/>
      <c r="BS219" s="184"/>
      <c r="BT219" s="184"/>
      <c r="BU219" s="146" cm="1">
        <f t="array" ref="BU219">LOOKUP(2,1/(Y219:BT219&lt;&gt;""),Y219:BH219)</f>
        <v>19183</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46174</v>
      </c>
      <c r="BW219" s="211" cm="1">
        <f t="array" ref="BW219">(LOOKUP(2,1/(BH219:BT219&lt;&gt;""),BH219:BT219))/(INDEX(BH219:BT219,MATCH(TRUE,INDEX((BH219:BT219&lt;&gt;0),0),0)))-1</f>
        <v>5.8022171970657954E-2</v>
      </c>
      <c r="BX219" s="212">
        <f t="shared" si="68"/>
        <v>19.183</v>
      </c>
      <c r="BY219" s="212">
        <f t="shared" si="67"/>
        <v>19.183</v>
      </c>
      <c r="BZ219" s="212">
        <f>IF(L219="BR",'Impostos e Frete'!$F$6,IF(L219="EU",'Impostos e Frete'!$I$3,IF(L219="CN",'Impostos e Frete'!$I$4,IF(L219="JP",'Impostos e Frete'!$I$5,IF(L219="RU",'Impostos e Frete'!$I$7,"ERRO")))))</f>
        <v>0</v>
      </c>
      <c r="CA219" s="212">
        <f>VLOOKUP(L219,'Impostos e Frete'!$A$3:$B$7,2,0)*'Preços e Condições'!BY219</f>
        <v>0</v>
      </c>
      <c r="CB219" s="147">
        <f t="shared" si="69"/>
        <v>0</v>
      </c>
      <c r="CC219" s="147">
        <f>IF(X219="BRL",'Impostos e Frete'!$B$11,'Impostos e Frete'!$B$12)</f>
        <v>0.2</v>
      </c>
      <c r="CD219" s="213">
        <f t="shared" si="70"/>
        <v>19.382999999999999</v>
      </c>
      <c r="CE219" s="214">
        <f t="shared" si="71"/>
        <v>1.3180439999999998</v>
      </c>
      <c r="CF219" s="215">
        <f>VLOOKUP(L219,'Impostos e Frete'!$A$3:$C$7,3,0)</f>
        <v>45</v>
      </c>
      <c r="CG219" s="215">
        <f t="shared" si="72"/>
        <v>0</v>
      </c>
      <c r="CH219" s="215">
        <f t="shared" si="73"/>
        <v>-45</v>
      </c>
      <c r="CI219" s="216">
        <f t="shared" si="74"/>
        <v>0.43774887485082559</v>
      </c>
      <c r="CJ219" s="217">
        <f t="shared" si="75"/>
        <v>19.820748874850825</v>
      </c>
      <c r="CK219" s="218">
        <f t="shared" si="76"/>
        <v>1.3478109234898561</v>
      </c>
    </row>
    <row r="220" spans="1:89">
      <c r="A220" s="176">
        <v>15440</v>
      </c>
      <c r="B220" s="177">
        <v>8269</v>
      </c>
      <c r="C220" s="190">
        <v>68</v>
      </c>
      <c r="D220" s="183">
        <v>2120</v>
      </c>
      <c r="E220" s="178" t="s">
        <v>50</v>
      </c>
      <c r="F220" s="191" t="s">
        <v>1</v>
      </c>
      <c r="G220" s="192" t="s">
        <v>14</v>
      </c>
      <c r="H220" s="178" t="s">
        <v>42</v>
      </c>
      <c r="I220" s="178">
        <v>756</v>
      </c>
      <c r="J220" s="183"/>
      <c r="K220" s="183"/>
      <c r="L220" s="183" t="s">
        <v>58</v>
      </c>
      <c r="M220" s="183">
        <v>0</v>
      </c>
      <c r="N220" s="183"/>
      <c r="O220" s="183"/>
      <c r="P220" s="183">
        <v>3</v>
      </c>
      <c r="Q220" s="183" t="s">
        <v>27</v>
      </c>
      <c r="R220" s="183" t="s">
        <v>19</v>
      </c>
      <c r="S220" s="181">
        <v>0.12</v>
      </c>
      <c r="T220" s="181" t="s">
        <v>210</v>
      </c>
      <c r="U220" s="182">
        <v>9.2499999999999999E-2</v>
      </c>
      <c r="V220" s="182" t="s">
        <v>35</v>
      </c>
      <c r="W220" s="183">
        <v>50</v>
      </c>
      <c r="X220" s="182" t="s">
        <v>46</v>
      </c>
      <c r="Y220" s="146">
        <f t="shared" si="80"/>
        <v>23019.38</v>
      </c>
      <c r="Z220" s="146">
        <f t="shared" si="80"/>
        <v>23019.38</v>
      </c>
      <c r="AA220" s="146">
        <f t="shared" si="80"/>
        <v>23019.38</v>
      </c>
      <c r="AB220" s="146">
        <f>18000</f>
        <v>18000</v>
      </c>
      <c r="AC220" s="146">
        <f>18000</f>
        <v>18000</v>
      </c>
      <c r="AD220" s="146">
        <f>18000</f>
        <v>18000</v>
      </c>
      <c r="AE220" s="146">
        <f>17280</f>
        <v>17280</v>
      </c>
      <c r="AF220" s="146">
        <f>17280</f>
        <v>17280</v>
      </c>
      <c r="AG220" s="146">
        <f>17280</f>
        <v>17280</v>
      </c>
      <c r="AH220" s="146">
        <f>16420</f>
        <v>16420</v>
      </c>
      <c r="AI220" s="146">
        <f>16420</f>
        <v>16420</v>
      </c>
      <c r="AJ220" s="146">
        <f>16420</f>
        <v>16420</v>
      </c>
      <c r="AK220" s="146">
        <f>15930</f>
        <v>15930</v>
      </c>
      <c r="AL220" s="146">
        <f>15930</f>
        <v>15930</v>
      </c>
      <c r="AM220" s="146">
        <f>15930</f>
        <v>15930</v>
      </c>
      <c r="AN220" s="146">
        <f>15930</f>
        <v>15930</v>
      </c>
      <c r="AO220" s="146">
        <f>15930</f>
        <v>15930</v>
      </c>
      <c r="AP220" s="146">
        <f>15930</f>
        <v>15930</v>
      </c>
      <c r="AQ220" s="146">
        <f>17268</f>
        <v>17268</v>
      </c>
      <c r="AR220" s="146">
        <f>17268</f>
        <v>17268</v>
      </c>
      <c r="AS220" s="146">
        <f>17268</f>
        <v>17268</v>
      </c>
      <c r="AT220" s="184">
        <v>17786</v>
      </c>
      <c r="AU220" s="184">
        <v>18131</v>
      </c>
      <c r="AV220" s="184">
        <v>18131</v>
      </c>
      <c r="AW220" s="184">
        <v>18131</v>
      </c>
      <c r="AX220" s="184">
        <v>18131</v>
      </c>
      <c r="AY220" s="184">
        <v>18131</v>
      </c>
      <c r="AZ220" s="184">
        <v>18131</v>
      </c>
      <c r="BA220" s="184">
        <v>18131</v>
      </c>
      <c r="BB220" s="184">
        <v>18131</v>
      </c>
      <c r="BC220" s="184">
        <v>18131</v>
      </c>
      <c r="BD220" s="184">
        <v>18131</v>
      </c>
      <c r="BE220" s="184">
        <v>18131</v>
      </c>
      <c r="BF220" s="184">
        <v>18131</v>
      </c>
      <c r="BG220" s="184">
        <v>18131</v>
      </c>
      <c r="BH220" s="184">
        <v>18131</v>
      </c>
      <c r="BI220" s="184">
        <v>18131</v>
      </c>
      <c r="BJ220" s="184">
        <v>18131</v>
      </c>
      <c r="BK220" s="184">
        <v>18131</v>
      </c>
      <c r="BL220" s="184">
        <v>19183</v>
      </c>
      <c r="BM220" s="184">
        <v>19183</v>
      </c>
      <c r="BN220" s="184">
        <v>19183</v>
      </c>
      <c r="BO220" s="184"/>
      <c r="BP220" s="184"/>
      <c r="BQ220" s="184"/>
      <c r="BR220" s="184"/>
      <c r="BS220" s="184"/>
      <c r="BT220" s="184"/>
      <c r="BU220" s="146" cm="1">
        <f t="array" ref="BU220">LOOKUP(2,1/(Y220:BT220&lt;&gt;""),Y220:BH220)</f>
        <v>19183</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46174</v>
      </c>
      <c r="BW220" s="211" cm="1">
        <f t="array" ref="BW220">(LOOKUP(2,1/(BH220:BT220&lt;&gt;""),BH220:BT220))/(INDEX(BH220:BT220,MATCH(TRUE,INDEX((BH220:BT220&lt;&gt;0),0),0)))-1</f>
        <v>5.8022171970657954E-2</v>
      </c>
      <c r="BX220" s="212">
        <f t="shared" si="68"/>
        <v>19.183</v>
      </c>
      <c r="BY220" s="212">
        <f t="shared" si="67"/>
        <v>19.183</v>
      </c>
      <c r="BZ220" s="212">
        <f>IF(L220="BR",'Impostos e Frete'!$F$6,IF(L220="EU",'Impostos e Frete'!$I$3,IF(L220="CN",'Impostos e Frete'!$I$4,IF(L220="JP",'Impostos e Frete'!$I$5,IF(L220="RU",'Impostos e Frete'!$I$7,"ERRO")))))</f>
        <v>0</v>
      </c>
      <c r="CA220" s="212">
        <f>VLOOKUP(L220,'Impostos e Frete'!$A$3:$B$7,2,0)*'Preços e Condições'!BY220</f>
        <v>0</v>
      </c>
      <c r="CB220" s="147">
        <f t="shared" si="69"/>
        <v>0</v>
      </c>
      <c r="CC220" s="147">
        <f>IF(X220="BRL",'Impostos e Frete'!$B$11,'Impostos e Frete'!$B$12)</f>
        <v>0.2</v>
      </c>
      <c r="CD220" s="213">
        <f t="shared" si="70"/>
        <v>19.382999999999999</v>
      </c>
      <c r="CE220" s="214">
        <f t="shared" si="71"/>
        <v>1.3180439999999998</v>
      </c>
      <c r="CF220" s="215">
        <f>VLOOKUP(L220,'Impostos e Frete'!$A$3:$C$7,3,0)</f>
        <v>45</v>
      </c>
      <c r="CG220" s="215">
        <f t="shared" si="72"/>
        <v>0</v>
      </c>
      <c r="CH220" s="215">
        <f t="shared" si="73"/>
        <v>-45</v>
      </c>
      <c r="CI220" s="216">
        <f t="shared" si="74"/>
        <v>0.43774887485082559</v>
      </c>
      <c r="CJ220" s="217">
        <f t="shared" si="75"/>
        <v>19.820748874850825</v>
      </c>
      <c r="CK220" s="218">
        <f t="shared" si="76"/>
        <v>1.3478109234898561</v>
      </c>
    </row>
    <row r="221" spans="1:89">
      <c r="A221" s="176">
        <v>15441</v>
      </c>
      <c r="B221" s="177">
        <v>8269</v>
      </c>
      <c r="C221" s="190">
        <v>68</v>
      </c>
      <c r="D221" s="190">
        <v>2120</v>
      </c>
      <c r="E221" s="178" t="s">
        <v>50</v>
      </c>
      <c r="F221" s="191" t="s">
        <v>1</v>
      </c>
      <c r="G221" s="192" t="s">
        <v>14</v>
      </c>
      <c r="H221" s="190" t="s">
        <v>42</v>
      </c>
      <c r="I221" s="178">
        <v>756</v>
      </c>
      <c r="J221" s="183"/>
      <c r="K221" s="190" t="s">
        <v>28</v>
      </c>
      <c r="L221" s="183" t="s">
        <v>58</v>
      </c>
      <c r="M221" s="183">
        <v>0</v>
      </c>
      <c r="N221" s="183"/>
      <c r="O221" s="183"/>
      <c r="P221" s="183">
        <v>3</v>
      </c>
      <c r="Q221" s="183" t="s">
        <v>27</v>
      </c>
      <c r="R221" s="183" t="s">
        <v>19</v>
      </c>
      <c r="S221" s="181">
        <v>0.12</v>
      </c>
      <c r="T221" s="181" t="s">
        <v>210</v>
      </c>
      <c r="U221" s="182">
        <v>9.2499999999999999E-2</v>
      </c>
      <c r="V221" s="182" t="s">
        <v>35</v>
      </c>
      <c r="W221" s="183">
        <v>50</v>
      </c>
      <c r="X221" s="182" t="s">
        <v>46</v>
      </c>
      <c r="Y221" s="146">
        <f>13500</f>
        <v>13500</v>
      </c>
      <c r="Z221" s="146">
        <f>13500</f>
        <v>13500</v>
      </c>
      <c r="AA221" s="146">
        <f>13500</f>
        <v>13500</v>
      </c>
      <c r="AB221" s="146">
        <f>13500</f>
        <v>13500</v>
      </c>
      <c r="AC221" s="146">
        <f>13500</f>
        <v>13500</v>
      </c>
      <c r="AD221" s="146">
        <f>13500</f>
        <v>13500</v>
      </c>
      <c r="AE221" s="146">
        <f>13000</f>
        <v>13000</v>
      </c>
      <c r="AF221" s="146">
        <f>13000</f>
        <v>13000</v>
      </c>
      <c r="AG221" s="146">
        <f>13000</f>
        <v>13000</v>
      </c>
      <c r="AH221" s="146">
        <f>12500</f>
        <v>12500</v>
      </c>
      <c r="AI221" s="146">
        <f>12500</f>
        <v>12500</v>
      </c>
      <c r="AJ221" s="146">
        <f>12500</f>
        <v>12500</v>
      </c>
      <c r="AK221" s="146">
        <f>15930</f>
        <v>15930</v>
      </c>
      <c r="AL221" s="146">
        <f>15930</f>
        <v>15930</v>
      </c>
      <c r="AM221" s="146">
        <f>15930</f>
        <v>15930</v>
      </c>
      <c r="AN221" s="146">
        <f>15930</f>
        <v>15930</v>
      </c>
      <c r="AO221" s="146">
        <f>15930</f>
        <v>15930</v>
      </c>
      <c r="AP221" s="146">
        <f>15930</f>
        <v>15930</v>
      </c>
      <c r="AQ221" s="146">
        <f>17268</f>
        <v>17268</v>
      </c>
      <c r="AR221" s="146">
        <f>17268</f>
        <v>17268</v>
      </c>
      <c r="AS221" s="146">
        <f>17268</f>
        <v>17268</v>
      </c>
      <c r="AT221" s="184">
        <v>17786</v>
      </c>
      <c r="AU221" s="184">
        <v>18131</v>
      </c>
      <c r="AV221" s="184">
        <v>18131</v>
      </c>
      <c r="AW221" s="184">
        <v>18131</v>
      </c>
      <c r="AX221" s="184">
        <v>18131</v>
      </c>
      <c r="AY221" s="184">
        <v>18131</v>
      </c>
      <c r="AZ221" s="184">
        <v>18131</v>
      </c>
      <c r="BA221" s="184">
        <v>18131</v>
      </c>
      <c r="BB221" s="184">
        <v>18131</v>
      </c>
      <c r="BC221" s="184">
        <v>18131</v>
      </c>
      <c r="BD221" s="184">
        <v>18131</v>
      </c>
      <c r="BE221" s="184">
        <v>18131</v>
      </c>
      <c r="BF221" s="184">
        <v>18131</v>
      </c>
      <c r="BG221" s="184">
        <v>18131</v>
      </c>
      <c r="BH221" s="184">
        <v>18131</v>
      </c>
      <c r="BI221" s="184">
        <v>18131</v>
      </c>
      <c r="BJ221" s="184">
        <v>18131</v>
      </c>
      <c r="BK221" s="184">
        <v>18131</v>
      </c>
      <c r="BL221" s="184">
        <v>19183</v>
      </c>
      <c r="BM221" s="184">
        <v>19183</v>
      </c>
      <c r="BN221" s="184">
        <v>19183</v>
      </c>
      <c r="BO221" s="184"/>
      <c r="BP221" s="184"/>
      <c r="BQ221" s="184"/>
      <c r="BR221" s="184"/>
      <c r="BS221" s="184"/>
      <c r="BT221" s="184"/>
      <c r="BU221" s="146" cm="1">
        <f t="array" ref="BU221">LOOKUP(2,1/(Y221:BT221&lt;&gt;""),Y221:BH221)</f>
        <v>19183</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46174</v>
      </c>
      <c r="BW221" s="211" cm="1">
        <f t="array" ref="BW221">(LOOKUP(2,1/(BH221:BT221&lt;&gt;""),BH221:BT221))/(INDEX(BH221:BT221,MATCH(TRUE,INDEX((BH221:BT221&lt;&gt;0),0),0)))-1</f>
        <v>5.8022171970657954E-2</v>
      </c>
      <c r="BX221" s="212">
        <f t="shared" si="68"/>
        <v>19.183</v>
      </c>
      <c r="BY221" s="212">
        <f t="shared" si="67"/>
        <v>19.183</v>
      </c>
      <c r="BZ221" s="212">
        <f>IF(L221="BR",'Impostos e Frete'!$F$6,IF(L221="EU",'Impostos e Frete'!$I$3,IF(L221="CN",'Impostos e Frete'!$I$4,IF(L221="JP",'Impostos e Frete'!$I$5,IF(L221="RU",'Impostos e Frete'!$I$7,"ERRO")))))</f>
        <v>0</v>
      </c>
      <c r="CA221" s="212">
        <f>VLOOKUP(L221,'Impostos e Frete'!$A$3:$B$7,2,0)*'Preços e Condições'!BY221</f>
        <v>0</v>
      </c>
      <c r="CB221" s="147">
        <f t="shared" si="69"/>
        <v>0</v>
      </c>
      <c r="CC221" s="147">
        <f>IF(X221="BRL",'Impostos e Frete'!$B$11,'Impostos e Frete'!$B$12)</f>
        <v>0.2</v>
      </c>
      <c r="CD221" s="213">
        <f t="shared" si="70"/>
        <v>19.382999999999999</v>
      </c>
      <c r="CE221" s="214">
        <f t="shared" si="71"/>
        <v>1.3180439999999998</v>
      </c>
      <c r="CF221" s="215">
        <f>VLOOKUP(L221,'Impostos e Frete'!$A$3:$C$7,3,0)</f>
        <v>45</v>
      </c>
      <c r="CG221" s="215">
        <f t="shared" si="72"/>
        <v>0</v>
      </c>
      <c r="CH221" s="215">
        <f t="shared" si="73"/>
        <v>-45</v>
      </c>
      <c r="CI221" s="216">
        <f t="shared" si="74"/>
        <v>0.43774887485082559</v>
      </c>
      <c r="CJ221" s="217">
        <f t="shared" si="75"/>
        <v>19.820748874850825</v>
      </c>
      <c r="CK221" s="218">
        <f t="shared" si="76"/>
        <v>1.3478109234898561</v>
      </c>
    </row>
    <row r="222" spans="1:89">
      <c r="A222" s="176">
        <v>15442</v>
      </c>
      <c r="B222" s="177">
        <v>2638</v>
      </c>
      <c r="C222" s="190">
        <v>67</v>
      </c>
      <c r="D222" s="183">
        <v>1270</v>
      </c>
      <c r="E222" s="178" t="s">
        <v>50</v>
      </c>
      <c r="F222" s="191" t="s">
        <v>1</v>
      </c>
      <c r="G222" s="192" t="s">
        <v>13</v>
      </c>
      <c r="H222" s="178" t="s">
        <v>42</v>
      </c>
      <c r="I222" s="178">
        <v>752</v>
      </c>
      <c r="J222" s="183"/>
      <c r="K222" s="183"/>
      <c r="L222" s="183" t="s">
        <v>58</v>
      </c>
      <c r="M222" s="183">
        <v>0</v>
      </c>
      <c r="N222" s="183"/>
      <c r="O222" s="183"/>
      <c r="P222" s="183">
        <v>3</v>
      </c>
      <c r="Q222" s="183" t="s">
        <v>27</v>
      </c>
      <c r="R222" s="183" t="s">
        <v>19</v>
      </c>
      <c r="S222" s="181">
        <v>0.12</v>
      </c>
      <c r="T222" s="181" t="s">
        <v>210</v>
      </c>
      <c r="U222" s="182">
        <v>9.2499999999999999E-2</v>
      </c>
      <c r="V222" s="182" t="s">
        <v>35</v>
      </c>
      <c r="W222" s="183">
        <v>50</v>
      </c>
      <c r="X222" s="182" t="s">
        <v>46</v>
      </c>
      <c r="Y222" s="146">
        <f>21810.44</f>
        <v>21810.44</v>
      </c>
      <c r="Z222" s="146">
        <f>21810.44</f>
        <v>21810.44</v>
      </c>
      <c r="AA222" s="146">
        <f>21810.44</f>
        <v>21810.44</v>
      </c>
      <c r="AB222" s="146">
        <f>17000</f>
        <v>17000</v>
      </c>
      <c r="AC222" s="146">
        <f>17000</f>
        <v>17000</v>
      </c>
      <c r="AD222" s="146">
        <f>17000</f>
        <v>17000</v>
      </c>
      <c r="AE222" s="146">
        <f>16320</f>
        <v>16320</v>
      </c>
      <c r="AF222" s="146">
        <f>16320</f>
        <v>16320</v>
      </c>
      <c r="AG222" s="146">
        <f>16320</f>
        <v>16320</v>
      </c>
      <c r="AH222" s="146">
        <f>15505</f>
        <v>15505</v>
      </c>
      <c r="AI222" s="146">
        <f>15505</f>
        <v>15505</v>
      </c>
      <c r="AJ222" s="146">
        <f>15505</f>
        <v>15505</v>
      </c>
      <c r="AK222" s="146">
        <f>15040</f>
        <v>15040</v>
      </c>
      <c r="AL222" s="146">
        <f>15040</f>
        <v>15040</v>
      </c>
      <c r="AM222" s="146">
        <f>15040</f>
        <v>15040</v>
      </c>
      <c r="AN222" s="146">
        <f>15040</f>
        <v>15040</v>
      </c>
      <c r="AO222" s="146">
        <f>15040</f>
        <v>15040</v>
      </c>
      <c r="AP222" s="146">
        <f>15040</f>
        <v>15040</v>
      </c>
      <c r="AQ222" s="146">
        <f>16303</f>
        <v>16303</v>
      </c>
      <c r="AR222" s="146">
        <f>16303</f>
        <v>16303</v>
      </c>
      <c r="AS222" s="146">
        <f>16303</f>
        <v>16303</v>
      </c>
      <c r="AT222" s="184">
        <v>16792</v>
      </c>
      <c r="AU222" s="184">
        <v>17118</v>
      </c>
      <c r="AV222" s="184">
        <v>17118</v>
      </c>
      <c r="AW222" s="184">
        <v>17118</v>
      </c>
      <c r="AX222" s="184">
        <v>17118</v>
      </c>
      <c r="AY222" s="184">
        <v>17118</v>
      </c>
      <c r="AZ222" s="184">
        <v>17118</v>
      </c>
      <c r="BA222" s="184">
        <v>17118</v>
      </c>
      <c r="BB222" s="184">
        <v>17118</v>
      </c>
      <c r="BC222" s="184">
        <v>17118</v>
      </c>
      <c r="BD222" s="184">
        <v>17118</v>
      </c>
      <c r="BE222" s="184">
        <v>17118</v>
      </c>
      <c r="BF222" s="184">
        <v>17118</v>
      </c>
      <c r="BG222" s="184">
        <v>17118</v>
      </c>
      <c r="BH222" s="184">
        <v>17118</v>
      </c>
      <c r="BI222" s="184">
        <v>17118</v>
      </c>
      <c r="BJ222" s="184">
        <v>17118</v>
      </c>
      <c r="BK222" s="184">
        <v>17118</v>
      </c>
      <c r="BL222" s="184">
        <v>18111</v>
      </c>
      <c r="BM222" s="184">
        <v>18111</v>
      </c>
      <c r="BN222" s="184">
        <v>18111</v>
      </c>
      <c r="BO222" s="184"/>
      <c r="BP222" s="184"/>
      <c r="BQ222" s="184"/>
      <c r="BR222" s="184"/>
      <c r="BS222" s="184"/>
      <c r="BT222" s="184"/>
      <c r="BU222" s="146" cm="1">
        <f t="array" ref="BU222">LOOKUP(2,1/(Y222:BT222&lt;&gt;""),Y222:BH222)</f>
        <v>18111</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46174</v>
      </c>
      <c r="BW222" s="211" cm="1">
        <f t="array" ref="BW222">(LOOKUP(2,1/(BH222:BT222&lt;&gt;""),BH222:BT222))/(INDEX(BH222:BT222,MATCH(TRUE,INDEX((BH222:BT222&lt;&gt;0),0),0)))-1</f>
        <v>5.8009113214160468E-2</v>
      </c>
      <c r="BX222" s="212">
        <f t="shared" si="68"/>
        <v>18.111000000000001</v>
      </c>
      <c r="BY222" s="212">
        <f t="shared" si="67"/>
        <v>18.111000000000001</v>
      </c>
      <c r="BZ222" s="212">
        <f>IF(L222="BR",'Impostos e Frete'!$F$6,IF(L222="EU",'Impostos e Frete'!$I$3,IF(L222="CN",'Impostos e Frete'!$I$4,IF(L222="JP",'Impostos e Frete'!$I$5,IF(L222="RU",'Impostos e Frete'!$I$7,"ERRO")))))</f>
        <v>0</v>
      </c>
      <c r="CA222" s="212">
        <f>VLOOKUP(L222,'Impostos e Frete'!$A$3:$B$7,2,0)*'Preços e Condições'!BY222</f>
        <v>0</v>
      </c>
      <c r="CB222" s="147">
        <f t="shared" si="69"/>
        <v>0</v>
      </c>
      <c r="CC222" s="147">
        <f>IF(X222="BRL",'Impostos e Frete'!$B$11,'Impostos e Frete'!$B$12)</f>
        <v>0.2</v>
      </c>
      <c r="CD222" s="213">
        <f t="shared" si="70"/>
        <v>18.311</v>
      </c>
      <c r="CE222" s="214">
        <f t="shared" si="71"/>
        <v>1.226837</v>
      </c>
      <c r="CF222" s="215">
        <f>VLOOKUP(L222,'Impostos e Frete'!$A$3:$C$7,3,0)</f>
        <v>45</v>
      </c>
      <c r="CG222" s="215">
        <f t="shared" si="72"/>
        <v>0</v>
      </c>
      <c r="CH222" s="215">
        <f t="shared" si="73"/>
        <v>-45</v>
      </c>
      <c r="CI222" s="216">
        <f t="shared" si="74"/>
        <v>0.41353864971332754</v>
      </c>
      <c r="CJ222" s="217">
        <f t="shared" si="75"/>
        <v>18.724538649713327</v>
      </c>
      <c r="CK222" s="218">
        <f t="shared" si="76"/>
        <v>1.2545440895307929</v>
      </c>
    </row>
    <row r="223" spans="1:89">
      <c r="A223" s="176">
        <v>15444</v>
      </c>
      <c r="B223" s="177">
        <v>8269</v>
      </c>
      <c r="C223" s="190">
        <v>68</v>
      </c>
      <c r="D223" s="190">
        <v>1270</v>
      </c>
      <c r="E223" s="178" t="s">
        <v>50</v>
      </c>
      <c r="F223" s="191" t="s">
        <v>1</v>
      </c>
      <c r="G223" s="192" t="s">
        <v>14</v>
      </c>
      <c r="H223" s="190" t="s">
        <v>42</v>
      </c>
      <c r="I223" s="178">
        <v>756</v>
      </c>
      <c r="J223" s="183"/>
      <c r="K223" s="190" t="s">
        <v>28</v>
      </c>
      <c r="L223" s="183" t="s">
        <v>58</v>
      </c>
      <c r="M223" s="183">
        <v>0</v>
      </c>
      <c r="N223" s="183"/>
      <c r="O223" s="183"/>
      <c r="P223" s="183">
        <v>3</v>
      </c>
      <c r="Q223" s="183" t="s">
        <v>27</v>
      </c>
      <c r="R223" s="183" t="s">
        <v>19</v>
      </c>
      <c r="S223" s="181">
        <v>0.12</v>
      </c>
      <c r="T223" s="181" t="s">
        <v>210</v>
      </c>
      <c r="U223" s="182">
        <v>9.2499999999999999E-2</v>
      </c>
      <c r="V223" s="182" t="s">
        <v>35</v>
      </c>
      <c r="W223" s="183">
        <v>50</v>
      </c>
      <c r="X223" s="182" t="s">
        <v>46</v>
      </c>
      <c r="Y223" s="146">
        <f>13500</f>
        <v>13500</v>
      </c>
      <c r="Z223" s="146">
        <f>13500</f>
        <v>13500</v>
      </c>
      <c r="AA223" s="146">
        <f>13500</f>
        <v>13500</v>
      </c>
      <c r="AB223" s="146">
        <f>13500</f>
        <v>13500</v>
      </c>
      <c r="AC223" s="146">
        <f>13500</f>
        <v>13500</v>
      </c>
      <c r="AD223" s="146">
        <f>13500</f>
        <v>13500</v>
      </c>
      <c r="AE223" s="146">
        <f>13000</f>
        <v>13000</v>
      </c>
      <c r="AF223" s="146">
        <f>13000</f>
        <v>13000</v>
      </c>
      <c r="AG223" s="146">
        <f>13000</f>
        <v>13000</v>
      </c>
      <c r="AH223" s="146">
        <f>12500</f>
        <v>12500</v>
      </c>
      <c r="AI223" s="146">
        <f>12500</f>
        <v>12500</v>
      </c>
      <c r="AJ223" s="146">
        <f>12500</f>
        <v>12500</v>
      </c>
      <c r="AK223" s="146">
        <f>15930</f>
        <v>15930</v>
      </c>
      <c r="AL223" s="146">
        <f>15930</f>
        <v>15930</v>
      </c>
      <c r="AM223" s="146">
        <f>15930</f>
        <v>15930</v>
      </c>
      <c r="AN223" s="146">
        <f>15930</f>
        <v>15930</v>
      </c>
      <c r="AO223" s="146">
        <f>15930</f>
        <v>15930</v>
      </c>
      <c r="AP223" s="146">
        <f>15930</f>
        <v>15930</v>
      </c>
      <c r="AQ223" s="146">
        <f>17268</f>
        <v>17268</v>
      </c>
      <c r="AR223" s="146">
        <f>17268</f>
        <v>17268</v>
      </c>
      <c r="AS223" s="146">
        <f>17268</f>
        <v>17268</v>
      </c>
      <c r="AT223" s="184">
        <v>17786</v>
      </c>
      <c r="AU223" s="184">
        <v>18131</v>
      </c>
      <c r="AV223" s="184">
        <v>18131</v>
      </c>
      <c r="AW223" s="184">
        <v>18131</v>
      </c>
      <c r="AX223" s="184">
        <v>18131</v>
      </c>
      <c r="AY223" s="184">
        <v>18131</v>
      </c>
      <c r="AZ223" s="184">
        <v>18131</v>
      </c>
      <c r="BA223" s="184">
        <v>18131</v>
      </c>
      <c r="BB223" s="184">
        <v>18131</v>
      </c>
      <c r="BC223" s="184">
        <v>18131</v>
      </c>
      <c r="BD223" s="184">
        <v>18131</v>
      </c>
      <c r="BE223" s="184">
        <v>18131</v>
      </c>
      <c r="BF223" s="184">
        <v>18131</v>
      </c>
      <c r="BG223" s="184">
        <v>18131</v>
      </c>
      <c r="BH223" s="184">
        <v>18131</v>
      </c>
      <c r="BI223" s="184">
        <v>18131</v>
      </c>
      <c r="BJ223" s="184">
        <v>18131</v>
      </c>
      <c r="BK223" s="184">
        <v>18131</v>
      </c>
      <c r="BL223" s="184">
        <v>19183</v>
      </c>
      <c r="BM223" s="184">
        <v>19183</v>
      </c>
      <c r="BN223" s="184">
        <v>19183</v>
      </c>
      <c r="BO223" s="184"/>
      <c r="BP223" s="184"/>
      <c r="BQ223" s="184"/>
      <c r="BR223" s="184"/>
      <c r="BS223" s="184"/>
      <c r="BT223" s="184"/>
      <c r="BU223" s="146" cm="1">
        <f t="array" ref="BU223">LOOKUP(2,1/(Y223:BT223&lt;&gt;""),Y223:BH223)</f>
        <v>19183</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46174</v>
      </c>
      <c r="BW223" s="211" cm="1">
        <f t="array" ref="BW223">(LOOKUP(2,1/(BH223:BT223&lt;&gt;""),BH223:BT223))/(INDEX(BH223:BT223,MATCH(TRUE,INDEX((BH223:BT223&lt;&gt;0),0),0)))-1</f>
        <v>5.8022171970657954E-2</v>
      </c>
      <c r="BX223" s="212">
        <f t="shared" si="68"/>
        <v>19.183</v>
      </c>
      <c r="BY223" s="212">
        <f t="shared" si="67"/>
        <v>19.183</v>
      </c>
      <c r="BZ223" s="212">
        <f>IF(L223="BR",'Impostos e Frete'!$F$6,IF(L223="EU",'Impostos e Frete'!$I$3,IF(L223="CN",'Impostos e Frete'!$I$4,IF(L223="JP",'Impostos e Frete'!$I$5,IF(L223="RU",'Impostos e Frete'!$I$7,"ERRO")))))</f>
        <v>0</v>
      </c>
      <c r="CA223" s="212">
        <f>VLOOKUP(L223,'Impostos e Frete'!$A$3:$B$7,2,0)*'Preços e Condições'!BY223</f>
        <v>0</v>
      </c>
      <c r="CB223" s="147">
        <f t="shared" si="69"/>
        <v>0</v>
      </c>
      <c r="CC223" s="147">
        <f>IF(X223="BRL",'Impostos e Frete'!$B$11,'Impostos e Frete'!$B$12)</f>
        <v>0.2</v>
      </c>
      <c r="CD223" s="213">
        <f t="shared" si="70"/>
        <v>19.382999999999999</v>
      </c>
      <c r="CE223" s="214">
        <f t="shared" si="71"/>
        <v>1.3180439999999998</v>
      </c>
      <c r="CF223" s="215">
        <f>VLOOKUP(L223,'Impostos e Frete'!$A$3:$C$7,3,0)</f>
        <v>45</v>
      </c>
      <c r="CG223" s="215">
        <f t="shared" si="72"/>
        <v>0</v>
      </c>
      <c r="CH223" s="215">
        <f t="shared" si="73"/>
        <v>-45</v>
      </c>
      <c r="CI223" s="216">
        <f t="shared" si="74"/>
        <v>0.43774887485082559</v>
      </c>
      <c r="CJ223" s="217">
        <f t="shared" si="75"/>
        <v>19.820748874850825</v>
      </c>
      <c r="CK223" s="218">
        <f t="shared" si="76"/>
        <v>1.3478109234898561</v>
      </c>
    </row>
    <row r="224" spans="1:89">
      <c r="A224" s="176">
        <v>15448</v>
      </c>
      <c r="B224" s="177">
        <v>399</v>
      </c>
      <c r="C224" s="190">
        <v>67</v>
      </c>
      <c r="D224" s="183">
        <v>1270</v>
      </c>
      <c r="E224" s="178" t="s">
        <v>50</v>
      </c>
      <c r="F224" s="191" t="s">
        <v>1</v>
      </c>
      <c r="G224" s="192" t="s">
        <v>12</v>
      </c>
      <c r="H224" s="178" t="s">
        <v>42</v>
      </c>
      <c r="I224" s="178">
        <v>751</v>
      </c>
      <c r="J224" s="183"/>
      <c r="K224" s="183"/>
      <c r="L224" s="183" t="s">
        <v>58</v>
      </c>
      <c r="M224" s="183">
        <v>0</v>
      </c>
      <c r="N224" s="183"/>
      <c r="O224" s="183"/>
      <c r="P224" s="183">
        <v>3</v>
      </c>
      <c r="Q224" s="183" t="s">
        <v>27</v>
      </c>
      <c r="R224" s="183" t="s">
        <v>19</v>
      </c>
      <c r="S224" s="181">
        <v>0.12</v>
      </c>
      <c r="T224" s="181" t="s">
        <v>210</v>
      </c>
      <c r="U224" s="182">
        <v>9.2499999999999999E-2</v>
      </c>
      <c r="V224" s="182" t="s">
        <v>35</v>
      </c>
      <c r="W224" s="183">
        <v>50</v>
      </c>
      <c r="X224" s="182" t="s">
        <v>46</v>
      </c>
      <c r="Y224" s="146">
        <f t="shared" ref="Y224:AA226" si="81">20739.92</f>
        <v>20739.919999999998</v>
      </c>
      <c r="Z224" s="146">
        <f t="shared" si="81"/>
        <v>20739.919999999998</v>
      </c>
      <c r="AA224" s="146">
        <f t="shared" si="81"/>
        <v>20739.919999999998</v>
      </c>
      <c r="AB224" s="146">
        <f>16500</f>
        <v>16500</v>
      </c>
      <c r="AC224" s="146">
        <f>16500</f>
        <v>16500</v>
      </c>
      <c r="AD224" s="146">
        <f>16500</f>
        <v>16500</v>
      </c>
      <c r="AE224" s="146">
        <f>15840</f>
        <v>15840</v>
      </c>
      <c r="AF224" s="146">
        <f>15840</f>
        <v>15840</v>
      </c>
      <c r="AG224" s="146">
        <f>15840</f>
        <v>15840</v>
      </c>
      <c r="AH224" s="146">
        <f>15050</f>
        <v>15050</v>
      </c>
      <c r="AI224" s="146">
        <f>15050</f>
        <v>15050</v>
      </c>
      <c r="AJ224" s="146">
        <f>15050</f>
        <v>15050</v>
      </c>
      <c r="AK224" s="146">
        <f>14600</f>
        <v>14600</v>
      </c>
      <c r="AL224" s="146">
        <f>14600</f>
        <v>14600</v>
      </c>
      <c r="AM224" s="146">
        <f>14600</f>
        <v>14600</v>
      </c>
      <c r="AN224" s="146">
        <f>14600</f>
        <v>14600</v>
      </c>
      <c r="AO224" s="146">
        <f>14600</f>
        <v>14600</v>
      </c>
      <c r="AP224" s="146">
        <f>14600</f>
        <v>14600</v>
      </c>
      <c r="AQ224" s="146">
        <f>15826</f>
        <v>15826</v>
      </c>
      <c r="AR224" s="146">
        <f>15826</f>
        <v>15826</v>
      </c>
      <c r="AS224" s="146">
        <f>15826</f>
        <v>15826</v>
      </c>
      <c r="AT224" s="184">
        <v>16301</v>
      </c>
      <c r="AU224" s="184">
        <v>16617</v>
      </c>
      <c r="AV224" s="184">
        <v>16617</v>
      </c>
      <c r="AW224" s="184">
        <v>16617</v>
      </c>
      <c r="AX224" s="184">
        <v>16617</v>
      </c>
      <c r="AY224" s="184">
        <v>16617</v>
      </c>
      <c r="AZ224" s="184">
        <v>16617</v>
      </c>
      <c r="BA224" s="184">
        <v>16617</v>
      </c>
      <c r="BB224" s="184">
        <v>16617</v>
      </c>
      <c r="BC224" s="184">
        <v>16617</v>
      </c>
      <c r="BD224" s="184">
        <v>16617</v>
      </c>
      <c r="BE224" s="184">
        <v>16617</v>
      </c>
      <c r="BF224" s="184">
        <v>16617</v>
      </c>
      <c r="BG224" s="184">
        <v>16617</v>
      </c>
      <c r="BH224" s="184">
        <v>16617</v>
      </c>
      <c r="BI224" s="184">
        <v>16617</v>
      </c>
      <c r="BJ224" s="184">
        <v>16617</v>
      </c>
      <c r="BK224" s="184">
        <v>16617</v>
      </c>
      <c r="BL224" s="184">
        <v>17581</v>
      </c>
      <c r="BM224" s="184">
        <v>17581</v>
      </c>
      <c r="BN224" s="184">
        <v>17581</v>
      </c>
      <c r="BO224" s="184"/>
      <c r="BP224" s="184"/>
      <c r="BQ224" s="184"/>
      <c r="BR224" s="184"/>
      <c r="BS224" s="184"/>
      <c r="BT224" s="184"/>
      <c r="BU224" s="146" cm="1">
        <f t="array" ref="BU224">LOOKUP(2,1/(Y224:BT224&lt;&gt;""),Y224:BH224)</f>
        <v>17581</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46174</v>
      </c>
      <c r="BW224" s="211" cm="1">
        <f t="array" ref="BW224">(LOOKUP(2,1/(BH224:BT224&lt;&gt;""),BH224:BT224))/(INDEX(BH224:BT224,MATCH(TRUE,INDEX((BH224:BT224&lt;&gt;0),0),0)))-1</f>
        <v>5.801287837756508E-2</v>
      </c>
      <c r="BX224" s="212">
        <f t="shared" si="68"/>
        <v>17.581</v>
      </c>
      <c r="BY224" s="212">
        <f t="shared" si="67"/>
        <v>17.581</v>
      </c>
      <c r="BZ224" s="212">
        <f>IF(L224="BR",'Impostos e Frete'!$F$6,IF(L224="EU",'Impostos e Frete'!$I$3,IF(L224="CN",'Impostos e Frete'!$I$4,IF(L224="JP",'Impostos e Frete'!$I$5,IF(L224="RU",'Impostos e Frete'!$I$7,"ERRO")))))</f>
        <v>0</v>
      </c>
      <c r="CA224" s="212">
        <f>VLOOKUP(L224,'Impostos e Frete'!$A$3:$B$7,2,0)*'Preços e Condições'!BY224</f>
        <v>0</v>
      </c>
      <c r="CB224" s="147">
        <f t="shared" si="69"/>
        <v>0</v>
      </c>
      <c r="CC224" s="147">
        <f>IF(X224="BRL",'Impostos e Frete'!$B$11,'Impostos e Frete'!$B$12)</f>
        <v>0.2</v>
      </c>
      <c r="CD224" s="213">
        <f t="shared" si="70"/>
        <v>17.780999999999999</v>
      </c>
      <c r="CE224" s="214">
        <f t="shared" si="71"/>
        <v>1.1913269999999998</v>
      </c>
      <c r="CF224" s="215">
        <f>VLOOKUP(L224,'Impostos e Frete'!$A$3:$C$7,3,0)</f>
        <v>45</v>
      </c>
      <c r="CG224" s="215">
        <f t="shared" si="72"/>
        <v>0</v>
      </c>
      <c r="CH224" s="215">
        <f t="shared" si="73"/>
        <v>-45</v>
      </c>
      <c r="CI224" s="216">
        <f t="shared" si="74"/>
        <v>0.40156904213602118</v>
      </c>
      <c r="CJ224" s="217">
        <f t="shared" si="75"/>
        <v>18.18256904213602</v>
      </c>
      <c r="CK224" s="218">
        <f t="shared" si="76"/>
        <v>1.2182321258231132</v>
      </c>
    </row>
    <row r="225" spans="1:92">
      <c r="A225" s="176">
        <v>15449</v>
      </c>
      <c r="B225" s="177">
        <v>399</v>
      </c>
      <c r="C225" s="190">
        <v>67</v>
      </c>
      <c r="D225" s="183">
        <v>2175</v>
      </c>
      <c r="E225" s="178" t="s">
        <v>50</v>
      </c>
      <c r="F225" s="191" t="s">
        <v>1</v>
      </c>
      <c r="G225" s="192" t="s">
        <v>12</v>
      </c>
      <c r="H225" s="178" t="s">
        <v>42</v>
      </c>
      <c r="I225" s="178">
        <v>751</v>
      </c>
      <c r="J225" s="183"/>
      <c r="K225" s="183"/>
      <c r="L225" s="183" t="s">
        <v>58</v>
      </c>
      <c r="M225" s="183">
        <v>0</v>
      </c>
      <c r="N225" s="183"/>
      <c r="O225" s="183"/>
      <c r="P225" s="183">
        <v>3</v>
      </c>
      <c r="Q225" s="183" t="s">
        <v>27</v>
      </c>
      <c r="R225" s="183" t="s">
        <v>19</v>
      </c>
      <c r="S225" s="181">
        <v>0.12</v>
      </c>
      <c r="T225" s="181" t="s">
        <v>210</v>
      </c>
      <c r="U225" s="182">
        <v>9.2499999999999999E-2</v>
      </c>
      <c r="V225" s="182" t="s">
        <v>35</v>
      </c>
      <c r="W225" s="183">
        <v>50</v>
      </c>
      <c r="X225" s="182" t="s">
        <v>46</v>
      </c>
      <c r="Y225" s="146">
        <f t="shared" si="81"/>
        <v>20739.919999999998</v>
      </c>
      <c r="Z225" s="146">
        <f t="shared" si="81"/>
        <v>20739.919999999998</v>
      </c>
      <c r="AA225" s="146">
        <f t="shared" si="81"/>
        <v>20739.919999999998</v>
      </c>
      <c r="AB225" s="146">
        <f>16500</f>
        <v>16500</v>
      </c>
      <c r="AC225" s="146">
        <f>16500</f>
        <v>16500</v>
      </c>
      <c r="AD225" s="146">
        <f>16500</f>
        <v>16500</v>
      </c>
      <c r="AE225" s="146">
        <f>15840</f>
        <v>15840</v>
      </c>
      <c r="AF225" s="146">
        <f>15840</f>
        <v>15840</v>
      </c>
      <c r="AG225" s="146">
        <f>15840</f>
        <v>15840</v>
      </c>
      <c r="AH225" s="146">
        <f>15050</f>
        <v>15050</v>
      </c>
      <c r="AI225" s="146">
        <f>15050</f>
        <v>15050</v>
      </c>
      <c r="AJ225" s="146">
        <f>15050</f>
        <v>15050</v>
      </c>
      <c r="AK225" s="146">
        <f>14600</f>
        <v>14600</v>
      </c>
      <c r="AL225" s="146">
        <f>14600</f>
        <v>14600</v>
      </c>
      <c r="AM225" s="146">
        <f>14600</f>
        <v>14600</v>
      </c>
      <c r="AN225" s="146">
        <f>14600</f>
        <v>14600</v>
      </c>
      <c r="AO225" s="146">
        <f>14600</f>
        <v>14600</v>
      </c>
      <c r="AP225" s="146">
        <f>14600</f>
        <v>14600</v>
      </c>
      <c r="AQ225" s="146">
        <f>15826</f>
        <v>15826</v>
      </c>
      <c r="AR225" s="146">
        <f>15826</f>
        <v>15826</v>
      </c>
      <c r="AS225" s="146">
        <f>15826</f>
        <v>15826</v>
      </c>
      <c r="AT225" s="184">
        <v>16301</v>
      </c>
      <c r="AU225" s="184">
        <v>16617</v>
      </c>
      <c r="AV225" s="184">
        <v>16617</v>
      </c>
      <c r="AW225" s="184">
        <v>16617</v>
      </c>
      <c r="AX225" s="184">
        <v>16617</v>
      </c>
      <c r="AY225" s="184">
        <v>16617</v>
      </c>
      <c r="AZ225" s="184">
        <v>16617</v>
      </c>
      <c r="BA225" s="184">
        <v>16617</v>
      </c>
      <c r="BB225" s="184">
        <v>16617</v>
      </c>
      <c r="BC225" s="184">
        <v>16617</v>
      </c>
      <c r="BD225" s="184">
        <v>16617</v>
      </c>
      <c r="BE225" s="184">
        <v>16617</v>
      </c>
      <c r="BF225" s="184">
        <v>16617</v>
      </c>
      <c r="BG225" s="184">
        <v>16617</v>
      </c>
      <c r="BH225" s="184">
        <v>16617</v>
      </c>
      <c r="BI225" s="184">
        <v>16617</v>
      </c>
      <c r="BJ225" s="184">
        <v>16617</v>
      </c>
      <c r="BK225" s="184">
        <v>16617</v>
      </c>
      <c r="BL225" s="184">
        <v>17581</v>
      </c>
      <c r="BM225" s="184">
        <v>17581</v>
      </c>
      <c r="BN225" s="184">
        <v>17581</v>
      </c>
      <c r="BO225" s="184"/>
      <c r="BP225" s="184"/>
      <c r="BQ225" s="184"/>
      <c r="BR225" s="184"/>
      <c r="BS225" s="184"/>
      <c r="BT225" s="184"/>
      <c r="BU225" s="146" cm="1">
        <f t="array" ref="BU225">LOOKUP(2,1/(Y225:BT225&lt;&gt;""),Y225:BH225)</f>
        <v>17581</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46174</v>
      </c>
      <c r="BW225" s="211" cm="1">
        <f t="array" ref="BW225">(LOOKUP(2,1/(BH225:BT225&lt;&gt;""),BH225:BT225))/(INDEX(BH225:BT225,MATCH(TRUE,INDEX((BH225:BT225&lt;&gt;0),0),0)))-1</f>
        <v>5.801287837756508E-2</v>
      </c>
      <c r="BX225" s="212">
        <f t="shared" si="68"/>
        <v>17.581</v>
      </c>
      <c r="BY225" s="212">
        <f t="shared" si="67"/>
        <v>17.581</v>
      </c>
      <c r="BZ225" s="212">
        <f>IF(L225="BR",'Impostos e Frete'!$F$6,IF(L225="EU",'Impostos e Frete'!$I$3,IF(L225="CN",'Impostos e Frete'!$I$4,IF(L225="JP",'Impostos e Frete'!$I$5,IF(L225="RU",'Impostos e Frete'!$I$7,"ERRO")))))</f>
        <v>0</v>
      </c>
      <c r="CA225" s="212">
        <f>VLOOKUP(L225,'Impostos e Frete'!$A$3:$B$7,2,0)*'Preços e Condições'!BY225</f>
        <v>0</v>
      </c>
      <c r="CB225" s="147">
        <f t="shared" si="69"/>
        <v>0</v>
      </c>
      <c r="CC225" s="147">
        <f>IF(X225="BRL",'Impostos e Frete'!$B$11,'Impostos e Frete'!$B$12)</f>
        <v>0.2</v>
      </c>
      <c r="CD225" s="213">
        <f t="shared" si="70"/>
        <v>17.780999999999999</v>
      </c>
      <c r="CE225" s="214">
        <f t="shared" si="71"/>
        <v>1.1913269999999998</v>
      </c>
      <c r="CF225" s="215">
        <f>VLOOKUP(L225,'Impostos e Frete'!$A$3:$C$7,3,0)</f>
        <v>45</v>
      </c>
      <c r="CG225" s="215">
        <f t="shared" si="72"/>
        <v>0</v>
      </c>
      <c r="CH225" s="215">
        <f t="shared" si="73"/>
        <v>-45</v>
      </c>
      <c r="CI225" s="216">
        <f t="shared" si="74"/>
        <v>0.40156904213602118</v>
      </c>
      <c r="CJ225" s="217">
        <f t="shared" si="75"/>
        <v>18.18256904213602</v>
      </c>
      <c r="CK225" s="218">
        <f t="shared" si="76"/>
        <v>1.2182321258231132</v>
      </c>
    </row>
    <row r="226" spans="1:92">
      <c r="A226" s="176">
        <v>15450</v>
      </c>
      <c r="B226" s="177">
        <v>399</v>
      </c>
      <c r="C226" s="190">
        <v>67</v>
      </c>
      <c r="D226" s="183">
        <v>1330</v>
      </c>
      <c r="E226" s="178" t="s">
        <v>50</v>
      </c>
      <c r="F226" s="191" t="s">
        <v>1</v>
      </c>
      <c r="G226" s="192" t="s">
        <v>12</v>
      </c>
      <c r="H226" s="178" t="s">
        <v>42</v>
      </c>
      <c r="I226" s="178">
        <v>751</v>
      </c>
      <c r="J226" s="183"/>
      <c r="K226" s="183"/>
      <c r="L226" s="183" t="s">
        <v>58</v>
      </c>
      <c r="M226" s="183">
        <v>0</v>
      </c>
      <c r="N226" s="183"/>
      <c r="O226" s="183"/>
      <c r="P226" s="183">
        <v>3</v>
      </c>
      <c r="Q226" s="183" t="s">
        <v>27</v>
      </c>
      <c r="R226" s="183" t="s">
        <v>19</v>
      </c>
      <c r="S226" s="181">
        <v>0.12</v>
      </c>
      <c r="T226" s="181" t="s">
        <v>210</v>
      </c>
      <c r="U226" s="182">
        <v>9.2499999999999999E-2</v>
      </c>
      <c r="V226" s="182" t="s">
        <v>35</v>
      </c>
      <c r="W226" s="183">
        <v>50</v>
      </c>
      <c r="X226" s="182" t="s">
        <v>46</v>
      </c>
      <c r="Y226" s="146">
        <f t="shared" si="81"/>
        <v>20739.919999999998</v>
      </c>
      <c r="Z226" s="146">
        <f t="shared" si="81"/>
        <v>20739.919999999998</v>
      </c>
      <c r="AA226" s="146">
        <f t="shared" si="81"/>
        <v>20739.919999999998</v>
      </c>
      <c r="AB226" s="146">
        <f>16500</f>
        <v>16500</v>
      </c>
      <c r="AC226" s="146">
        <f>16500</f>
        <v>16500</v>
      </c>
      <c r="AD226" s="146">
        <f>16500</f>
        <v>16500</v>
      </c>
      <c r="AE226" s="146">
        <f>15840</f>
        <v>15840</v>
      </c>
      <c r="AF226" s="146">
        <f>15840</f>
        <v>15840</v>
      </c>
      <c r="AG226" s="146">
        <f>15840</f>
        <v>15840</v>
      </c>
      <c r="AH226" s="146">
        <f>15050</f>
        <v>15050</v>
      </c>
      <c r="AI226" s="146">
        <f>15050</f>
        <v>15050</v>
      </c>
      <c r="AJ226" s="146">
        <f>15050</f>
        <v>15050</v>
      </c>
      <c r="AK226" s="146">
        <f>14600</f>
        <v>14600</v>
      </c>
      <c r="AL226" s="146">
        <f>14600</f>
        <v>14600</v>
      </c>
      <c r="AM226" s="146">
        <f>14600</f>
        <v>14600</v>
      </c>
      <c r="AN226" s="146">
        <f>14600</f>
        <v>14600</v>
      </c>
      <c r="AO226" s="146">
        <f>14600</f>
        <v>14600</v>
      </c>
      <c r="AP226" s="146">
        <f>14600</f>
        <v>14600</v>
      </c>
      <c r="AQ226" s="146">
        <f>15826</f>
        <v>15826</v>
      </c>
      <c r="AR226" s="146">
        <f>15826</f>
        <v>15826</v>
      </c>
      <c r="AS226" s="146">
        <f>15826</f>
        <v>15826</v>
      </c>
      <c r="AT226" s="184">
        <v>16301</v>
      </c>
      <c r="AU226" s="184">
        <v>16617</v>
      </c>
      <c r="AV226" s="184">
        <v>16617</v>
      </c>
      <c r="AW226" s="184">
        <v>16617</v>
      </c>
      <c r="AX226" s="184">
        <v>16617</v>
      </c>
      <c r="AY226" s="184">
        <v>16617</v>
      </c>
      <c r="AZ226" s="184">
        <v>16617</v>
      </c>
      <c r="BA226" s="184">
        <v>16617</v>
      </c>
      <c r="BB226" s="184">
        <v>16617</v>
      </c>
      <c r="BC226" s="184">
        <v>16617</v>
      </c>
      <c r="BD226" s="184">
        <v>16617</v>
      </c>
      <c r="BE226" s="184">
        <v>16617</v>
      </c>
      <c r="BF226" s="184">
        <v>16617</v>
      </c>
      <c r="BG226" s="184">
        <v>16617</v>
      </c>
      <c r="BH226" s="184">
        <v>16617</v>
      </c>
      <c r="BI226" s="184">
        <v>16617</v>
      </c>
      <c r="BJ226" s="184">
        <v>16617</v>
      </c>
      <c r="BK226" s="184">
        <v>16617</v>
      </c>
      <c r="BL226" s="184">
        <v>17581</v>
      </c>
      <c r="BM226" s="184">
        <v>17581</v>
      </c>
      <c r="BN226" s="184">
        <v>17581</v>
      </c>
      <c r="BO226" s="184"/>
      <c r="BP226" s="184"/>
      <c r="BQ226" s="184"/>
      <c r="BR226" s="184"/>
      <c r="BS226" s="184"/>
      <c r="BT226" s="184"/>
      <c r="BU226" s="146" cm="1">
        <f t="array" ref="BU226">LOOKUP(2,1/(Y226:BT226&lt;&gt;""),Y226:BH226)</f>
        <v>17581</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46174</v>
      </c>
      <c r="BW226" s="211" cm="1">
        <f t="array" ref="BW226">(LOOKUP(2,1/(BH226:BT226&lt;&gt;""),BH226:BT226))/(INDEX(BH226:BT226,MATCH(TRUE,INDEX((BH226:BT226&lt;&gt;0),0),0)))-1</f>
        <v>5.801287837756508E-2</v>
      </c>
      <c r="BX226" s="212">
        <f t="shared" si="68"/>
        <v>17.581</v>
      </c>
      <c r="BY226" s="212">
        <f t="shared" si="67"/>
        <v>17.581</v>
      </c>
      <c r="BZ226" s="212">
        <f>IF(L226="BR",'Impostos e Frete'!$F$6,IF(L226="EU",'Impostos e Frete'!$I$3,IF(L226="CN",'Impostos e Frete'!$I$4,IF(L226="JP",'Impostos e Frete'!$I$5,IF(L226="RU",'Impostos e Frete'!$I$7,"ERRO")))))</f>
        <v>0</v>
      </c>
      <c r="CA226" s="212">
        <f>VLOOKUP(L226,'Impostos e Frete'!$A$3:$B$7,2,0)*'Preços e Condições'!BY226</f>
        <v>0</v>
      </c>
      <c r="CB226" s="147">
        <f t="shared" si="69"/>
        <v>0</v>
      </c>
      <c r="CC226" s="147">
        <f>IF(X226="BRL",'Impostos e Frete'!$B$11,'Impostos e Frete'!$B$12)</f>
        <v>0.2</v>
      </c>
      <c r="CD226" s="213">
        <f t="shared" si="70"/>
        <v>17.780999999999999</v>
      </c>
      <c r="CE226" s="214">
        <f t="shared" si="71"/>
        <v>1.1913269999999998</v>
      </c>
      <c r="CF226" s="215">
        <f>VLOOKUP(L226,'Impostos e Frete'!$A$3:$C$7,3,0)</f>
        <v>45</v>
      </c>
      <c r="CG226" s="215">
        <f t="shared" si="72"/>
        <v>0</v>
      </c>
      <c r="CH226" s="215">
        <f t="shared" si="73"/>
        <v>-45</v>
      </c>
      <c r="CI226" s="216">
        <f t="shared" si="74"/>
        <v>0.40156904213602118</v>
      </c>
      <c r="CJ226" s="217">
        <f t="shared" si="75"/>
        <v>18.18256904213602</v>
      </c>
      <c r="CK226" s="218">
        <f t="shared" si="76"/>
        <v>1.2182321258231132</v>
      </c>
    </row>
    <row r="227" spans="1:92">
      <c r="A227" s="176">
        <v>16001</v>
      </c>
      <c r="B227" s="177">
        <v>9300</v>
      </c>
      <c r="C227" s="190">
        <v>80</v>
      </c>
      <c r="D227" s="190">
        <v>1855</v>
      </c>
      <c r="E227" s="178" t="s">
        <v>49</v>
      </c>
      <c r="F227" s="191" t="s">
        <v>1</v>
      </c>
      <c r="G227" s="192" t="s">
        <v>10</v>
      </c>
      <c r="H227" s="190" t="s">
        <v>63</v>
      </c>
      <c r="I227" s="178">
        <v>9300</v>
      </c>
      <c r="J227" s="183"/>
      <c r="K227" s="190"/>
      <c r="L227" s="183" t="s">
        <v>58</v>
      </c>
      <c r="M227" s="183">
        <v>0</v>
      </c>
      <c r="N227" s="183"/>
      <c r="O227" s="183"/>
      <c r="P227" s="183">
        <v>3</v>
      </c>
      <c r="Q227" s="183" t="s">
        <v>27</v>
      </c>
      <c r="R227" s="183" t="s">
        <v>19</v>
      </c>
      <c r="S227" s="181">
        <v>0.04</v>
      </c>
      <c r="T227" s="181" t="s">
        <v>210</v>
      </c>
      <c r="U227" s="182">
        <v>9.2499999999999999E-2</v>
      </c>
      <c r="V227" s="182" t="s">
        <v>35</v>
      </c>
      <c r="W227" s="183">
        <v>40</v>
      </c>
      <c r="X227" s="182" t="s">
        <v>46</v>
      </c>
      <c r="Y227" s="146">
        <f>20999.97</f>
        <v>20999.97</v>
      </c>
      <c r="Z227" s="146">
        <f>20999.97</f>
        <v>20999.97</v>
      </c>
      <c r="AA227" s="146">
        <f>20999.97</f>
        <v>20999.97</v>
      </c>
      <c r="AB227" s="146">
        <f>21000</f>
        <v>21000</v>
      </c>
      <c r="AC227" s="146">
        <f>21000</f>
        <v>21000</v>
      </c>
      <c r="AD227" s="146">
        <f>21000</f>
        <v>21000</v>
      </c>
      <c r="AE227" s="146">
        <f>20160</f>
        <v>20160</v>
      </c>
      <c r="AF227" s="146">
        <f>20160</f>
        <v>20160</v>
      </c>
      <c r="AG227" s="146">
        <f>20160</f>
        <v>20160</v>
      </c>
      <c r="AH227" s="146">
        <f>19555</f>
        <v>19555</v>
      </c>
      <c r="AI227" s="146">
        <f>19555</f>
        <v>19555</v>
      </c>
      <c r="AJ227" s="146">
        <f>19555</f>
        <v>19555</v>
      </c>
      <c r="AK227" s="146">
        <f>18775</f>
        <v>18775</v>
      </c>
      <c r="AL227" s="146">
        <f>18775</f>
        <v>18775</v>
      </c>
      <c r="AM227" s="146">
        <f>18775</f>
        <v>18775</v>
      </c>
      <c r="AN227" s="146">
        <f>18775</f>
        <v>18775</v>
      </c>
      <c r="AO227" s="146">
        <f>18775</f>
        <v>18775</v>
      </c>
      <c r="AP227" s="146">
        <f>18775</f>
        <v>18775</v>
      </c>
      <c r="AQ227" s="146">
        <f>20352</f>
        <v>20352</v>
      </c>
      <c r="AR227" s="146">
        <f>20352</f>
        <v>20352</v>
      </c>
      <c r="AS227" s="146">
        <f>20352</f>
        <v>20352</v>
      </c>
      <c r="AT227" s="184">
        <v>21370</v>
      </c>
      <c r="AU227" s="184">
        <v>21370</v>
      </c>
      <c r="AV227" s="184">
        <v>21370</v>
      </c>
      <c r="AW227" s="184">
        <v>21370</v>
      </c>
      <c r="AX227" s="184">
        <v>21370</v>
      </c>
      <c r="AY227" s="184">
        <v>21370</v>
      </c>
      <c r="AZ227" s="184">
        <v>21370</v>
      </c>
      <c r="BA227" s="184">
        <v>21370</v>
      </c>
      <c r="BB227" s="184">
        <v>21370</v>
      </c>
      <c r="BC227" s="184">
        <v>21370</v>
      </c>
      <c r="BD227" s="184">
        <v>21370</v>
      </c>
      <c r="BE227" s="184">
        <v>21370</v>
      </c>
      <c r="BF227" s="184">
        <v>21370</v>
      </c>
      <c r="BG227" s="184">
        <v>21370</v>
      </c>
      <c r="BH227" s="184">
        <v>21370</v>
      </c>
      <c r="BI227" s="184">
        <v>21370</v>
      </c>
      <c r="BJ227" s="184">
        <v>21370</v>
      </c>
      <c r="BK227" s="184">
        <v>21370</v>
      </c>
      <c r="BL227" s="184">
        <v>22609</v>
      </c>
      <c r="BM227" s="184">
        <v>22609</v>
      </c>
      <c r="BN227" s="184">
        <v>22609</v>
      </c>
      <c r="BO227" s="184"/>
      <c r="BP227" s="184"/>
      <c r="BQ227" s="184"/>
      <c r="BR227" s="184"/>
      <c r="BS227" s="184"/>
      <c r="BT227" s="184"/>
      <c r="BU227" s="146" cm="1">
        <f t="array" ref="BU227">LOOKUP(2,1/(Y227:BT227&lt;&gt;""),Y227:BH227)</f>
        <v>22609</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46174</v>
      </c>
      <c r="BW227" s="211" cm="1">
        <f t="array" ref="BW227">(LOOKUP(2,1/(BH227:BT227&lt;&gt;""),BH227:BT227))/(INDEX(BH227:BT227,MATCH(TRUE,INDEX((BH227:BT227&lt;&gt;0),0),0)))-1</f>
        <v>5.7978474496958254E-2</v>
      </c>
      <c r="BX227" s="212">
        <f t="shared" si="68"/>
        <v>22.609000000000002</v>
      </c>
      <c r="BY227" s="212">
        <f t="shared" si="67"/>
        <v>22.609000000000002</v>
      </c>
      <c r="BZ227" s="212">
        <f>IF(L227="BR",'Impostos e Frete'!$F$6,IF(L227="EU",'Impostos e Frete'!$I$3,IF(L227="CN",'Impostos e Frete'!$I$4,IF(L227="JP",'Impostos e Frete'!$I$5,IF(L227="RU",'Impostos e Frete'!$I$7,"ERRO")))))</f>
        <v>0</v>
      </c>
      <c r="CA227" s="212">
        <f>VLOOKUP(L227,'Impostos e Frete'!$A$3:$B$7,2,0)*'Preços e Condições'!BY227</f>
        <v>0</v>
      </c>
      <c r="CB227" s="147">
        <f t="shared" si="69"/>
        <v>0</v>
      </c>
      <c r="CC227" s="147">
        <f>IF(X227="BRL",'Impostos e Frete'!$B$11,'Impostos e Frete'!$B$12)</f>
        <v>0.2</v>
      </c>
      <c r="CD227" s="213">
        <f t="shared" si="70"/>
        <v>22.809000000000001</v>
      </c>
      <c r="CE227" s="214">
        <f t="shared" si="71"/>
        <v>1.8247199999999999</v>
      </c>
      <c r="CF227" s="215">
        <f>VLOOKUP(L227,'Impostos e Frete'!$A$3:$C$7,3,0)</f>
        <v>45</v>
      </c>
      <c r="CG227" s="215">
        <f t="shared" si="72"/>
        <v>0</v>
      </c>
      <c r="CH227" s="215">
        <f t="shared" si="73"/>
        <v>-45</v>
      </c>
      <c r="CI227" s="216">
        <f t="shared" si="74"/>
        <v>0.51512222496375415</v>
      </c>
      <c r="CJ227" s="217">
        <f t="shared" si="75"/>
        <v>23.324122224963755</v>
      </c>
      <c r="CK227" s="218">
        <f t="shared" si="76"/>
        <v>1.8659297779971005</v>
      </c>
    </row>
    <row r="228" spans="1:92">
      <c r="A228" s="176">
        <v>16004</v>
      </c>
      <c r="B228" s="177">
        <v>9080</v>
      </c>
      <c r="C228" s="190">
        <v>80</v>
      </c>
      <c r="D228" s="190">
        <v>1855</v>
      </c>
      <c r="E228" s="178" t="s">
        <v>49</v>
      </c>
      <c r="F228" s="191" t="s">
        <v>1</v>
      </c>
      <c r="G228" s="192" t="s">
        <v>8</v>
      </c>
      <c r="H228" s="178" t="s">
        <v>42</v>
      </c>
      <c r="I228" s="178">
        <v>9080</v>
      </c>
      <c r="J228" s="183"/>
      <c r="K228" s="190"/>
      <c r="L228" s="183" t="s">
        <v>58</v>
      </c>
      <c r="M228" s="183">
        <v>0</v>
      </c>
      <c r="N228" s="183"/>
      <c r="O228" s="183"/>
      <c r="P228" s="183">
        <v>3</v>
      </c>
      <c r="Q228" s="183" t="s">
        <v>27</v>
      </c>
      <c r="R228" s="183" t="s">
        <v>19</v>
      </c>
      <c r="S228" s="181">
        <v>0.12</v>
      </c>
      <c r="T228" s="181" t="s">
        <v>210</v>
      </c>
      <c r="U228" s="182">
        <v>9.2499999999999999E-2</v>
      </c>
      <c r="V228" s="182" t="s">
        <v>35</v>
      </c>
      <c r="W228" s="183">
        <v>40</v>
      </c>
      <c r="X228" s="182" t="s">
        <v>46</v>
      </c>
      <c r="Y228" s="146">
        <f>17999.19</f>
        <v>17999.189999999999</v>
      </c>
      <c r="Z228" s="146">
        <f>17999.19</f>
        <v>17999.189999999999</v>
      </c>
      <c r="AA228" s="146">
        <f>17999.19</f>
        <v>17999.189999999999</v>
      </c>
      <c r="AB228" s="146">
        <f>17450</f>
        <v>17450</v>
      </c>
      <c r="AC228" s="146">
        <f>17450</f>
        <v>17450</v>
      </c>
      <c r="AD228" s="146">
        <f>17450</f>
        <v>17450</v>
      </c>
      <c r="AE228" s="146">
        <f>16752</f>
        <v>16752</v>
      </c>
      <c r="AF228" s="146">
        <f>16752</f>
        <v>16752</v>
      </c>
      <c r="AG228" s="146">
        <f>16752</f>
        <v>16752</v>
      </c>
      <c r="AH228" s="146">
        <f>16250</f>
        <v>16250</v>
      </c>
      <c r="AI228" s="146">
        <f>16250</f>
        <v>16250</v>
      </c>
      <c r="AJ228" s="146">
        <f>16250</f>
        <v>16250</v>
      </c>
      <c r="AK228" s="146">
        <f>15762</f>
        <v>15762</v>
      </c>
      <c r="AL228" s="146">
        <f>15762</f>
        <v>15762</v>
      </c>
      <c r="AM228" s="146">
        <f>15762</f>
        <v>15762</v>
      </c>
      <c r="AN228" s="146">
        <f>15762</f>
        <v>15762</v>
      </c>
      <c r="AO228" s="146">
        <f>15762</f>
        <v>15762</v>
      </c>
      <c r="AP228" s="146">
        <f>15762</f>
        <v>15762</v>
      </c>
      <c r="AQ228" s="146">
        <f>17086</f>
        <v>17086</v>
      </c>
      <c r="AR228" s="146">
        <f>17086</f>
        <v>17086</v>
      </c>
      <c r="AS228" s="146">
        <f>17086</f>
        <v>17086</v>
      </c>
      <c r="AT228" s="184">
        <v>17941</v>
      </c>
      <c r="AU228" s="184">
        <v>17941</v>
      </c>
      <c r="AV228" s="184">
        <v>17941</v>
      </c>
      <c r="AW228" s="184">
        <v>17941</v>
      </c>
      <c r="AX228" s="184">
        <v>17941</v>
      </c>
      <c r="AY228" s="184">
        <v>17941</v>
      </c>
      <c r="AZ228" s="184">
        <v>17941</v>
      </c>
      <c r="BA228" s="184">
        <v>17941</v>
      </c>
      <c r="BB228" s="184">
        <v>17941</v>
      </c>
      <c r="BC228" s="184">
        <v>17941</v>
      </c>
      <c r="BD228" s="184">
        <v>17941</v>
      </c>
      <c r="BE228" s="184">
        <v>17941</v>
      </c>
      <c r="BF228" s="184">
        <v>17941</v>
      </c>
      <c r="BG228" s="184">
        <v>17941</v>
      </c>
      <c r="BH228" s="184">
        <v>17941</v>
      </c>
      <c r="BI228" s="184">
        <v>17941</v>
      </c>
      <c r="BJ228" s="184">
        <v>17941</v>
      </c>
      <c r="BK228" s="184">
        <v>17941</v>
      </c>
      <c r="BL228" s="184">
        <v>18981</v>
      </c>
      <c r="BM228" s="184">
        <v>18981</v>
      </c>
      <c r="BN228" s="184">
        <v>18981</v>
      </c>
      <c r="BO228" s="184"/>
      <c r="BP228" s="184"/>
      <c r="BQ228" s="184"/>
      <c r="BR228" s="184"/>
      <c r="BS228" s="184"/>
      <c r="BT228" s="184"/>
      <c r="BU228" s="146" cm="1">
        <f t="array" ref="BU228">LOOKUP(2,1/(Y228:BT228&lt;&gt;""),Y228:BH228)</f>
        <v>18981</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46174</v>
      </c>
      <c r="BW228" s="211" cm="1">
        <f t="array" ref="BW228">(LOOKUP(2,1/(BH228:BT228&lt;&gt;""),BH228:BT228))/(INDEX(BH228:BT228,MATCH(TRUE,INDEX((BH228:BT228&lt;&gt;0),0),0)))-1</f>
        <v>5.796778328967167E-2</v>
      </c>
      <c r="BX228" s="212">
        <f t="shared" si="68"/>
        <v>18.981000000000002</v>
      </c>
      <c r="BY228" s="212">
        <f t="shared" si="67"/>
        <v>18.981000000000002</v>
      </c>
      <c r="BZ228" s="212">
        <f>IF(L228="BR",'Impostos e Frete'!$F$6,IF(L228="EU",'Impostos e Frete'!$I$3,IF(L228="CN",'Impostos e Frete'!$I$4,IF(L228="JP",'Impostos e Frete'!$I$5,IF(L228="RU",'Impostos e Frete'!$I$7,"ERRO")))))</f>
        <v>0</v>
      </c>
      <c r="CA228" s="212">
        <f>VLOOKUP(L228,'Impostos e Frete'!$A$3:$B$7,2,0)*'Preços e Condições'!BY228</f>
        <v>0</v>
      </c>
      <c r="CB228" s="147">
        <f t="shared" si="69"/>
        <v>0</v>
      </c>
      <c r="CC228" s="147">
        <f>IF(X228="BRL",'Impostos e Frete'!$B$11,'Impostos e Frete'!$B$12)</f>
        <v>0.2</v>
      </c>
      <c r="CD228" s="213">
        <f t="shared" si="70"/>
        <v>19.181000000000001</v>
      </c>
      <c r="CE228" s="214">
        <f t="shared" si="71"/>
        <v>1.5344800000000001</v>
      </c>
      <c r="CF228" s="215">
        <f>VLOOKUP(L228,'Impostos e Frete'!$A$3:$C$7,3,0)</f>
        <v>45</v>
      </c>
      <c r="CG228" s="215">
        <f t="shared" si="72"/>
        <v>0</v>
      </c>
      <c r="CH228" s="215">
        <f t="shared" si="73"/>
        <v>-45</v>
      </c>
      <c r="CI228" s="216">
        <f t="shared" si="74"/>
        <v>0.43318687347230522</v>
      </c>
      <c r="CJ228" s="217">
        <f t="shared" si="75"/>
        <v>19.614186873472306</v>
      </c>
      <c r="CK228" s="218">
        <f t="shared" si="76"/>
        <v>1.5691349498777845</v>
      </c>
    </row>
    <row r="229" spans="1:92">
      <c r="A229" s="176">
        <v>16005</v>
      </c>
      <c r="B229" s="177">
        <v>932</v>
      </c>
      <c r="C229" s="190">
        <v>80</v>
      </c>
      <c r="D229" s="190">
        <v>1855</v>
      </c>
      <c r="E229" s="178" t="s">
        <v>49</v>
      </c>
      <c r="F229" s="191" t="s">
        <v>1</v>
      </c>
      <c r="G229" s="192" t="s">
        <v>11</v>
      </c>
      <c r="H229" s="190" t="s">
        <v>63</v>
      </c>
      <c r="I229" s="178">
        <v>932</v>
      </c>
      <c r="J229" s="183"/>
      <c r="K229" s="190"/>
      <c r="L229" s="183" t="s">
        <v>58</v>
      </c>
      <c r="M229" s="183">
        <v>0</v>
      </c>
      <c r="N229" s="183"/>
      <c r="O229" s="183"/>
      <c r="P229" s="183">
        <v>3</v>
      </c>
      <c r="Q229" s="183" t="s">
        <v>27</v>
      </c>
      <c r="R229" s="183" t="s">
        <v>19</v>
      </c>
      <c r="S229" s="181">
        <v>0.04</v>
      </c>
      <c r="T229" s="181" t="s">
        <v>210</v>
      </c>
      <c r="U229" s="182">
        <v>9.2499999999999999E-2</v>
      </c>
      <c r="V229" s="182" t="s">
        <v>35</v>
      </c>
      <c r="W229" s="183">
        <v>20</v>
      </c>
      <c r="X229" s="182" t="s">
        <v>46</v>
      </c>
      <c r="Y229" s="146">
        <f>23999.04</f>
        <v>23999.040000000001</v>
      </c>
      <c r="Z229" s="146">
        <f>23999.04</f>
        <v>23999.040000000001</v>
      </c>
      <c r="AA229" s="146">
        <f>23999.04</f>
        <v>23999.040000000001</v>
      </c>
      <c r="AB229" s="146">
        <f>22800</f>
        <v>22800</v>
      </c>
      <c r="AC229" s="146">
        <f>22800</f>
        <v>22800</v>
      </c>
      <c r="AD229" s="146">
        <f>22800</f>
        <v>22800</v>
      </c>
      <c r="AE229" s="146">
        <f>21888</f>
        <v>21888</v>
      </c>
      <c r="AF229" s="146">
        <f>21888</f>
        <v>21888</v>
      </c>
      <c r="AG229" s="146">
        <f>21888</f>
        <v>21888</v>
      </c>
      <c r="AH229" s="146">
        <f>21230</f>
        <v>21230</v>
      </c>
      <c r="AI229" s="146">
        <f>21230</f>
        <v>21230</v>
      </c>
      <c r="AJ229" s="146">
        <f>21230</f>
        <v>21230</v>
      </c>
      <c r="AK229" s="146">
        <f>20593</f>
        <v>20593</v>
      </c>
      <c r="AL229" s="146">
        <f>20593</f>
        <v>20593</v>
      </c>
      <c r="AM229" s="146">
        <f>20593</f>
        <v>20593</v>
      </c>
      <c r="AN229" s="146">
        <f>20593</f>
        <v>20593</v>
      </c>
      <c r="AO229" s="146">
        <f>20593</f>
        <v>20593</v>
      </c>
      <c r="AP229" s="146">
        <f>20593</f>
        <v>20593</v>
      </c>
      <c r="AQ229" s="146">
        <f>22323</f>
        <v>22323</v>
      </c>
      <c r="AR229" s="146">
        <f>22323</f>
        <v>22323</v>
      </c>
      <c r="AS229" s="146">
        <f>22323</f>
        <v>22323</v>
      </c>
      <c r="AT229" s="184">
        <v>23439</v>
      </c>
      <c r="AU229" s="184">
        <v>23439</v>
      </c>
      <c r="AV229" s="184">
        <v>23439</v>
      </c>
      <c r="AW229" s="184">
        <v>23439</v>
      </c>
      <c r="AX229" s="184">
        <v>23439</v>
      </c>
      <c r="AY229" s="184">
        <v>23439</v>
      </c>
      <c r="AZ229" s="184">
        <v>23439</v>
      </c>
      <c r="BA229" s="184">
        <v>23439</v>
      </c>
      <c r="BB229" s="184">
        <v>23439</v>
      </c>
      <c r="BC229" s="184">
        <v>23439</v>
      </c>
      <c r="BD229" s="184">
        <v>23439</v>
      </c>
      <c r="BE229" s="184">
        <v>23439</v>
      </c>
      <c r="BF229" s="184">
        <v>23439</v>
      </c>
      <c r="BG229" s="184">
        <v>23439</v>
      </c>
      <c r="BH229" s="184">
        <v>23439</v>
      </c>
      <c r="BI229" s="184">
        <v>23439</v>
      </c>
      <c r="BJ229" s="184">
        <v>23439</v>
      </c>
      <c r="BK229" s="184">
        <v>23439</v>
      </c>
      <c r="BL229" s="184">
        <v>24799</v>
      </c>
      <c r="BM229" s="184">
        <v>24799</v>
      </c>
      <c r="BN229" s="184">
        <v>24799</v>
      </c>
      <c r="BO229" s="184"/>
      <c r="BP229" s="184"/>
      <c r="BQ229" s="184"/>
      <c r="BR229" s="184"/>
      <c r="BS229" s="184"/>
      <c r="BT229" s="184"/>
      <c r="BU229" s="146" cm="1">
        <f t="array" ref="BU229">LOOKUP(2,1/(Y229:BT229&lt;&gt;""),Y229:BH229)</f>
        <v>24799</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46174</v>
      </c>
      <c r="BW229" s="211" cm="1">
        <f t="array" ref="BW229">(LOOKUP(2,1/(BH229:BT229&lt;&gt;""),BH229:BT229))/(INDEX(BH229:BT229,MATCH(TRUE,INDEX((BH229:BT229&lt;&gt;0),0),0)))-1</f>
        <v>5.8022953197661931E-2</v>
      </c>
      <c r="BX229" s="212">
        <f t="shared" si="68"/>
        <v>24.798999999999999</v>
      </c>
      <c r="BY229" s="212">
        <f t="shared" si="67"/>
        <v>24.798999999999999</v>
      </c>
      <c r="BZ229" s="212">
        <f>IF(L229="BR",'Impostos e Frete'!$F$6,IF(L229="EU",'Impostos e Frete'!$I$3,IF(L229="CN",'Impostos e Frete'!$I$4,IF(L229="JP",'Impostos e Frete'!$I$5,IF(L229="RU",'Impostos e Frete'!$I$7,"ERRO")))))</f>
        <v>0</v>
      </c>
      <c r="CA229" s="212">
        <f>VLOOKUP(L229,'Impostos e Frete'!$A$3:$B$7,2,0)*'Preços e Condições'!BY229</f>
        <v>0</v>
      </c>
      <c r="CB229" s="147">
        <f t="shared" si="69"/>
        <v>0</v>
      </c>
      <c r="CC229" s="147">
        <f>IF(X229="BRL",'Impostos e Frete'!$B$11,'Impostos e Frete'!$B$12)</f>
        <v>0.2</v>
      </c>
      <c r="CD229" s="213">
        <f t="shared" si="70"/>
        <v>24.998999999999999</v>
      </c>
      <c r="CE229" s="214">
        <f t="shared" si="71"/>
        <v>1.9999199999999999</v>
      </c>
      <c r="CF229" s="215">
        <f>VLOOKUP(L229,'Impostos e Frete'!$A$3:$C$7,3,0)</f>
        <v>45</v>
      </c>
      <c r="CG229" s="215">
        <f t="shared" si="72"/>
        <v>0</v>
      </c>
      <c r="CH229" s="215">
        <f t="shared" si="73"/>
        <v>-45</v>
      </c>
      <c r="CI229" s="216">
        <f t="shared" si="74"/>
        <v>0.564581546839797</v>
      </c>
      <c r="CJ229" s="217">
        <f t="shared" si="75"/>
        <v>25.563581546839796</v>
      </c>
      <c r="CK229" s="218">
        <f t="shared" si="76"/>
        <v>2.0450865237471834</v>
      </c>
    </row>
    <row r="230" spans="1:92">
      <c r="A230" s="176">
        <v>16008</v>
      </c>
      <c r="B230" s="177">
        <v>938</v>
      </c>
      <c r="C230" s="190">
        <v>80</v>
      </c>
      <c r="D230" s="190"/>
      <c r="E230" s="178" t="s">
        <v>49</v>
      </c>
      <c r="F230" s="191" t="s">
        <v>1</v>
      </c>
      <c r="G230" s="192" t="s">
        <v>125</v>
      </c>
      <c r="H230" s="183" t="s">
        <v>43</v>
      </c>
      <c r="I230" s="178">
        <v>938</v>
      </c>
      <c r="J230" s="183"/>
      <c r="K230" s="190"/>
      <c r="L230" s="183" t="s">
        <v>58</v>
      </c>
      <c r="M230" s="183">
        <v>0</v>
      </c>
      <c r="N230" s="183"/>
      <c r="O230" s="183"/>
      <c r="P230" s="183">
        <v>3</v>
      </c>
      <c r="Q230" s="183" t="s">
        <v>27</v>
      </c>
      <c r="R230" s="183" t="s">
        <v>19</v>
      </c>
      <c r="S230" s="181">
        <v>0.12</v>
      </c>
      <c r="T230" s="181" t="s">
        <v>210</v>
      </c>
      <c r="U230" s="182">
        <v>9.2499999999999999E-2</v>
      </c>
      <c r="V230" s="182" t="s">
        <v>35</v>
      </c>
      <c r="W230" s="183">
        <v>40</v>
      </c>
      <c r="X230" s="182" t="s">
        <v>46</v>
      </c>
      <c r="Y230" s="146">
        <f>20499.36</f>
        <v>20499.36</v>
      </c>
      <c r="Z230" s="146">
        <f>20499.36</f>
        <v>20499.36</v>
      </c>
      <c r="AA230" s="146">
        <f>20499.36</f>
        <v>20499.36</v>
      </c>
      <c r="AB230" s="184"/>
      <c r="AC230" s="184"/>
      <c r="AD230" s="184"/>
      <c r="AE230" s="146">
        <f>19680</f>
        <v>19680</v>
      </c>
      <c r="AF230" s="146">
        <f>19680</f>
        <v>19680</v>
      </c>
      <c r="AG230" s="146">
        <f>19680</f>
        <v>19680</v>
      </c>
      <c r="AH230" s="146">
        <f>18695</f>
        <v>18695</v>
      </c>
      <c r="AI230" s="146">
        <f>18695</f>
        <v>18695</v>
      </c>
      <c r="AJ230" s="146">
        <f>18695</f>
        <v>18695</v>
      </c>
      <c r="AK230" s="146">
        <f>17760</f>
        <v>17760</v>
      </c>
      <c r="AL230" s="146">
        <f>17760</f>
        <v>17760</v>
      </c>
      <c r="AM230" s="146">
        <f>17760</f>
        <v>17760</v>
      </c>
      <c r="AN230" s="146">
        <f>17760</f>
        <v>17760</v>
      </c>
      <c r="AO230" s="146">
        <f>17760</f>
        <v>17760</v>
      </c>
      <c r="AP230" s="146">
        <f>17760</f>
        <v>17760</v>
      </c>
      <c r="AQ230" s="146">
        <f>19252</f>
        <v>19252</v>
      </c>
      <c r="AR230" s="146">
        <f>19252</f>
        <v>19252</v>
      </c>
      <c r="AS230" s="146">
        <f>19252</f>
        <v>19252</v>
      </c>
      <c r="AT230" s="184">
        <v>20696</v>
      </c>
      <c r="AU230" s="184">
        <v>20696</v>
      </c>
      <c r="AV230" s="184">
        <v>20696</v>
      </c>
      <c r="AW230" s="184">
        <v>20696</v>
      </c>
      <c r="AX230" s="184">
        <v>20696</v>
      </c>
      <c r="AY230" s="184">
        <v>20696</v>
      </c>
      <c r="AZ230" s="184">
        <v>20696</v>
      </c>
      <c r="BA230" s="184">
        <v>20696</v>
      </c>
      <c r="BB230" s="184">
        <v>20696</v>
      </c>
      <c r="BC230" s="184">
        <v>20696</v>
      </c>
      <c r="BD230" s="184">
        <v>20696</v>
      </c>
      <c r="BE230" s="184">
        <v>20696</v>
      </c>
      <c r="BF230" s="184">
        <v>20696</v>
      </c>
      <c r="BG230" s="184">
        <v>20696</v>
      </c>
      <c r="BH230" s="184">
        <v>20696</v>
      </c>
      <c r="BI230" s="184">
        <v>20696</v>
      </c>
      <c r="BJ230" s="184">
        <v>20696</v>
      </c>
      <c r="BK230" s="184">
        <v>20696</v>
      </c>
      <c r="BL230" s="184">
        <v>21897</v>
      </c>
      <c r="BM230" s="184">
        <v>21897</v>
      </c>
      <c r="BN230" s="184">
        <v>21897</v>
      </c>
      <c r="BO230" s="184"/>
      <c r="BP230" s="184"/>
      <c r="BQ230" s="184"/>
      <c r="BR230" s="184"/>
      <c r="BS230" s="184"/>
      <c r="BT230" s="184"/>
      <c r="BU230" s="146" cm="1">
        <f t="array" ref="BU230">LOOKUP(2,1/(Y230:BT230&lt;&gt;""),Y230:BH230)</f>
        <v>21897</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46174</v>
      </c>
      <c r="BW230" s="211" cm="1">
        <f t="array" ref="BW230">(LOOKUP(2,1/(BH230:BT230&lt;&gt;""),BH230:BT230))/(INDEX(BH230:BT230,MATCH(TRUE,INDEX((BH230:BT230&lt;&gt;0),0),0)))-1</f>
        <v>5.8030537301894114E-2</v>
      </c>
      <c r="BX230" s="212">
        <f t="shared" si="68"/>
        <v>21.896999999999998</v>
      </c>
      <c r="BY230" s="212">
        <f t="shared" si="67"/>
        <v>21.896999999999998</v>
      </c>
      <c r="BZ230" s="212">
        <f>IF(L230="BR",'Impostos e Frete'!$F$6,IF(L230="EU",'Impostos e Frete'!$I$3,IF(L230="CN",'Impostos e Frete'!$I$4,IF(L230="JP",'Impostos e Frete'!$I$5,IF(L230="RU",'Impostos e Frete'!$I$7,"ERRO")))))</f>
        <v>0</v>
      </c>
      <c r="CA230" s="212">
        <f>VLOOKUP(L230,'Impostos e Frete'!$A$3:$B$7,2,0)*'Preços e Condições'!BY230</f>
        <v>0</v>
      </c>
      <c r="CB230" s="147">
        <f t="shared" si="69"/>
        <v>0</v>
      </c>
      <c r="CC230" s="147">
        <f>IF(X230="BRL",'Impostos e Frete'!$B$11,'Impostos e Frete'!$B$12)</f>
        <v>0.2</v>
      </c>
      <c r="CD230" s="213">
        <f t="shared" si="70"/>
        <v>22.096999999999998</v>
      </c>
      <c r="CE230" s="214">
        <f t="shared" si="71"/>
        <v>1.76776</v>
      </c>
      <c r="CF230" s="215">
        <f>VLOOKUP(L230,'Impostos e Frete'!$A$3:$C$7,3,0)</f>
        <v>45</v>
      </c>
      <c r="CG230" s="215">
        <f t="shared" si="72"/>
        <v>0</v>
      </c>
      <c r="CH230" s="215">
        <f t="shared" si="73"/>
        <v>-45</v>
      </c>
      <c r="CI230" s="216">
        <f t="shared" si="74"/>
        <v>0.49904229931273036</v>
      </c>
      <c r="CJ230" s="217">
        <f t="shared" si="75"/>
        <v>22.596042299312728</v>
      </c>
      <c r="CK230" s="218">
        <f t="shared" si="76"/>
        <v>1.8076833839450182</v>
      </c>
    </row>
    <row r="231" spans="1:92">
      <c r="A231" s="176">
        <v>16009</v>
      </c>
      <c r="B231" s="177">
        <v>497</v>
      </c>
      <c r="C231" s="190">
        <v>80</v>
      </c>
      <c r="D231" s="190">
        <v>1855</v>
      </c>
      <c r="E231" s="178" t="s">
        <v>49</v>
      </c>
      <c r="F231" s="191" t="s">
        <v>1</v>
      </c>
      <c r="G231" s="192" t="s">
        <v>9</v>
      </c>
      <c r="H231" s="190" t="s">
        <v>64</v>
      </c>
      <c r="I231" s="178">
        <v>497</v>
      </c>
      <c r="J231" s="183"/>
      <c r="K231" s="190"/>
      <c r="L231" s="183" t="s">
        <v>58</v>
      </c>
      <c r="M231" s="183">
        <v>0</v>
      </c>
      <c r="N231" s="183"/>
      <c r="O231" s="183"/>
      <c r="P231" s="183">
        <v>3</v>
      </c>
      <c r="Q231" s="183" t="s">
        <v>27</v>
      </c>
      <c r="R231" s="183" t="s">
        <v>19</v>
      </c>
      <c r="S231" s="181">
        <v>0.12</v>
      </c>
      <c r="T231" s="181" t="s">
        <v>210</v>
      </c>
      <c r="U231" s="182">
        <v>9.2499999999999999E-2</v>
      </c>
      <c r="V231" s="182" t="s">
        <v>35</v>
      </c>
      <c r="W231" s="183">
        <v>20</v>
      </c>
      <c r="X231" s="182" t="s">
        <v>46</v>
      </c>
      <c r="Y231" s="146">
        <f>26500.15</f>
        <v>26500.15</v>
      </c>
      <c r="Z231" s="146">
        <f>26500.15</f>
        <v>26500.15</v>
      </c>
      <c r="AA231" s="146">
        <f>26500.15</f>
        <v>26500.15</v>
      </c>
      <c r="AB231" s="146">
        <f>24000</f>
        <v>24000</v>
      </c>
      <c r="AC231" s="146">
        <f>24000</f>
        <v>24000</v>
      </c>
      <c r="AD231" s="146">
        <f>24000</f>
        <v>24000</v>
      </c>
      <c r="AE231" s="146">
        <f>23040</f>
        <v>23040</v>
      </c>
      <c r="AF231" s="146">
        <f>23040</f>
        <v>23040</v>
      </c>
      <c r="AG231" s="146">
        <f>23040</f>
        <v>23040</v>
      </c>
      <c r="AH231" s="146">
        <f>22350</f>
        <v>22350</v>
      </c>
      <c r="AI231" s="146">
        <f>22350</f>
        <v>22350</v>
      </c>
      <c r="AJ231" s="146">
        <f>22350</f>
        <v>22350</v>
      </c>
      <c r="AK231" s="146">
        <f>21679</f>
        <v>21679</v>
      </c>
      <c r="AL231" s="146">
        <f>21679</f>
        <v>21679</v>
      </c>
      <c r="AM231" s="146">
        <f>21679</f>
        <v>21679</v>
      </c>
      <c r="AN231" s="146">
        <f>21679</f>
        <v>21679</v>
      </c>
      <c r="AO231" s="146">
        <f>21679</f>
        <v>21679</v>
      </c>
      <c r="AP231" s="146">
        <f>21679</f>
        <v>21679</v>
      </c>
      <c r="AQ231" s="146">
        <f>23501</f>
        <v>23501</v>
      </c>
      <c r="AR231" s="146">
        <f>23501</f>
        <v>23501</v>
      </c>
      <c r="AS231" s="146">
        <f>23501</f>
        <v>23501</v>
      </c>
      <c r="AT231" s="184">
        <v>23501</v>
      </c>
      <c r="AU231" s="184">
        <v>23501</v>
      </c>
      <c r="AV231" s="184">
        <v>23501</v>
      </c>
      <c r="AW231" s="184">
        <v>23501</v>
      </c>
      <c r="AX231" s="184">
        <v>23501</v>
      </c>
      <c r="AY231" s="184">
        <v>23501</v>
      </c>
      <c r="AZ231" s="184">
        <v>23501</v>
      </c>
      <c r="BA231" s="184">
        <v>23501</v>
      </c>
      <c r="BB231" s="184">
        <v>23501</v>
      </c>
      <c r="BC231" s="184">
        <v>23501</v>
      </c>
      <c r="BD231" s="184">
        <v>23501</v>
      </c>
      <c r="BE231" s="184">
        <v>23501</v>
      </c>
      <c r="BF231" s="184">
        <v>23501</v>
      </c>
      <c r="BG231" s="184">
        <v>23501</v>
      </c>
      <c r="BH231" s="184">
        <v>23501</v>
      </c>
      <c r="BI231" s="184">
        <v>23501</v>
      </c>
      <c r="BJ231" s="184">
        <v>23501</v>
      </c>
      <c r="BK231" s="184">
        <v>23501</v>
      </c>
      <c r="BL231" s="184">
        <v>24864</v>
      </c>
      <c r="BM231" s="184">
        <v>24864</v>
      </c>
      <c r="BN231" s="184">
        <v>24864</v>
      </c>
      <c r="BO231" s="184"/>
      <c r="BP231" s="184"/>
      <c r="BQ231" s="184"/>
      <c r="BR231" s="184"/>
      <c r="BS231" s="184"/>
      <c r="BT231" s="184"/>
      <c r="BU231" s="146" cm="1">
        <f t="array" ref="BU231">LOOKUP(2,1/(Y231:BT231&lt;&gt;""),Y231:BH231)</f>
        <v>24864</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46174</v>
      </c>
      <c r="BW231" s="211" cm="1">
        <f t="array" ref="BW231">(LOOKUP(2,1/(BH231:BT231&lt;&gt;""),BH231:BT231))/(INDEX(BH231:BT231,MATCH(TRUE,INDEX((BH231:BT231&lt;&gt;0),0),0)))-1</f>
        <v>5.7997532019913978E-2</v>
      </c>
      <c r="BX231" s="212">
        <f t="shared" si="68"/>
        <v>24.864000000000001</v>
      </c>
      <c r="BY231" s="212">
        <f t="shared" si="67"/>
        <v>24.864000000000001</v>
      </c>
      <c r="BZ231" s="212">
        <f>IF(L231="BR",'Impostos e Frete'!$F$6,IF(L231="EU",'Impostos e Frete'!$I$3,IF(L231="CN",'Impostos e Frete'!$I$4,IF(L231="JP",'Impostos e Frete'!$I$5,IF(L231="RU",'Impostos e Frete'!$I$7,"ERRO")))))</f>
        <v>0</v>
      </c>
      <c r="CA231" s="212">
        <f>VLOOKUP(L231,'Impostos e Frete'!$A$3:$B$7,2,0)*'Preços e Condições'!BY231</f>
        <v>0</v>
      </c>
      <c r="CB231" s="147">
        <f t="shared" si="69"/>
        <v>0</v>
      </c>
      <c r="CC231" s="147">
        <f>IF(X231="BRL",'Impostos e Frete'!$B$11,'Impostos e Frete'!$B$12)</f>
        <v>0.2</v>
      </c>
      <c r="CD231" s="213">
        <f t="shared" si="70"/>
        <v>25.064</v>
      </c>
      <c r="CE231" s="214">
        <f t="shared" si="71"/>
        <v>2.0051199999999998</v>
      </c>
      <c r="CF231" s="215">
        <f>VLOOKUP(L231,'Impostos e Frete'!$A$3:$C$7,3,0)</f>
        <v>45</v>
      </c>
      <c r="CG231" s="215">
        <f t="shared" si="72"/>
        <v>0</v>
      </c>
      <c r="CH231" s="215">
        <f t="shared" si="73"/>
        <v>-45</v>
      </c>
      <c r="CI231" s="216">
        <f t="shared" si="74"/>
        <v>0.56604951758041011</v>
      </c>
      <c r="CJ231" s="217">
        <f t="shared" si="75"/>
        <v>25.63004951758041</v>
      </c>
      <c r="CK231" s="218">
        <f t="shared" si="76"/>
        <v>2.0504039614064329</v>
      </c>
    </row>
    <row r="232" spans="1:92">
      <c r="A232" s="176">
        <v>16010</v>
      </c>
      <c r="B232" s="177">
        <v>664</v>
      </c>
      <c r="C232" s="190">
        <v>80</v>
      </c>
      <c r="D232" s="190"/>
      <c r="E232" s="178" t="s">
        <v>49</v>
      </c>
      <c r="F232" s="191" t="s">
        <v>1</v>
      </c>
      <c r="G232" s="192" t="s">
        <v>124</v>
      </c>
      <c r="H232" s="190" t="s">
        <v>63</v>
      </c>
      <c r="I232" s="178">
        <v>664</v>
      </c>
      <c r="J232" s="183"/>
      <c r="K232" s="190"/>
      <c r="L232" s="183" t="s">
        <v>58</v>
      </c>
      <c r="M232" s="183">
        <v>0</v>
      </c>
      <c r="N232" s="183"/>
      <c r="O232" s="183"/>
      <c r="P232" s="183">
        <v>3</v>
      </c>
      <c r="Q232" s="183" t="s">
        <v>27</v>
      </c>
      <c r="R232" s="183" t="s">
        <v>19</v>
      </c>
      <c r="S232" s="181">
        <v>0.12</v>
      </c>
      <c r="T232" s="181" t="s">
        <v>210</v>
      </c>
      <c r="U232" s="182">
        <v>9.2499999999999999E-2</v>
      </c>
      <c r="V232" s="182" t="s">
        <v>35</v>
      </c>
      <c r="W232" s="183">
        <v>10</v>
      </c>
      <c r="X232" s="182" t="s">
        <v>46</v>
      </c>
      <c r="Y232" s="146">
        <f>23999.75</f>
        <v>23999.75</v>
      </c>
      <c r="Z232" s="146">
        <f>23999.75</f>
        <v>23999.75</v>
      </c>
      <c r="AA232" s="146">
        <f>23999.75</f>
        <v>23999.75</v>
      </c>
      <c r="AB232" s="184"/>
      <c r="AC232" s="184"/>
      <c r="AD232" s="184"/>
      <c r="AE232" s="184"/>
      <c r="AF232" s="184"/>
      <c r="AG232" s="184"/>
      <c r="AH232" s="184"/>
      <c r="AI232" s="184"/>
      <c r="AJ232" s="184"/>
      <c r="AK232" s="184"/>
      <c r="AL232" s="184"/>
      <c r="AM232" s="184"/>
      <c r="AN232" s="184"/>
      <c r="AO232" s="184"/>
      <c r="AP232" s="184"/>
      <c r="AQ232" s="184"/>
      <c r="AR232" s="184"/>
      <c r="AS232" s="184"/>
      <c r="AT232" s="184"/>
      <c r="AU232" s="184"/>
      <c r="AV232" s="184"/>
      <c r="AW232" s="184"/>
      <c r="AX232" s="184"/>
      <c r="AY232" s="184"/>
      <c r="AZ232" s="184"/>
      <c r="BA232" s="184"/>
      <c r="BB232" s="184"/>
      <c r="BC232" s="184"/>
      <c r="BD232" s="184"/>
      <c r="BE232" s="184"/>
      <c r="BF232" s="184"/>
      <c r="BG232" s="184"/>
      <c r="BH232" s="184"/>
      <c r="BI232" s="184"/>
      <c r="BJ232" s="184"/>
      <c r="BK232" s="184"/>
      <c r="BL232" s="184"/>
      <c r="BM232" s="184"/>
      <c r="BN232" s="184"/>
      <c r="BO232" s="184"/>
      <c r="BP232" s="184"/>
      <c r="BQ232" s="184"/>
      <c r="BR232" s="184"/>
      <c r="BS232" s="184"/>
      <c r="BT232" s="184"/>
      <c r="BU232" s="146" cm="1">
        <f t="array" ref="BU232">LOOKUP(2,1/(Y232:BT232&lt;&gt;""),Y232:BH232)</f>
        <v>23999.75</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44986</v>
      </c>
      <c r="BW232" s="211" t="e" cm="1">
        <f t="array" ref="BW232">(LOOKUP(2,1/(BH232:BT232&lt;&gt;""),BH232:BT232))/(INDEX(BH232:BT232,MATCH(TRUE,INDEX((BH232:BT232&lt;&gt;0),0),0)))-1</f>
        <v>#N/A</v>
      </c>
      <c r="BX232" s="212">
        <f t="shared" si="68"/>
        <v>23.999749999999999</v>
      </c>
      <c r="BY232" s="212">
        <f t="shared" si="67"/>
        <v>23.999749999999999</v>
      </c>
      <c r="BZ232" s="212">
        <f>IF(L232="BR",'Impostos e Frete'!$F$6,IF(L232="EU",'Impostos e Frete'!$I$3,IF(L232="CN",'Impostos e Frete'!$I$4,IF(L232="JP",'Impostos e Frete'!$I$5,IF(L232="RU",'Impostos e Frete'!$I$7,"ERRO")))))</f>
        <v>0</v>
      </c>
      <c r="CA232" s="212">
        <f>VLOOKUP(L232,'Impostos e Frete'!$A$3:$B$7,2,0)*'Preços e Condições'!BY232</f>
        <v>0</v>
      </c>
      <c r="CB232" s="147">
        <f t="shared" si="69"/>
        <v>0</v>
      </c>
      <c r="CC232" s="147">
        <f>IF(X232="BRL",'Impostos e Frete'!$B$11,'Impostos e Frete'!$B$12)</f>
        <v>0.2</v>
      </c>
      <c r="CD232" s="213">
        <f t="shared" si="70"/>
        <v>24.199749999999998</v>
      </c>
      <c r="CE232" s="214">
        <f t="shared" si="71"/>
        <v>1.9359799999999998</v>
      </c>
      <c r="CF232" s="215">
        <f>VLOOKUP(L232,'Impostos e Frete'!$A$3:$C$7,3,0)</f>
        <v>45</v>
      </c>
      <c r="CG232" s="215">
        <f t="shared" si="72"/>
        <v>0</v>
      </c>
      <c r="CH232" s="215">
        <f t="shared" si="73"/>
        <v>-45</v>
      </c>
      <c r="CI232" s="216">
        <f t="shared" si="74"/>
        <v>0.54653115277156417</v>
      </c>
      <c r="CJ232" s="217">
        <f t="shared" si="75"/>
        <v>24.746281152771562</v>
      </c>
      <c r="CK232" s="218">
        <f t="shared" si="76"/>
        <v>1.9797024922217248</v>
      </c>
    </row>
    <row r="233" spans="1:92">
      <c r="A233" s="176">
        <v>16031</v>
      </c>
      <c r="B233" s="177" t="s">
        <v>123</v>
      </c>
      <c r="C233" s="190">
        <v>60</v>
      </c>
      <c r="D233" s="178">
        <v>2065</v>
      </c>
      <c r="E233" s="178" t="s">
        <v>49</v>
      </c>
      <c r="F233" s="191" t="s">
        <v>1</v>
      </c>
      <c r="G233" s="192" t="s">
        <v>15</v>
      </c>
      <c r="H233" s="178" t="s">
        <v>61</v>
      </c>
      <c r="I233" s="178"/>
      <c r="J233" s="183"/>
      <c r="K233" s="193"/>
      <c r="L233" s="183" t="s">
        <v>58</v>
      </c>
      <c r="M233" s="183">
        <v>0</v>
      </c>
      <c r="N233" s="183"/>
      <c r="O233" s="183"/>
      <c r="P233" s="183">
        <v>3</v>
      </c>
      <c r="Q233" s="183" t="s">
        <v>27</v>
      </c>
      <c r="R233" s="183" t="s">
        <v>19</v>
      </c>
      <c r="S233" s="181">
        <v>0.12</v>
      </c>
      <c r="T233" s="181" t="s">
        <v>210</v>
      </c>
      <c r="U233" s="182">
        <v>9.2499999999999999E-2</v>
      </c>
      <c r="V233" s="182" t="s">
        <v>35</v>
      </c>
      <c r="W233" s="183">
        <v>40</v>
      </c>
      <c r="X233" s="182" t="s">
        <v>46</v>
      </c>
      <c r="Y233" s="146">
        <f>9465.01</f>
        <v>9465.01</v>
      </c>
      <c r="Z233" s="146">
        <f>9465.01</f>
        <v>9465.01</v>
      </c>
      <c r="AA233" s="146">
        <f>9465.01</f>
        <v>9465.01</v>
      </c>
      <c r="AB233" s="146">
        <f>9465</f>
        <v>9465</v>
      </c>
      <c r="AC233" s="146">
        <f>9465</f>
        <v>9465</v>
      </c>
      <c r="AD233" s="146">
        <f>9465</f>
        <v>9465</v>
      </c>
      <c r="AE233" s="146">
        <f>9465</f>
        <v>9465</v>
      </c>
      <c r="AF233" s="146">
        <f>9465</f>
        <v>9465</v>
      </c>
      <c r="AG233" s="146">
        <f>9465</f>
        <v>9465</v>
      </c>
      <c r="AH233" s="146">
        <f>9465</f>
        <v>9465</v>
      </c>
      <c r="AI233" s="146">
        <f>9465</f>
        <v>9465</v>
      </c>
      <c r="AJ233" s="146">
        <f>9465</f>
        <v>9465</v>
      </c>
      <c r="AK233" s="146">
        <f>9200</f>
        <v>9200</v>
      </c>
      <c r="AL233" s="146">
        <f>9200</f>
        <v>9200</v>
      </c>
      <c r="AM233" s="146">
        <f>9200</f>
        <v>9200</v>
      </c>
      <c r="AN233" s="146">
        <f>9200</f>
        <v>9200</v>
      </c>
      <c r="AO233" s="146">
        <f>9200</f>
        <v>9200</v>
      </c>
      <c r="AP233" s="146">
        <f>9200</f>
        <v>9200</v>
      </c>
      <c r="AQ233" s="146">
        <f>9973</f>
        <v>9973</v>
      </c>
      <c r="AR233" s="146">
        <f>9973</f>
        <v>9973</v>
      </c>
      <c r="AS233" s="146">
        <f>9973</f>
        <v>9973</v>
      </c>
      <c r="AT233" s="184">
        <v>10471</v>
      </c>
      <c r="AU233" s="184">
        <v>10471</v>
      </c>
      <c r="AV233" s="184">
        <v>10471</v>
      </c>
      <c r="AW233" s="184">
        <v>10471</v>
      </c>
      <c r="AX233" s="184">
        <v>10471</v>
      </c>
      <c r="AY233" s="184">
        <v>10471</v>
      </c>
      <c r="AZ233" s="184">
        <v>10471</v>
      </c>
      <c r="BA233" s="184">
        <v>10471</v>
      </c>
      <c r="BB233" s="184">
        <v>10471</v>
      </c>
      <c r="BC233" s="184">
        <v>10471</v>
      </c>
      <c r="BD233" s="184">
        <v>10471</v>
      </c>
      <c r="BE233" s="184">
        <v>10471</v>
      </c>
      <c r="BF233" s="184">
        <v>10471</v>
      </c>
      <c r="BG233" s="184">
        <v>10471</v>
      </c>
      <c r="BH233" s="184">
        <v>10471</v>
      </c>
      <c r="BI233" s="184">
        <v>10471</v>
      </c>
      <c r="BJ233" s="184">
        <v>10471</v>
      </c>
      <c r="BK233" s="184">
        <v>10471</v>
      </c>
      <c r="BL233" s="184">
        <v>11079</v>
      </c>
      <c r="BM233" s="184">
        <v>11079</v>
      </c>
      <c r="BN233" s="184">
        <v>11079</v>
      </c>
      <c r="BO233" s="184"/>
      <c r="BP233" s="184"/>
      <c r="BQ233" s="184"/>
      <c r="BR233" s="184"/>
      <c r="BS233" s="184"/>
      <c r="BT233" s="184"/>
      <c r="BU233" s="146" cm="1">
        <f t="array" ref="BU233">LOOKUP(2,1/(Y233:BT233&lt;&gt;""),Y233:BH233)</f>
        <v>11079</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46174</v>
      </c>
      <c r="BW233" s="211" cm="1">
        <f t="array" ref="BW233">(LOOKUP(2,1/(BH233:BT233&lt;&gt;""),BH233:BT233))/(INDEX(BH233:BT233,MATCH(TRUE,INDEX((BH233:BT233&lt;&gt;0),0),0)))-1</f>
        <v>5.8065132270079367E-2</v>
      </c>
      <c r="BX233" s="212">
        <f t="shared" si="68"/>
        <v>11.079000000000001</v>
      </c>
      <c r="BY233" s="212">
        <f t="shared" si="67"/>
        <v>11.079000000000001</v>
      </c>
      <c r="BZ233" s="212">
        <f>IF(L233="BR",'Impostos e Frete'!$F$6,IF(L233="EU",'Impostos e Frete'!$I$3,IF(L233="CN",'Impostos e Frete'!$I$4,IF(L233="JP",'Impostos e Frete'!$I$5,IF(L233="RU",'Impostos e Frete'!$I$7,"ERRO")))))</f>
        <v>0</v>
      </c>
      <c r="CA233" s="212">
        <f>VLOOKUP(L233,'Impostos e Frete'!$A$3:$B$7,2,0)*'Preços e Condições'!BY233</f>
        <v>0</v>
      </c>
      <c r="CB233" s="147">
        <f t="shared" si="69"/>
        <v>0</v>
      </c>
      <c r="CC233" s="147">
        <f>IF(X233="BRL",'Impostos e Frete'!$B$11,'Impostos e Frete'!$B$12)</f>
        <v>0.2</v>
      </c>
      <c r="CD233" s="213">
        <f t="shared" si="70"/>
        <v>11.279</v>
      </c>
      <c r="CE233" s="214">
        <f t="shared" si="71"/>
        <v>0.6767399999999999</v>
      </c>
      <c r="CF233" s="215">
        <f>VLOOKUP(L233,'Impostos e Frete'!$A$3:$C$7,3,0)</f>
        <v>45</v>
      </c>
      <c r="CG233" s="215">
        <f t="shared" si="72"/>
        <v>0</v>
      </c>
      <c r="CH233" s="215">
        <f t="shared" si="73"/>
        <v>-45</v>
      </c>
      <c r="CI233" s="216">
        <f t="shared" si="74"/>
        <v>0.25472679974423151</v>
      </c>
      <c r="CJ233" s="217">
        <f t="shared" si="75"/>
        <v>11.533726799744231</v>
      </c>
      <c r="CK233" s="218">
        <f t="shared" si="76"/>
        <v>0.6920236079846539</v>
      </c>
      <c r="CL233" s="187"/>
      <c r="CM233" s="187"/>
      <c r="CN233" s="187"/>
    </row>
    <row r="234" spans="1:92">
      <c r="A234" s="176">
        <v>16056</v>
      </c>
      <c r="B234" s="177">
        <v>104</v>
      </c>
      <c r="C234" s="190">
        <v>80</v>
      </c>
      <c r="D234" s="183">
        <v>1860</v>
      </c>
      <c r="E234" s="178" t="s">
        <v>49</v>
      </c>
      <c r="F234" s="191" t="s">
        <v>1</v>
      </c>
      <c r="G234" s="192" t="s">
        <v>4</v>
      </c>
      <c r="H234" s="183" t="s">
        <v>43</v>
      </c>
      <c r="I234" s="178">
        <v>963</v>
      </c>
      <c r="J234" s="183"/>
      <c r="K234" s="183" t="s">
        <v>28</v>
      </c>
      <c r="L234" s="183" t="s">
        <v>58</v>
      </c>
      <c r="M234" s="183">
        <v>0</v>
      </c>
      <c r="N234" s="183"/>
      <c r="O234" s="183"/>
      <c r="P234" s="183">
        <v>3</v>
      </c>
      <c r="Q234" s="183" t="s">
        <v>27</v>
      </c>
      <c r="R234" s="183" t="s">
        <v>19</v>
      </c>
      <c r="S234" s="181">
        <v>0.12</v>
      </c>
      <c r="T234" s="181" t="s">
        <v>210</v>
      </c>
      <c r="U234" s="182">
        <v>9.2499999999999999E-2</v>
      </c>
      <c r="V234" s="182" t="s">
        <v>35</v>
      </c>
      <c r="W234" s="183">
        <v>40</v>
      </c>
      <c r="X234" s="182" t="s">
        <v>46</v>
      </c>
      <c r="Y234" s="146">
        <f>13500</f>
        <v>13500</v>
      </c>
      <c r="Z234" s="146">
        <f>13500</f>
        <v>13500</v>
      </c>
      <c r="AA234" s="146">
        <f>13500</f>
        <v>13500</v>
      </c>
      <c r="AB234" s="146">
        <f>13500</f>
        <v>13500</v>
      </c>
      <c r="AC234" s="146">
        <f>13500</f>
        <v>13500</v>
      </c>
      <c r="AD234" s="146">
        <f>13500</f>
        <v>13500</v>
      </c>
      <c r="AE234" s="146">
        <f>13000</f>
        <v>13000</v>
      </c>
      <c r="AF234" s="146">
        <f>13000</f>
        <v>13000</v>
      </c>
      <c r="AG234" s="146">
        <f>13000</f>
        <v>13000</v>
      </c>
      <c r="AH234" s="146">
        <f>12500</f>
        <v>12500</v>
      </c>
      <c r="AI234" s="146">
        <f>12500</f>
        <v>12500</v>
      </c>
      <c r="AJ234" s="146">
        <f>12500</f>
        <v>12500</v>
      </c>
      <c r="AK234" s="146">
        <f>11700</f>
        <v>11700</v>
      </c>
      <c r="AL234" s="146">
        <f>11700</f>
        <v>11700</v>
      </c>
      <c r="AM234" s="146">
        <f>11700</f>
        <v>11700</v>
      </c>
      <c r="AN234" s="146">
        <f>11700</f>
        <v>11700</v>
      </c>
      <c r="AO234" s="146">
        <f>11700</f>
        <v>11700</v>
      </c>
      <c r="AP234" s="146">
        <f>11700</f>
        <v>11700</v>
      </c>
      <c r="AQ234" s="146">
        <f>12683</f>
        <v>12683</v>
      </c>
      <c r="AR234" s="146">
        <f>12683</f>
        <v>12683</v>
      </c>
      <c r="AS234" s="146">
        <f>12683</f>
        <v>12683</v>
      </c>
      <c r="AT234" s="184">
        <v>13063</v>
      </c>
      <c r="AU234" s="184">
        <v>13634</v>
      </c>
      <c r="AV234" s="184">
        <v>13634</v>
      </c>
      <c r="AW234" s="184">
        <v>13634</v>
      </c>
      <c r="AX234" s="184">
        <v>13634</v>
      </c>
      <c r="AY234" s="184">
        <v>13634</v>
      </c>
      <c r="AZ234" s="184">
        <v>13634</v>
      </c>
      <c r="BA234" s="184">
        <v>13634</v>
      </c>
      <c r="BB234" s="184">
        <v>13634</v>
      </c>
      <c r="BC234" s="184">
        <v>13634</v>
      </c>
      <c r="BD234" s="184">
        <v>13634</v>
      </c>
      <c r="BE234" s="184">
        <v>13634</v>
      </c>
      <c r="BF234" s="184">
        <v>13634</v>
      </c>
      <c r="BG234" s="184">
        <v>13634</v>
      </c>
      <c r="BH234" s="184">
        <v>13634</v>
      </c>
      <c r="BI234" s="184">
        <v>13634</v>
      </c>
      <c r="BJ234" s="184">
        <v>13634</v>
      </c>
      <c r="BK234" s="184">
        <v>13634</v>
      </c>
      <c r="BL234" s="184">
        <v>14425</v>
      </c>
      <c r="BM234" s="184">
        <v>14425</v>
      </c>
      <c r="BN234" s="184">
        <v>14425</v>
      </c>
      <c r="BO234" s="184"/>
      <c r="BP234" s="184"/>
      <c r="BQ234" s="184"/>
      <c r="BR234" s="184"/>
      <c r="BS234" s="184"/>
      <c r="BT234" s="184"/>
      <c r="BU234" s="146" cm="1">
        <f t="array" ref="BU234">LOOKUP(2,1/(Y234:BT234&lt;&gt;""),Y234:BH234)</f>
        <v>14425</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46174</v>
      </c>
      <c r="BW234" s="211" cm="1">
        <f t="array" ref="BW234">(LOOKUP(2,1/(BH234:BT234&lt;&gt;""),BH234:BT234))/(INDEX(BH234:BT234,MATCH(TRUE,INDEX((BH234:BT234&lt;&gt;0),0),0)))-1</f>
        <v>5.8016722898635686E-2</v>
      </c>
      <c r="BX234" s="212">
        <f t="shared" si="68"/>
        <v>14.425000000000001</v>
      </c>
      <c r="BY234" s="212">
        <f t="shared" si="67"/>
        <v>14.425000000000001</v>
      </c>
      <c r="BZ234" s="212">
        <f>IF(L234="BR",'Impostos e Frete'!$F$6,IF(L234="EU",'Impostos e Frete'!$I$3,IF(L234="CN",'Impostos e Frete'!$I$4,IF(L234="JP",'Impostos e Frete'!$I$5,IF(L234="RU",'Impostos e Frete'!$I$7,"ERRO")))))</f>
        <v>0</v>
      </c>
      <c r="CA234" s="212">
        <f>VLOOKUP(L234,'Impostos e Frete'!$A$3:$B$7,2,0)*'Preços e Condições'!BY234</f>
        <v>0</v>
      </c>
      <c r="CB234" s="147">
        <f t="shared" si="69"/>
        <v>0</v>
      </c>
      <c r="CC234" s="147">
        <f>IF(X234="BRL",'Impostos e Frete'!$B$11,'Impostos e Frete'!$B$12)</f>
        <v>0.2</v>
      </c>
      <c r="CD234" s="213">
        <f t="shared" si="70"/>
        <v>14.625</v>
      </c>
      <c r="CE234" s="214">
        <f t="shared" si="71"/>
        <v>1.1700000000000002</v>
      </c>
      <c r="CF234" s="215">
        <f>VLOOKUP(L234,'Impostos e Frete'!$A$3:$C$7,3,0)</f>
        <v>45</v>
      </c>
      <c r="CG234" s="215">
        <f t="shared" si="72"/>
        <v>0</v>
      </c>
      <c r="CH234" s="215">
        <f t="shared" si="73"/>
        <v>-45</v>
      </c>
      <c r="CI234" s="216">
        <f t="shared" si="74"/>
        <v>0.33029341663794654</v>
      </c>
      <c r="CJ234" s="217">
        <f t="shared" si="75"/>
        <v>14.955293416637947</v>
      </c>
      <c r="CK234" s="218">
        <f t="shared" si="76"/>
        <v>1.1964234733310357</v>
      </c>
      <c r="CL234" s="187"/>
      <c r="CM234" s="187"/>
      <c r="CN234" s="187"/>
    </row>
    <row r="235" spans="1:92">
      <c r="A235" s="176">
        <v>16059</v>
      </c>
      <c r="B235" s="177">
        <v>104</v>
      </c>
      <c r="C235" s="190">
        <v>80</v>
      </c>
      <c r="D235" s="183">
        <v>1845</v>
      </c>
      <c r="E235" s="178" t="s">
        <v>49</v>
      </c>
      <c r="F235" s="191" t="s">
        <v>1</v>
      </c>
      <c r="G235" s="192" t="s">
        <v>4</v>
      </c>
      <c r="H235" s="183" t="s">
        <v>43</v>
      </c>
      <c r="I235" s="178">
        <v>963</v>
      </c>
      <c r="J235" s="183"/>
      <c r="K235" s="183" t="s">
        <v>28</v>
      </c>
      <c r="L235" s="183" t="s">
        <v>58</v>
      </c>
      <c r="M235" s="183">
        <v>0</v>
      </c>
      <c r="N235" s="183"/>
      <c r="O235" s="183"/>
      <c r="P235" s="183">
        <v>3</v>
      </c>
      <c r="Q235" s="183" t="s">
        <v>27</v>
      </c>
      <c r="R235" s="183" t="s">
        <v>19</v>
      </c>
      <c r="S235" s="181">
        <v>0.12</v>
      </c>
      <c r="T235" s="181" t="s">
        <v>210</v>
      </c>
      <c r="U235" s="182">
        <v>9.2499999999999999E-2</v>
      </c>
      <c r="V235" s="182" t="s">
        <v>35</v>
      </c>
      <c r="W235" s="183">
        <v>40</v>
      </c>
      <c r="X235" s="182" t="s">
        <v>46</v>
      </c>
      <c r="Y235" s="146">
        <f>13500</f>
        <v>13500</v>
      </c>
      <c r="Z235" s="146">
        <f>13500</f>
        <v>13500</v>
      </c>
      <c r="AA235" s="146">
        <f>13500</f>
        <v>13500</v>
      </c>
      <c r="AB235" s="146">
        <f>13500</f>
        <v>13500</v>
      </c>
      <c r="AC235" s="146">
        <f>13500</f>
        <v>13500</v>
      </c>
      <c r="AD235" s="146">
        <f>13500</f>
        <v>13500</v>
      </c>
      <c r="AE235" s="146">
        <f>13000</f>
        <v>13000</v>
      </c>
      <c r="AF235" s="146">
        <f>13000</f>
        <v>13000</v>
      </c>
      <c r="AG235" s="146">
        <f>13000</f>
        <v>13000</v>
      </c>
      <c r="AH235" s="146">
        <f>12500</f>
        <v>12500</v>
      </c>
      <c r="AI235" s="146">
        <f>12500</f>
        <v>12500</v>
      </c>
      <c r="AJ235" s="146">
        <f>12500</f>
        <v>12500</v>
      </c>
      <c r="AK235" s="146">
        <f>11700</f>
        <v>11700</v>
      </c>
      <c r="AL235" s="146">
        <f>11700</f>
        <v>11700</v>
      </c>
      <c r="AM235" s="146">
        <f>11700</f>
        <v>11700</v>
      </c>
      <c r="AN235" s="146">
        <f>11700</f>
        <v>11700</v>
      </c>
      <c r="AO235" s="146">
        <f>11700</f>
        <v>11700</v>
      </c>
      <c r="AP235" s="146">
        <f>11700</f>
        <v>11700</v>
      </c>
      <c r="AQ235" s="146">
        <f>12683</f>
        <v>12683</v>
      </c>
      <c r="AR235" s="146">
        <f>12683</f>
        <v>12683</v>
      </c>
      <c r="AS235" s="146">
        <f>12683</f>
        <v>12683</v>
      </c>
      <c r="AT235" s="184">
        <v>13063</v>
      </c>
      <c r="AU235" s="184">
        <v>13634</v>
      </c>
      <c r="AV235" s="184">
        <v>13634</v>
      </c>
      <c r="AW235" s="184">
        <v>13634</v>
      </c>
      <c r="AX235" s="184">
        <v>13634</v>
      </c>
      <c r="AY235" s="184">
        <v>13634</v>
      </c>
      <c r="AZ235" s="184">
        <v>13634</v>
      </c>
      <c r="BA235" s="184">
        <v>13634</v>
      </c>
      <c r="BB235" s="184">
        <v>13634</v>
      </c>
      <c r="BC235" s="184">
        <v>13634</v>
      </c>
      <c r="BD235" s="184">
        <v>13634</v>
      </c>
      <c r="BE235" s="184">
        <v>13634</v>
      </c>
      <c r="BF235" s="184">
        <v>13634</v>
      </c>
      <c r="BG235" s="184">
        <v>13634</v>
      </c>
      <c r="BH235" s="184">
        <v>13634</v>
      </c>
      <c r="BI235" s="184">
        <v>13634</v>
      </c>
      <c r="BJ235" s="184">
        <v>13634</v>
      </c>
      <c r="BK235" s="184">
        <v>13634</v>
      </c>
      <c r="BL235" s="184">
        <v>14425</v>
      </c>
      <c r="BM235" s="184">
        <v>14425</v>
      </c>
      <c r="BN235" s="184">
        <v>14425</v>
      </c>
      <c r="BO235" s="184"/>
      <c r="BP235" s="184"/>
      <c r="BQ235" s="184"/>
      <c r="BR235" s="184"/>
      <c r="BS235" s="184"/>
      <c r="BT235" s="184"/>
      <c r="BU235" s="146" cm="1">
        <f t="array" ref="BU235">LOOKUP(2,1/(Y235:BT235&lt;&gt;""),Y235:BH235)</f>
        <v>14425</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46174</v>
      </c>
      <c r="BW235" s="211" cm="1">
        <f t="array" ref="BW235">(LOOKUP(2,1/(BH235:BT235&lt;&gt;""),BH235:BT235))/(INDEX(BH235:BT235,MATCH(TRUE,INDEX((BH235:BT235&lt;&gt;0),0),0)))-1</f>
        <v>5.8016722898635686E-2</v>
      </c>
      <c r="BX235" s="212">
        <f t="shared" si="68"/>
        <v>14.425000000000001</v>
      </c>
      <c r="BY235" s="212">
        <f t="shared" si="67"/>
        <v>14.425000000000001</v>
      </c>
      <c r="BZ235" s="212">
        <f>IF(L235="BR",'Impostos e Frete'!$F$6,IF(L235="EU",'Impostos e Frete'!$I$3,IF(L235="CN",'Impostos e Frete'!$I$4,IF(L235="JP",'Impostos e Frete'!$I$5,IF(L235="RU",'Impostos e Frete'!$I$7,"ERRO")))))</f>
        <v>0</v>
      </c>
      <c r="CA235" s="212">
        <f>VLOOKUP(L235,'Impostos e Frete'!$A$3:$B$7,2,0)*'Preços e Condições'!BY235</f>
        <v>0</v>
      </c>
      <c r="CB235" s="147">
        <f t="shared" si="69"/>
        <v>0</v>
      </c>
      <c r="CC235" s="147">
        <f>IF(X235="BRL",'Impostos e Frete'!$B$11,'Impostos e Frete'!$B$12)</f>
        <v>0.2</v>
      </c>
      <c r="CD235" s="213">
        <f t="shared" si="70"/>
        <v>14.625</v>
      </c>
      <c r="CE235" s="214">
        <f t="shared" si="71"/>
        <v>1.1700000000000002</v>
      </c>
      <c r="CF235" s="215">
        <f>VLOOKUP(L235,'Impostos e Frete'!$A$3:$C$7,3,0)</f>
        <v>45</v>
      </c>
      <c r="CG235" s="215">
        <f t="shared" si="72"/>
        <v>0</v>
      </c>
      <c r="CH235" s="215">
        <f t="shared" si="73"/>
        <v>-45</v>
      </c>
      <c r="CI235" s="216">
        <f t="shared" si="74"/>
        <v>0.33029341663794654</v>
      </c>
      <c r="CJ235" s="217">
        <f t="shared" si="75"/>
        <v>14.955293416637947</v>
      </c>
      <c r="CK235" s="218">
        <f t="shared" si="76"/>
        <v>1.1964234733310357</v>
      </c>
    </row>
    <row r="236" spans="1:92">
      <c r="A236" s="176">
        <v>16064</v>
      </c>
      <c r="B236" s="177">
        <v>104</v>
      </c>
      <c r="C236" s="190">
        <v>70</v>
      </c>
      <c r="D236" s="190">
        <v>1870</v>
      </c>
      <c r="E236" s="178" t="s">
        <v>50</v>
      </c>
      <c r="F236" s="191" t="s">
        <v>1</v>
      </c>
      <c r="G236" s="192" t="s">
        <v>6</v>
      </c>
      <c r="H236" s="190" t="s">
        <v>43</v>
      </c>
      <c r="I236" s="178">
        <v>990</v>
      </c>
      <c r="J236" s="183"/>
      <c r="K236" s="190" t="s">
        <v>28</v>
      </c>
      <c r="L236" s="183" t="s">
        <v>58</v>
      </c>
      <c r="M236" s="183">
        <v>0</v>
      </c>
      <c r="N236" s="183"/>
      <c r="O236" s="183"/>
      <c r="P236" s="183">
        <v>3</v>
      </c>
      <c r="Q236" s="183" t="s">
        <v>27</v>
      </c>
      <c r="R236" s="183" t="s">
        <v>19</v>
      </c>
      <c r="S236" s="181">
        <v>0.12</v>
      </c>
      <c r="T236" s="181" t="s">
        <v>210</v>
      </c>
      <c r="U236" s="182">
        <v>9.2499999999999999E-2</v>
      </c>
      <c r="V236" s="182" t="s">
        <v>35</v>
      </c>
      <c r="W236" s="183">
        <v>70</v>
      </c>
      <c r="X236" s="182" t="s">
        <v>46</v>
      </c>
      <c r="Y236" s="146">
        <f>13500</f>
        <v>13500</v>
      </c>
      <c r="Z236" s="146">
        <f>13500</f>
        <v>13500</v>
      </c>
      <c r="AA236" s="146">
        <f>13500</f>
        <v>13500</v>
      </c>
      <c r="AB236" s="146">
        <f>13500</f>
        <v>13500</v>
      </c>
      <c r="AC236" s="146">
        <f>13500</f>
        <v>13500</v>
      </c>
      <c r="AD236" s="146">
        <f>13500</f>
        <v>13500</v>
      </c>
      <c r="AE236" s="146">
        <f>13000</f>
        <v>13000</v>
      </c>
      <c r="AF236" s="146">
        <f>13000</f>
        <v>13000</v>
      </c>
      <c r="AG236" s="146">
        <f>13000</f>
        <v>13000</v>
      </c>
      <c r="AH236" s="146">
        <f>12500</f>
        <v>12500</v>
      </c>
      <c r="AI236" s="146">
        <f>12500</f>
        <v>12500</v>
      </c>
      <c r="AJ236" s="146">
        <f>12500</f>
        <v>12500</v>
      </c>
      <c r="AK236" s="146">
        <f>11700</f>
        <v>11700</v>
      </c>
      <c r="AL236" s="146">
        <f>11700</f>
        <v>11700</v>
      </c>
      <c r="AM236" s="146">
        <f>11700</f>
        <v>11700</v>
      </c>
      <c r="AN236" s="146">
        <f>11700</f>
        <v>11700</v>
      </c>
      <c r="AO236" s="146">
        <f>11700</f>
        <v>11700</v>
      </c>
      <c r="AP236" s="146">
        <f>11700</f>
        <v>11700</v>
      </c>
      <c r="AQ236" s="146">
        <f>12683</f>
        <v>12683</v>
      </c>
      <c r="AR236" s="146">
        <f>12683</f>
        <v>12683</v>
      </c>
      <c r="AS236" s="146">
        <f>12683</f>
        <v>12683</v>
      </c>
      <c r="AT236" s="184">
        <v>13063</v>
      </c>
      <c r="AU236" s="184">
        <v>13634</v>
      </c>
      <c r="AV236" s="184">
        <v>13634</v>
      </c>
      <c r="AW236" s="184">
        <v>13634</v>
      </c>
      <c r="AX236" s="184">
        <v>13634</v>
      </c>
      <c r="AY236" s="184">
        <v>13634</v>
      </c>
      <c r="AZ236" s="184">
        <v>13634</v>
      </c>
      <c r="BA236" s="184">
        <v>13634</v>
      </c>
      <c r="BB236" s="184">
        <v>13634</v>
      </c>
      <c r="BC236" s="184">
        <v>13634</v>
      </c>
      <c r="BD236" s="184">
        <v>13634</v>
      </c>
      <c r="BE236" s="184">
        <v>13634</v>
      </c>
      <c r="BF236" s="184">
        <v>13634</v>
      </c>
      <c r="BG236" s="184">
        <v>13634</v>
      </c>
      <c r="BH236" s="184">
        <v>13634</v>
      </c>
      <c r="BI236" s="184">
        <v>13634</v>
      </c>
      <c r="BJ236" s="184">
        <v>13634</v>
      </c>
      <c r="BK236" s="184">
        <v>13634</v>
      </c>
      <c r="BL236" s="184">
        <v>14425</v>
      </c>
      <c r="BM236" s="184">
        <v>14425</v>
      </c>
      <c r="BN236" s="184">
        <v>14425</v>
      </c>
      <c r="BO236" s="184"/>
      <c r="BP236" s="184"/>
      <c r="BQ236" s="184"/>
      <c r="BR236" s="184"/>
      <c r="BS236" s="184"/>
      <c r="BT236" s="184"/>
      <c r="BU236" s="146" cm="1">
        <f t="array" ref="BU236">LOOKUP(2,1/(Y236:BT236&lt;&gt;""),Y236:BH236)</f>
        <v>14425</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46174</v>
      </c>
      <c r="BW236" s="211" cm="1">
        <f t="array" ref="BW236">(LOOKUP(2,1/(BH236:BT236&lt;&gt;""),BH236:BT236))/(INDEX(BH236:BT236,MATCH(TRUE,INDEX((BH236:BT236&lt;&gt;0),0),0)))-1</f>
        <v>5.8016722898635686E-2</v>
      </c>
      <c r="BX236" s="212">
        <f t="shared" si="68"/>
        <v>14.425000000000001</v>
      </c>
      <c r="BY236" s="212">
        <f t="shared" si="67"/>
        <v>14.425000000000001</v>
      </c>
      <c r="BZ236" s="212">
        <f>IF(L236="BR",'Impostos e Frete'!$F$6,IF(L236="EU",'Impostos e Frete'!$I$3,IF(L236="CN",'Impostos e Frete'!$I$4,IF(L236="JP",'Impostos e Frete'!$I$5,IF(L236="RU",'Impostos e Frete'!$I$7,"ERRO")))))</f>
        <v>0</v>
      </c>
      <c r="CA236" s="212">
        <f>VLOOKUP(L236,'Impostos e Frete'!$A$3:$B$7,2,0)*'Preços e Condições'!BY236</f>
        <v>0</v>
      </c>
      <c r="CB236" s="147">
        <f t="shared" si="69"/>
        <v>0</v>
      </c>
      <c r="CC236" s="147">
        <f>IF(X236="BRL",'Impostos e Frete'!$B$11,'Impostos e Frete'!$B$12)</f>
        <v>0.2</v>
      </c>
      <c r="CD236" s="213">
        <f t="shared" si="70"/>
        <v>14.625</v>
      </c>
      <c r="CE236" s="214">
        <f t="shared" si="71"/>
        <v>1.0237500000000002</v>
      </c>
      <c r="CF236" s="215">
        <f>VLOOKUP(L236,'Impostos e Frete'!$A$3:$C$7,3,0)</f>
        <v>45</v>
      </c>
      <c r="CG236" s="215">
        <f t="shared" si="72"/>
        <v>0</v>
      </c>
      <c r="CH236" s="215">
        <f t="shared" si="73"/>
        <v>-45</v>
      </c>
      <c r="CI236" s="216">
        <f t="shared" si="74"/>
        <v>0.33029341663794654</v>
      </c>
      <c r="CJ236" s="217">
        <f t="shared" si="75"/>
        <v>14.955293416637947</v>
      </c>
      <c r="CK236" s="218">
        <f t="shared" si="76"/>
        <v>1.0468705391646562</v>
      </c>
    </row>
    <row r="237" spans="1:92">
      <c r="A237" s="176">
        <v>16064</v>
      </c>
      <c r="B237" s="177">
        <v>104</v>
      </c>
      <c r="C237" s="190">
        <v>70</v>
      </c>
      <c r="D237" s="190">
        <v>2120</v>
      </c>
      <c r="E237" s="178" t="s">
        <v>50</v>
      </c>
      <c r="F237" s="191" t="s">
        <v>1</v>
      </c>
      <c r="G237" s="192" t="s">
        <v>6</v>
      </c>
      <c r="H237" s="190" t="s">
        <v>43</v>
      </c>
      <c r="I237" s="178">
        <v>990</v>
      </c>
      <c r="J237" s="183"/>
      <c r="K237" s="190" t="s">
        <v>28</v>
      </c>
      <c r="L237" s="183" t="s">
        <v>58</v>
      </c>
      <c r="M237" s="183">
        <v>0</v>
      </c>
      <c r="N237" s="183"/>
      <c r="O237" s="183"/>
      <c r="P237" s="183">
        <v>3</v>
      </c>
      <c r="Q237" s="183" t="s">
        <v>27</v>
      </c>
      <c r="R237" s="183" t="s">
        <v>19</v>
      </c>
      <c r="S237" s="181">
        <v>0.12</v>
      </c>
      <c r="T237" s="181" t="s">
        <v>210</v>
      </c>
      <c r="U237" s="182">
        <v>9.2499999999999999E-2</v>
      </c>
      <c r="V237" s="182" t="s">
        <v>35</v>
      </c>
      <c r="W237" s="183">
        <v>70</v>
      </c>
      <c r="X237" s="182" t="s">
        <v>46</v>
      </c>
      <c r="Y237" s="146">
        <f>13500</f>
        <v>13500</v>
      </c>
      <c r="Z237" s="146">
        <f>13500</f>
        <v>13500</v>
      </c>
      <c r="AA237" s="146">
        <f>13500</f>
        <v>13500</v>
      </c>
      <c r="AB237" s="146">
        <f>13500</f>
        <v>13500</v>
      </c>
      <c r="AC237" s="146">
        <f>13500</f>
        <v>13500</v>
      </c>
      <c r="AD237" s="146">
        <f>13500</f>
        <v>13500</v>
      </c>
      <c r="AE237" s="146">
        <f>13000</f>
        <v>13000</v>
      </c>
      <c r="AF237" s="146">
        <f>13000</f>
        <v>13000</v>
      </c>
      <c r="AG237" s="146">
        <f>13000</f>
        <v>13000</v>
      </c>
      <c r="AH237" s="146">
        <f>12500</f>
        <v>12500</v>
      </c>
      <c r="AI237" s="146">
        <f>12500</f>
        <v>12500</v>
      </c>
      <c r="AJ237" s="146">
        <f>12500</f>
        <v>12500</v>
      </c>
      <c r="AK237" s="146">
        <f>11700</f>
        <v>11700</v>
      </c>
      <c r="AL237" s="146">
        <f>11700</f>
        <v>11700</v>
      </c>
      <c r="AM237" s="146">
        <f>11700</f>
        <v>11700</v>
      </c>
      <c r="AN237" s="146">
        <f>11700</f>
        <v>11700</v>
      </c>
      <c r="AO237" s="146">
        <f>11700</f>
        <v>11700</v>
      </c>
      <c r="AP237" s="146">
        <f>11700</f>
        <v>11700</v>
      </c>
      <c r="AQ237" s="146">
        <f>12683</f>
        <v>12683</v>
      </c>
      <c r="AR237" s="146">
        <f>12683</f>
        <v>12683</v>
      </c>
      <c r="AS237" s="146">
        <f>12683</f>
        <v>12683</v>
      </c>
      <c r="AT237" s="184">
        <v>13063</v>
      </c>
      <c r="AU237" s="184">
        <v>13634</v>
      </c>
      <c r="AV237" s="184">
        <v>13634</v>
      </c>
      <c r="AW237" s="184">
        <v>13634</v>
      </c>
      <c r="AX237" s="184">
        <v>13634</v>
      </c>
      <c r="AY237" s="184">
        <v>13634</v>
      </c>
      <c r="AZ237" s="184">
        <v>13634</v>
      </c>
      <c r="BA237" s="184">
        <v>13634</v>
      </c>
      <c r="BB237" s="184">
        <v>13634</v>
      </c>
      <c r="BC237" s="184">
        <v>13634</v>
      </c>
      <c r="BD237" s="184">
        <v>13634</v>
      </c>
      <c r="BE237" s="184">
        <v>13634</v>
      </c>
      <c r="BF237" s="184">
        <v>13634</v>
      </c>
      <c r="BG237" s="184">
        <v>13634</v>
      </c>
      <c r="BH237" s="184">
        <v>13634</v>
      </c>
      <c r="BI237" s="184">
        <v>13634</v>
      </c>
      <c r="BJ237" s="184">
        <v>13634</v>
      </c>
      <c r="BK237" s="184">
        <v>13634</v>
      </c>
      <c r="BL237" s="184">
        <v>14425</v>
      </c>
      <c r="BM237" s="184">
        <v>14425</v>
      </c>
      <c r="BN237" s="184">
        <v>14425</v>
      </c>
      <c r="BO237" s="184"/>
      <c r="BP237" s="184"/>
      <c r="BQ237" s="184"/>
      <c r="BR237" s="184"/>
      <c r="BS237" s="184"/>
      <c r="BT237" s="184"/>
      <c r="BU237" s="146" cm="1">
        <f t="array" ref="BU237">LOOKUP(2,1/(Y237:BT237&lt;&gt;""),Y237:BH237)</f>
        <v>14425</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46174</v>
      </c>
      <c r="BW237" s="211" cm="1">
        <f t="array" ref="BW237">(LOOKUP(2,1/(BH237:BT237&lt;&gt;""),BH237:BT237))/(INDEX(BH237:BT237,MATCH(TRUE,INDEX((BH237:BT237&lt;&gt;0),0),0)))-1</f>
        <v>5.8016722898635686E-2</v>
      </c>
      <c r="BX237" s="212">
        <f t="shared" si="68"/>
        <v>14.425000000000001</v>
      </c>
      <c r="BY237" s="212">
        <f t="shared" si="67"/>
        <v>14.425000000000001</v>
      </c>
      <c r="BZ237" s="212">
        <f>IF(L237="BR",'Impostos e Frete'!$F$6,IF(L237="EU",'Impostos e Frete'!$I$3,IF(L237="CN",'Impostos e Frete'!$I$4,IF(L237="JP",'Impostos e Frete'!$I$5,IF(L237="RU",'Impostos e Frete'!$I$7,"ERRO")))))</f>
        <v>0</v>
      </c>
      <c r="CA237" s="212">
        <f>VLOOKUP(L237,'Impostos e Frete'!$A$3:$B$7,2,0)*'Preços e Condições'!BY237</f>
        <v>0</v>
      </c>
      <c r="CB237" s="147">
        <f t="shared" si="69"/>
        <v>0</v>
      </c>
      <c r="CC237" s="147">
        <f>IF(X237="BRL",'Impostos e Frete'!$B$11,'Impostos e Frete'!$B$12)</f>
        <v>0.2</v>
      </c>
      <c r="CD237" s="213">
        <f t="shared" si="70"/>
        <v>14.625</v>
      </c>
      <c r="CE237" s="214">
        <f t="shared" si="71"/>
        <v>1.0237500000000002</v>
      </c>
      <c r="CF237" s="215">
        <f>VLOOKUP(L237,'Impostos e Frete'!$A$3:$C$7,3,0)</f>
        <v>45</v>
      </c>
      <c r="CG237" s="215">
        <f t="shared" si="72"/>
        <v>0</v>
      </c>
      <c r="CH237" s="215">
        <f t="shared" si="73"/>
        <v>-45</v>
      </c>
      <c r="CI237" s="216">
        <f t="shared" si="74"/>
        <v>0.33029341663794654</v>
      </c>
      <c r="CJ237" s="217">
        <f t="shared" si="75"/>
        <v>14.955293416637947</v>
      </c>
      <c r="CK237" s="218">
        <f t="shared" si="76"/>
        <v>1.0468705391646562</v>
      </c>
    </row>
    <row r="238" spans="1:92">
      <c r="A238" s="176">
        <v>16065</v>
      </c>
      <c r="B238" s="177">
        <v>104</v>
      </c>
      <c r="C238" s="190">
        <v>70</v>
      </c>
      <c r="D238" s="190">
        <v>2175</v>
      </c>
      <c r="E238" s="178" t="s">
        <v>50</v>
      </c>
      <c r="F238" s="191" t="s">
        <v>1</v>
      </c>
      <c r="G238" s="192" t="s">
        <v>6</v>
      </c>
      <c r="H238" s="190" t="s">
        <v>43</v>
      </c>
      <c r="I238" s="178">
        <v>990</v>
      </c>
      <c r="J238" s="183"/>
      <c r="K238" s="190" t="s">
        <v>28</v>
      </c>
      <c r="L238" s="183" t="s">
        <v>58</v>
      </c>
      <c r="M238" s="183">
        <v>0</v>
      </c>
      <c r="N238" s="183"/>
      <c r="O238" s="183"/>
      <c r="P238" s="183">
        <v>3</v>
      </c>
      <c r="Q238" s="183" t="s">
        <v>27</v>
      </c>
      <c r="R238" s="183" t="s">
        <v>19</v>
      </c>
      <c r="S238" s="181">
        <v>0.12</v>
      </c>
      <c r="T238" s="181" t="s">
        <v>210</v>
      </c>
      <c r="U238" s="182">
        <v>9.2499999999999999E-2</v>
      </c>
      <c r="V238" s="182" t="s">
        <v>35</v>
      </c>
      <c r="W238" s="183">
        <v>70</v>
      </c>
      <c r="X238" s="182" t="s">
        <v>46</v>
      </c>
      <c r="Y238" s="146">
        <f>13500</f>
        <v>13500</v>
      </c>
      <c r="Z238" s="146">
        <f>13500</f>
        <v>13500</v>
      </c>
      <c r="AA238" s="146">
        <f>13500</f>
        <v>13500</v>
      </c>
      <c r="AB238" s="146">
        <f>13500</f>
        <v>13500</v>
      </c>
      <c r="AC238" s="146">
        <f>13500</f>
        <v>13500</v>
      </c>
      <c r="AD238" s="146">
        <f>13500</f>
        <v>13500</v>
      </c>
      <c r="AE238" s="146">
        <f>13000</f>
        <v>13000</v>
      </c>
      <c r="AF238" s="146">
        <f>13000</f>
        <v>13000</v>
      </c>
      <c r="AG238" s="146">
        <f>13000</f>
        <v>13000</v>
      </c>
      <c r="AH238" s="146">
        <f>12500</f>
        <v>12500</v>
      </c>
      <c r="AI238" s="146">
        <f>12500</f>
        <v>12500</v>
      </c>
      <c r="AJ238" s="146">
        <f>12500</f>
        <v>12500</v>
      </c>
      <c r="AK238" s="146">
        <f>11700</f>
        <v>11700</v>
      </c>
      <c r="AL238" s="146">
        <f>11700</f>
        <v>11700</v>
      </c>
      <c r="AM238" s="146">
        <f>11700</f>
        <v>11700</v>
      </c>
      <c r="AN238" s="146">
        <f>11700</f>
        <v>11700</v>
      </c>
      <c r="AO238" s="146">
        <f>11700</f>
        <v>11700</v>
      </c>
      <c r="AP238" s="146">
        <f>11700</f>
        <v>11700</v>
      </c>
      <c r="AQ238" s="146">
        <f>12683</f>
        <v>12683</v>
      </c>
      <c r="AR238" s="146">
        <f>12683</f>
        <v>12683</v>
      </c>
      <c r="AS238" s="146">
        <f>12683</f>
        <v>12683</v>
      </c>
      <c r="AT238" s="184">
        <v>13063</v>
      </c>
      <c r="AU238" s="184">
        <v>13634</v>
      </c>
      <c r="AV238" s="184">
        <v>13634</v>
      </c>
      <c r="AW238" s="184">
        <v>13634</v>
      </c>
      <c r="AX238" s="184">
        <v>13634</v>
      </c>
      <c r="AY238" s="184">
        <v>13634</v>
      </c>
      <c r="AZ238" s="184">
        <v>13634</v>
      </c>
      <c r="BA238" s="184">
        <v>13634</v>
      </c>
      <c r="BB238" s="184">
        <v>13634</v>
      </c>
      <c r="BC238" s="184">
        <v>13634</v>
      </c>
      <c r="BD238" s="184">
        <v>13634</v>
      </c>
      <c r="BE238" s="184">
        <v>13634</v>
      </c>
      <c r="BF238" s="184">
        <v>13634</v>
      </c>
      <c r="BG238" s="184">
        <v>13634</v>
      </c>
      <c r="BH238" s="184">
        <v>13634</v>
      </c>
      <c r="BI238" s="184">
        <v>13634</v>
      </c>
      <c r="BJ238" s="184">
        <v>13634</v>
      </c>
      <c r="BK238" s="184">
        <v>13634</v>
      </c>
      <c r="BL238" s="184">
        <v>14425</v>
      </c>
      <c r="BM238" s="184">
        <v>14425</v>
      </c>
      <c r="BN238" s="184">
        <v>14425</v>
      </c>
      <c r="BO238" s="184"/>
      <c r="BP238" s="184"/>
      <c r="BQ238" s="184"/>
      <c r="BR238" s="184"/>
      <c r="BS238" s="184"/>
      <c r="BT238" s="184"/>
      <c r="BU238" s="146" cm="1">
        <f t="array" ref="BU238">LOOKUP(2,1/(Y238:BT238&lt;&gt;""),Y238:BH238)</f>
        <v>14425</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46174</v>
      </c>
      <c r="BW238" s="211" cm="1">
        <f t="array" ref="BW238">(LOOKUP(2,1/(BH238:BT238&lt;&gt;""),BH238:BT238))/(INDEX(BH238:BT238,MATCH(TRUE,INDEX((BH238:BT238&lt;&gt;0),0),0)))-1</f>
        <v>5.8016722898635686E-2</v>
      </c>
      <c r="BX238" s="212">
        <f t="shared" si="68"/>
        <v>14.425000000000001</v>
      </c>
      <c r="BY238" s="212">
        <f t="shared" si="67"/>
        <v>14.425000000000001</v>
      </c>
      <c r="BZ238" s="212">
        <f>IF(L238="BR",'Impostos e Frete'!$F$6,IF(L238="EU",'Impostos e Frete'!$I$3,IF(L238="CN",'Impostos e Frete'!$I$4,IF(L238="JP",'Impostos e Frete'!$I$5,IF(L238="RU",'Impostos e Frete'!$I$7,"ERRO")))))</f>
        <v>0</v>
      </c>
      <c r="CA238" s="212">
        <f>VLOOKUP(L238,'Impostos e Frete'!$A$3:$B$7,2,0)*'Preços e Condições'!BY238</f>
        <v>0</v>
      </c>
      <c r="CB238" s="147">
        <f t="shared" si="69"/>
        <v>0</v>
      </c>
      <c r="CC238" s="147">
        <f>IF(X238="BRL",'Impostos e Frete'!$B$11,'Impostos e Frete'!$B$12)</f>
        <v>0.2</v>
      </c>
      <c r="CD238" s="213">
        <f t="shared" si="70"/>
        <v>14.625</v>
      </c>
      <c r="CE238" s="214">
        <f t="shared" si="71"/>
        <v>1.0237500000000002</v>
      </c>
      <c r="CF238" s="215">
        <f>VLOOKUP(L238,'Impostos e Frete'!$A$3:$C$7,3,0)</f>
        <v>45</v>
      </c>
      <c r="CG238" s="215">
        <f t="shared" si="72"/>
        <v>0</v>
      </c>
      <c r="CH238" s="215">
        <f t="shared" si="73"/>
        <v>-45</v>
      </c>
      <c r="CI238" s="216">
        <f t="shared" si="74"/>
        <v>0.33029341663794654</v>
      </c>
      <c r="CJ238" s="217">
        <f t="shared" si="75"/>
        <v>14.955293416637947</v>
      </c>
      <c r="CK238" s="218">
        <f t="shared" si="76"/>
        <v>1.0468705391646562</v>
      </c>
    </row>
    <row r="239" spans="1:92">
      <c r="A239" s="176">
        <v>16066</v>
      </c>
      <c r="B239" s="177">
        <v>104</v>
      </c>
      <c r="C239" s="190">
        <v>70</v>
      </c>
      <c r="D239" s="190">
        <v>1870</v>
      </c>
      <c r="E239" s="178" t="s">
        <v>50</v>
      </c>
      <c r="F239" s="191" t="s">
        <v>1</v>
      </c>
      <c r="G239" s="192" t="s">
        <v>6</v>
      </c>
      <c r="H239" s="190" t="s">
        <v>43</v>
      </c>
      <c r="I239" s="178">
        <v>990</v>
      </c>
      <c r="J239" s="183"/>
      <c r="K239" s="190" t="s">
        <v>28</v>
      </c>
      <c r="L239" s="183" t="s">
        <v>58</v>
      </c>
      <c r="M239" s="183">
        <v>0</v>
      </c>
      <c r="N239" s="183"/>
      <c r="O239" s="183"/>
      <c r="P239" s="183">
        <v>3</v>
      </c>
      <c r="Q239" s="183" t="s">
        <v>27</v>
      </c>
      <c r="R239" s="183" t="s">
        <v>19</v>
      </c>
      <c r="S239" s="181">
        <v>0.12</v>
      </c>
      <c r="T239" s="181" t="s">
        <v>210</v>
      </c>
      <c r="U239" s="182">
        <v>9.2499999999999999E-2</v>
      </c>
      <c r="V239" s="182" t="s">
        <v>35</v>
      </c>
      <c r="W239" s="183">
        <v>70</v>
      </c>
      <c r="X239" s="182" t="s">
        <v>46</v>
      </c>
      <c r="Y239" s="146">
        <f>13500</f>
        <v>13500</v>
      </c>
      <c r="Z239" s="146">
        <f>13500</f>
        <v>13500</v>
      </c>
      <c r="AA239" s="146">
        <f>13500</f>
        <v>13500</v>
      </c>
      <c r="AB239" s="146">
        <f>13500</f>
        <v>13500</v>
      </c>
      <c r="AC239" s="146">
        <f>13500</f>
        <v>13500</v>
      </c>
      <c r="AD239" s="146">
        <f>13500</f>
        <v>13500</v>
      </c>
      <c r="AE239" s="146">
        <f>13000</f>
        <v>13000</v>
      </c>
      <c r="AF239" s="146">
        <f>13000</f>
        <v>13000</v>
      </c>
      <c r="AG239" s="146">
        <f>13000</f>
        <v>13000</v>
      </c>
      <c r="AH239" s="146">
        <f>12500</f>
        <v>12500</v>
      </c>
      <c r="AI239" s="146">
        <f>12500</f>
        <v>12500</v>
      </c>
      <c r="AJ239" s="146">
        <f>12500</f>
        <v>12500</v>
      </c>
      <c r="AK239" s="146">
        <f>11700</f>
        <v>11700</v>
      </c>
      <c r="AL239" s="146">
        <f>11700</f>
        <v>11700</v>
      </c>
      <c r="AM239" s="146">
        <f>11700</f>
        <v>11700</v>
      </c>
      <c r="AN239" s="146">
        <f>11700</f>
        <v>11700</v>
      </c>
      <c r="AO239" s="146">
        <f>11700</f>
        <v>11700</v>
      </c>
      <c r="AP239" s="146">
        <f>11700</f>
        <v>11700</v>
      </c>
      <c r="AQ239" s="146">
        <f>12683</f>
        <v>12683</v>
      </c>
      <c r="AR239" s="146">
        <f>12683</f>
        <v>12683</v>
      </c>
      <c r="AS239" s="146">
        <f>12683</f>
        <v>12683</v>
      </c>
      <c r="AT239" s="184">
        <v>13063</v>
      </c>
      <c r="AU239" s="184">
        <v>13634</v>
      </c>
      <c r="AV239" s="184">
        <v>13634</v>
      </c>
      <c r="AW239" s="184">
        <v>13634</v>
      </c>
      <c r="AX239" s="184">
        <v>13634</v>
      </c>
      <c r="AY239" s="184">
        <v>13634</v>
      </c>
      <c r="AZ239" s="184">
        <v>13634</v>
      </c>
      <c r="BA239" s="184">
        <v>13634</v>
      </c>
      <c r="BB239" s="184">
        <v>13634</v>
      </c>
      <c r="BC239" s="184">
        <v>13634</v>
      </c>
      <c r="BD239" s="184">
        <v>13634</v>
      </c>
      <c r="BE239" s="184">
        <v>13634</v>
      </c>
      <c r="BF239" s="184">
        <v>13634</v>
      </c>
      <c r="BG239" s="184">
        <v>13634</v>
      </c>
      <c r="BH239" s="184">
        <v>13634</v>
      </c>
      <c r="BI239" s="184">
        <v>13634</v>
      </c>
      <c r="BJ239" s="184">
        <v>13634</v>
      </c>
      <c r="BK239" s="184">
        <v>13634</v>
      </c>
      <c r="BL239" s="184">
        <v>14425</v>
      </c>
      <c r="BM239" s="184">
        <v>14425</v>
      </c>
      <c r="BN239" s="184">
        <v>14425</v>
      </c>
      <c r="BO239" s="184"/>
      <c r="BP239" s="184"/>
      <c r="BQ239" s="184"/>
      <c r="BR239" s="184"/>
      <c r="BS239" s="184"/>
      <c r="BT239" s="184"/>
      <c r="BU239" s="146" cm="1">
        <f t="array" ref="BU239">LOOKUP(2,1/(Y239:BT239&lt;&gt;""),Y239:BH239)</f>
        <v>14425</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46174</v>
      </c>
      <c r="BW239" s="211" cm="1">
        <f t="array" ref="BW239">(LOOKUP(2,1/(BH239:BT239&lt;&gt;""),BH239:BT239))/(INDEX(BH239:BT239,MATCH(TRUE,INDEX((BH239:BT239&lt;&gt;0),0),0)))-1</f>
        <v>5.8016722898635686E-2</v>
      </c>
      <c r="BX239" s="212">
        <f t="shared" si="68"/>
        <v>14.425000000000001</v>
      </c>
      <c r="BY239" s="212">
        <f t="shared" si="67"/>
        <v>14.425000000000001</v>
      </c>
      <c r="BZ239" s="212">
        <f>IF(L239="BR",'Impostos e Frete'!$F$6,IF(L239="EU",'Impostos e Frete'!$I$3,IF(L239="CN",'Impostos e Frete'!$I$4,IF(L239="JP",'Impostos e Frete'!$I$5,IF(L239="RU",'Impostos e Frete'!$I$7,"ERRO")))))</f>
        <v>0</v>
      </c>
      <c r="CA239" s="212">
        <f>VLOOKUP(L239,'Impostos e Frete'!$A$3:$B$7,2,0)*'Preços e Condições'!BY239</f>
        <v>0</v>
      </c>
      <c r="CB239" s="147">
        <f t="shared" si="69"/>
        <v>0</v>
      </c>
      <c r="CC239" s="147">
        <f>IF(X239="BRL",'Impostos e Frete'!$B$11,'Impostos e Frete'!$B$12)</f>
        <v>0.2</v>
      </c>
      <c r="CD239" s="213">
        <f t="shared" si="70"/>
        <v>14.625</v>
      </c>
      <c r="CE239" s="214">
        <f t="shared" si="71"/>
        <v>1.0237500000000002</v>
      </c>
      <c r="CF239" s="215">
        <f>VLOOKUP(L239,'Impostos e Frete'!$A$3:$C$7,3,0)</f>
        <v>45</v>
      </c>
      <c r="CG239" s="215">
        <f t="shared" si="72"/>
        <v>0</v>
      </c>
      <c r="CH239" s="215">
        <f t="shared" si="73"/>
        <v>-45</v>
      </c>
      <c r="CI239" s="216">
        <f t="shared" si="74"/>
        <v>0.33029341663794654</v>
      </c>
      <c r="CJ239" s="217">
        <f t="shared" si="75"/>
        <v>14.955293416637947</v>
      </c>
      <c r="CK239" s="218">
        <f t="shared" si="76"/>
        <v>1.0468705391646562</v>
      </c>
    </row>
    <row r="240" spans="1:92">
      <c r="A240" s="176">
        <v>16068</v>
      </c>
      <c r="B240" s="177">
        <v>104</v>
      </c>
      <c r="C240" s="190">
        <v>80</v>
      </c>
      <c r="D240" s="183">
        <v>1860</v>
      </c>
      <c r="E240" s="178" t="s">
        <v>49</v>
      </c>
      <c r="F240" s="191" t="s">
        <v>1</v>
      </c>
      <c r="G240" s="192" t="s">
        <v>4</v>
      </c>
      <c r="H240" s="183" t="s">
        <v>43</v>
      </c>
      <c r="I240" s="178">
        <v>963</v>
      </c>
      <c r="J240" s="183"/>
      <c r="K240" s="183" t="s">
        <v>28</v>
      </c>
      <c r="L240" s="183" t="s">
        <v>58</v>
      </c>
      <c r="M240" s="183">
        <v>0</v>
      </c>
      <c r="N240" s="183"/>
      <c r="O240" s="183"/>
      <c r="P240" s="183">
        <v>3</v>
      </c>
      <c r="Q240" s="183" t="s">
        <v>27</v>
      </c>
      <c r="R240" s="183" t="s">
        <v>19</v>
      </c>
      <c r="S240" s="181">
        <v>0.12</v>
      </c>
      <c r="T240" s="181" t="s">
        <v>210</v>
      </c>
      <c r="U240" s="182">
        <v>9.2499999999999999E-2</v>
      </c>
      <c r="V240" s="182" t="s">
        <v>35</v>
      </c>
      <c r="W240" s="183">
        <v>40</v>
      </c>
      <c r="X240" s="182" t="s">
        <v>46</v>
      </c>
      <c r="Y240" s="146">
        <f>13500</f>
        <v>13500</v>
      </c>
      <c r="Z240" s="146">
        <f>13500</f>
        <v>13500</v>
      </c>
      <c r="AA240" s="146">
        <f>13500</f>
        <v>13500</v>
      </c>
      <c r="AB240" s="146">
        <f>13500</f>
        <v>13500</v>
      </c>
      <c r="AC240" s="146">
        <f>13500</f>
        <v>13500</v>
      </c>
      <c r="AD240" s="146">
        <f>13500</f>
        <v>13500</v>
      </c>
      <c r="AE240" s="146">
        <f>13000</f>
        <v>13000</v>
      </c>
      <c r="AF240" s="146">
        <f>13000</f>
        <v>13000</v>
      </c>
      <c r="AG240" s="146">
        <f>13000</f>
        <v>13000</v>
      </c>
      <c r="AH240" s="146">
        <f>12500</f>
        <v>12500</v>
      </c>
      <c r="AI240" s="146">
        <f>12500</f>
        <v>12500</v>
      </c>
      <c r="AJ240" s="146">
        <f>12500</f>
        <v>12500</v>
      </c>
      <c r="AK240" s="146">
        <f>11700</f>
        <v>11700</v>
      </c>
      <c r="AL240" s="146">
        <f>11700</f>
        <v>11700</v>
      </c>
      <c r="AM240" s="146">
        <f>11700</f>
        <v>11700</v>
      </c>
      <c r="AN240" s="146">
        <f>11700</f>
        <v>11700</v>
      </c>
      <c r="AO240" s="146">
        <f>11700</f>
        <v>11700</v>
      </c>
      <c r="AP240" s="146">
        <f>11700</f>
        <v>11700</v>
      </c>
      <c r="AQ240" s="146">
        <f>12683</f>
        <v>12683</v>
      </c>
      <c r="AR240" s="146">
        <f>12683</f>
        <v>12683</v>
      </c>
      <c r="AS240" s="146">
        <f>12683</f>
        <v>12683</v>
      </c>
      <c r="AT240" s="184">
        <v>13063</v>
      </c>
      <c r="AU240" s="184">
        <v>13634</v>
      </c>
      <c r="AV240" s="184">
        <v>13634</v>
      </c>
      <c r="AW240" s="184">
        <v>13634</v>
      </c>
      <c r="AX240" s="184">
        <v>13634</v>
      </c>
      <c r="AY240" s="184">
        <v>13634</v>
      </c>
      <c r="AZ240" s="184">
        <v>13634</v>
      </c>
      <c r="BA240" s="184">
        <v>13634</v>
      </c>
      <c r="BB240" s="184">
        <v>13634</v>
      </c>
      <c r="BC240" s="184">
        <v>13634</v>
      </c>
      <c r="BD240" s="184">
        <v>13634</v>
      </c>
      <c r="BE240" s="184">
        <v>13634</v>
      </c>
      <c r="BF240" s="184">
        <v>13634</v>
      </c>
      <c r="BG240" s="184">
        <v>13634</v>
      </c>
      <c r="BH240" s="184">
        <v>13634</v>
      </c>
      <c r="BI240" s="184">
        <v>13634</v>
      </c>
      <c r="BJ240" s="184">
        <v>13634</v>
      </c>
      <c r="BK240" s="184">
        <v>13634</v>
      </c>
      <c r="BL240" s="184">
        <v>14425</v>
      </c>
      <c r="BM240" s="184">
        <v>14425</v>
      </c>
      <c r="BN240" s="184">
        <v>14425</v>
      </c>
      <c r="BO240" s="184"/>
      <c r="BP240" s="184"/>
      <c r="BQ240" s="184"/>
      <c r="BR240" s="184"/>
      <c r="BS240" s="184"/>
      <c r="BT240" s="184"/>
      <c r="BU240" s="146" cm="1">
        <f t="array" ref="BU240">LOOKUP(2,1/(Y240:BT240&lt;&gt;""),Y240:BH240)</f>
        <v>14425</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46174</v>
      </c>
      <c r="BW240" s="211" cm="1">
        <f t="array" ref="BW240">(LOOKUP(2,1/(BH240:BT240&lt;&gt;""),BH240:BT240))/(INDEX(BH240:BT240,MATCH(TRUE,INDEX((BH240:BT240&lt;&gt;0),0),0)))-1</f>
        <v>5.8016722898635686E-2</v>
      </c>
      <c r="BX240" s="212">
        <f t="shared" si="68"/>
        <v>14.425000000000001</v>
      </c>
      <c r="BY240" s="212">
        <f t="shared" si="67"/>
        <v>14.425000000000001</v>
      </c>
      <c r="BZ240" s="212">
        <f>IF(L240="BR",'Impostos e Frete'!$F$6,IF(L240="EU",'Impostos e Frete'!$I$3,IF(L240="CN",'Impostos e Frete'!$I$4,IF(L240="JP",'Impostos e Frete'!$I$5,IF(L240="RU",'Impostos e Frete'!$I$7,"ERRO")))))</f>
        <v>0</v>
      </c>
      <c r="CA240" s="212">
        <f>VLOOKUP(L240,'Impostos e Frete'!$A$3:$B$7,2,0)*'Preços e Condições'!BY240</f>
        <v>0</v>
      </c>
      <c r="CB240" s="147">
        <f t="shared" si="69"/>
        <v>0</v>
      </c>
      <c r="CC240" s="147">
        <f>IF(X240="BRL",'Impostos e Frete'!$B$11,'Impostos e Frete'!$B$12)</f>
        <v>0.2</v>
      </c>
      <c r="CD240" s="213">
        <f t="shared" si="70"/>
        <v>14.625</v>
      </c>
      <c r="CE240" s="214">
        <f t="shared" si="71"/>
        <v>1.1700000000000002</v>
      </c>
      <c r="CF240" s="215">
        <f>VLOOKUP(L240,'Impostos e Frete'!$A$3:$C$7,3,0)</f>
        <v>45</v>
      </c>
      <c r="CG240" s="215">
        <f t="shared" si="72"/>
        <v>0</v>
      </c>
      <c r="CH240" s="215">
        <f t="shared" si="73"/>
        <v>-45</v>
      </c>
      <c r="CI240" s="216">
        <f t="shared" si="74"/>
        <v>0.33029341663794654</v>
      </c>
      <c r="CJ240" s="217">
        <f t="shared" si="75"/>
        <v>14.955293416637947</v>
      </c>
      <c r="CK240" s="218">
        <f t="shared" si="76"/>
        <v>1.1964234733310357</v>
      </c>
    </row>
    <row r="241" spans="1:89">
      <c r="A241" s="176"/>
      <c r="B241" s="177">
        <v>3222</v>
      </c>
      <c r="C241" s="190">
        <v>70</v>
      </c>
      <c r="D241" s="183"/>
      <c r="E241" s="178" t="s">
        <v>49</v>
      </c>
      <c r="F241" s="191" t="s">
        <v>1</v>
      </c>
      <c r="G241" s="192" t="s">
        <v>296</v>
      </c>
      <c r="H241" s="183" t="s">
        <v>66</v>
      </c>
      <c r="I241" s="178">
        <v>390</v>
      </c>
      <c r="J241" s="178"/>
      <c r="K241" s="178"/>
      <c r="L241" s="183" t="s">
        <v>58</v>
      </c>
      <c r="M241" s="183">
        <v>0</v>
      </c>
      <c r="N241" s="183"/>
      <c r="O241" s="183"/>
      <c r="P241" s="183">
        <v>3</v>
      </c>
      <c r="Q241" s="183" t="s">
        <v>27</v>
      </c>
      <c r="R241" s="183" t="s">
        <v>19</v>
      </c>
      <c r="S241" s="181">
        <v>0.12</v>
      </c>
      <c r="T241" s="181" t="s">
        <v>210</v>
      </c>
      <c r="U241" s="182">
        <v>9.2499999999999999E-2</v>
      </c>
      <c r="V241" s="182" t="s">
        <v>35</v>
      </c>
      <c r="W241" s="183">
        <v>20</v>
      </c>
      <c r="X241" s="182" t="s">
        <v>46</v>
      </c>
      <c r="Y241" s="184"/>
      <c r="Z241" s="184"/>
      <c r="AA241" s="184"/>
      <c r="AB241" s="184"/>
      <c r="AC241" s="184"/>
      <c r="AD241" s="184"/>
      <c r="AE241" s="184"/>
      <c r="AF241" s="184"/>
      <c r="AG241" s="184"/>
      <c r="AH241" s="184"/>
      <c r="AI241" s="184"/>
      <c r="AJ241" s="184"/>
      <c r="AK241" s="184"/>
      <c r="AL241" s="184"/>
      <c r="AM241" s="184"/>
      <c r="AN241" s="184"/>
      <c r="AO241" s="184"/>
      <c r="AP241" s="184"/>
      <c r="AQ241" s="184">
        <v>18200</v>
      </c>
      <c r="AR241" s="184">
        <v>18200</v>
      </c>
      <c r="AS241" s="184">
        <v>18200</v>
      </c>
      <c r="AT241" s="184">
        <v>18200</v>
      </c>
      <c r="AU241" s="184">
        <v>18200</v>
      </c>
      <c r="AV241" s="184">
        <v>18200</v>
      </c>
      <c r="AW241" s="184">
        <v>19120</v>
      </c>
      <c r="AX241" s="184">
        <v>19120</v>
      </c>
      <c r="AY241" s="184">
        <v>19120</v>
      </c>
      <c r="AZ241" s="184">
        <v>19120</v>
      </c>
      <c r="BA241" s="184">
        <v>19120</v>
      </c>
      <c r="BB241" s="184">
        <v>19120</v>
      </c>
      <c r="BC241" s="184"/>
      <c r="BD241" s="184"/>
      <c r="BE241" s="184"/>
      <c r="BF241" s="184"/>
      <c r="BG241" s="184">
        <v>19500</v>
      </c>
      <c r="BH241" s="184"/>
      <c r="BI241" s="184"/>
      <c r="BJ241" s="184"/>
      <c r="BK241" s="184"/>
      <c r="BL241" s="184"/>
      <c r="BM241" s="184"/>
      <c r="BN241" s="184"/>
      <c r="BO241" s="184"/>
      <c r="BP241" s="184"/>
      <c r="BQ241" s="184"/>
      <c r="BR241" s="184"/>
      <c r="BS241" s="184"/>
      <c r="BT241" s="184"/>
      <c r="BU241" s="146" cm="1">
        <f t="array" ref="BU241">LOOKUP(2,1/(Y241:BT241&lt;&gt;""),Y241:BH241)</f>
        <v>19500</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45962</v>
      </c>
      <c r="BW241" s="211" t="e" cm="1">
        <f t="array" ref="BW241">(LOOKUP(2,1/(BH241:BT241&lt;&gt;""),BH241:BT241))/(INDEX(BH241:BT241,MATCH(TRUE,INDEX((BH241:BT241&lt;&gt;0),0),0)))-1</f>
        <v>#N/A</v>
      </c>
      <c r="BX241" s="212">
        <f t="shared" si="68"/>
        <v>19.5</v>
      </c>
      <c r="BY241" s="212">
        <f t="shared" si="67"/>
        <v>19.5</v>
      </c>
      <c r="BZ241" s="212">
        <f>IF(L241="BR",'Impostos e Frete'!$F$6,IF(L241="EU",'Impostos e Frete'!$I$3,IF(L241="CN",'Impostos e Frete'!$I$4,IF(L241="JP",'Impostos e Frete'!$I$5,IF(L241="RU",'Impostos e Frete'!$I$7,"ERRO")))))</f>
        <v>0</v>
      </c>
      <c r="CA241" s="212">
        <f>VLOOKUP(L241,'Impostos e Frete'!$A$3:$B$7,2,0)*'Preços e Condições'!BY241</f>
        <v>0</v>
      </c>
      <c r="CB241" s="147">
        <f t="shared" si="69"/>
        <v>0</v>
      </c>
      <c r="CC241" s="147">
        <f>IF(X241="BRL",'Impostos e Frete'!$B$11,'Impostos e Frete'!$B$12)</f>
        <v>0.2</v>
      </c>
      <c r="CD241" s="213">
        <f t="shared" si="70"/>
        <v>19.7</v>
      </c>
      <c r="CE241" s="214">
        <f t="shared" si="71"/>
        <v>1.379</v>
      </c>
      <c r="CF241" s="215">
        <f>VLOOKUP(L241,'Impostos e Frete'!$A$3:$C$7,3,0)</f>
        <v>45</v>
      </c>
      <c r="CG241" s="215">
        <f t="shared" si="72"/>
        <v>0</v>
      </c>
      <c r="CH241" s="215">
        <f t="shared" si="73"/>
        <v>-45</v>
      </c>
      <c r="CI241" s="216">
        <f t="shared" si="74"/>
        <v>0.44490805523196997</v>
      </c>
      <c r="CJ241" s="217">
        <f t="shared" si="75"/>
        <v>20.144908055231969</v>
      </c>
      <c r="CK241" s="218">
        <f t="shared" si="76"/>
        <v>1.4101435638662378</v>
      </c>
    </row>
    <row r="242" spans="1:89">
      <c r="A242" s="176">
        <v>10029</v>
      </c>
      <c r="B242" s="177" t="s">
        <v>149</v>
      </c>
      <c r="C242" s="178">
        <v>40</v>
      </c>
      <c r="D242" s="178">
        <v>1900</v>
      </c>
      <c r="E242" s="178" t="s">
        <v>150</v>
      </c>
      <c r="F242" s="179" t="s">
        <v>151</v>
      </c>
      <c r="G242" s="189" t="s">
        <v>152</v>
      </c>
      <c r="H242" s="178" t="s">
        <v>43</v>
      </c>
      <c r="I242" s="178"/>
      <c r="J242" s="178"/>
      <c r="K242" s="178"/>
      <c r="L242" s="178" t="s">
        <v>58</v>
      </c>
      <c r="M242" s="178">
        <v>30</v>
      </c>
      <c r="N242" s="178"/>
      <c r="O242" s="178"/>
      <c r="P242" s="178"/>
      <c r="Q242" s="178"/>
      <c r="R242" s="178" t="s">
        <v>19</v>
      </c>
      <c r="S242" s="181"/>
      <c r="T242" s="181"/>
      <c r="U242" s="182"/>
      <c r="V242" s="182" t="s">
        <v>35</v>
      </c>
      <c r="W242" s="183"/>
      <c r="X242" s="182" t="s">
        <v>46</v>
      </c>
      <c r="Y242" s="184"/>
      <c r="Z242" s="184"/>
      <c r="AA242" s="184"/>
      <c r="AB242" s="184"/>
      <c r="AC242" s="184"/>
      <c r="AD242" s="184"/>
      <c r="AE242" s="184"/>
      <c r="AF242" s="184"/>
      <c r="AG242" s="184"/>
      <c r="AH242" s="184"/>
      <c r="AI242" s="184"/>
      <c r="AJ242" s="184"/>
      <c r="AK242" s="184"/>
      <c r="AL242" s="184"/>
      <c r="AM242" s="184">
        <v>9367</v>
      </c>
      <c r="AN242" s="184">
        <v>9367</v>
      </c>
      <c r="AO242" s="184">
        <v>9367</v>
      </c>
      <c r="AP242" s="184">
        <v>9367</v>
      </c>
      <c r="AQ242" s="184"/>
      <c r="AR242" s="184"/>
      <c r="AS242" s="184"/>
      <c r="AT242" s="184"/>
      <c r="AU242" s="184"/>
      <c r="AV242" s="184"/>
      <c r="AW242" s="184"/>
      <c r="AX242" s="184"/>
      <c r="AY242" s="184"/>
      <c r="AZ242" s="184">
        <v>8893.5</v>
      </c>
      <c r="BA242" s="184">
        <v>8864.4599999999991</v>
      </c>
      <c r="BB242" s="184">
        <v>8864.4599999999991</v>
      </c>
      <c r="BC242" s="184">
        <v>9440.6498999999985</v>
      </c>
      <c r="BD242" s="184">
        <v>9440.6498999999985</v>
      </c>
      <c r="BE242" s="184">
        <v>9440.6498999999985</v>
      </c>
      <c r="BF242" s="184"/>
      <c r="BG242" s="184"/>
      <c r="BH242" s="184"/>
      <c r="BI242" s="184"/>
      <c r="BJ242" s="184"/>
      <c r="BK242" s="184"/>
      <c r="BL242" s="184"/>
      <c r="BM242" s="184"/>
      <c r="BN242" s="184"/>
      <c r="BO242" s="184"/>
      <c r="BP242" s="184"/>
      <c r="BQ242" s="184"/>
      <c r="BR242" s="184"/>
      <c r="BS242" s="184"/>
      <c r="BT242" s="184"/>
      <c r="BU242" s="146" cm="1">
        <f t="array" ref="BU242">LOOKUP(2,1/(Y242:BT242&lt;&gt;""),Y242:BH242)</f>
        <v>9440.6498999999985</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45901</v>
      </c>
      <c r="BW242" s="211" t="e" cm="1">
        <f t="array" ref="BW242">(LOOKUP(2,1/(BH242:BT242&lt;&gt;""),BH242:BT242))/(INDEX(BH242:BT242,MATCH(TRUE,INDEX((BH242:BT242&lt;&gt;0),0),0)))-1</f>
        <v>#N/A</v>
      </c>
      <c r="BX242" s="212">
        <f t="shared" si="68"/>
        <v>9.4406498999999986</v>
      </c>
      <c r="BY242" s="212">
        <f t="shared" si="67"/>
        <v>9.4406498999999986</v>
      </c>
      <c r="BZ242" s="212">
        <f>IF(L242="BR",'Impostos e Frete'!$F$6,IF(L242="EU",'Impostos e Frete'!$I$3,IF(L242="CN",'Impostos e Frete'!$I$4,IF(L242="JP",'Impostos e Frete'!$I$5,IF(L242="RU",'Impostos e Frete'!$I$7,"ERRO")))))</f>
        <v>0</v>
      </c>
      <c r="CA242" s="212">
        <f>VLOOKUP(L242,'Impostos e Frete'!$A$3:$B$7,2,0)*'Preços e Condições'!BY242</f>
        <v>0</v>
      </c>
      <c r="CB242" s="147">
        <f t="shared" si="69"/>
        <v>0</v>
      </c>
      <c r="CC242" s="147">
        <f>IF(X242="BRL",'Impostos e Frete'!$B$11,'Impostos e Frete'!$B$12)</f>
        <v>0.2</v>
      </c>
      <c r="CD242" s="213">
        <f t="shared" si="70"/>
        <v>9.6406498999999979</v>
      </c>
      <c r="CE242" s="214">
        <f t="shared" si="71"/>
        <v>0.38562599599999992</v>
      </c>
      <c r="CF242" s="215">
        <f>VLOOKUP(L242,'Impostos e Frete'!$A$3:$C$7,3,0)</f>
        <v>45</v>
      </c>
      <c r="CG242" s="215">
        <f t="shared" si="72"/>
        <v>30</v>
      </c>
      <c r="CH242" s="215">
        <f t="shared" si="73"/>
        <v>-15</v>
      </c>
      <c r="CI242" s="216">
        <f t="shared" si="74"/>
        <v>7.2035745679343677E-2</v>
      </c>
      <c r="CJ242" s="217">
        <f t="shared" si="75"/>
        <v>9.7126856456793416</v>
      </c>
      <c r="CK242" s="218">
        <f t="shared" si="76"/>
        <v>0.38850742582717368</v>
      </c>
    </row>
    <row r="243" spans="1:89">
      <c r="A243" s="176">
        <v>10031</v>
      </c>
      <c r="B243" s="177" t="s">
        <v>149</v>
      </c>
      <c r="C243" s="178">
        <v>40</v>
      </c>
      <c r="D243" s="178">
        <v>2140</v>
      </c>
      <c r="E243" s="178" t="s">
        <v>150</v>
      </c>
      <c r="F243" s="179" t="s">
        <v>151</v>
      </c>
      <c r="G243" s="189" t="s">
        <v>152</v>
      </c>
      <c r="H243" s="178" t="s">
        <v>43</v>
      </c>
      <c r="I243" s="178"/>
      <c r="J243" s="178"/>
      <c r="K243" s="178"/>
      <c r="L243" s="178" t="s">
        <v>58</v>
      </c>
      <c r="M243" s="178">
        <v>30</v>
      </c>
      <c r="N243" s="178"/>
      <c r="O243" s="178"/>
      <c r="P243" s="178"/>
      <c r="Q243" s="178"/>
      <c r="R243" s="178" t="s">
        <v>19</v>
      </c>
      <c r="S243" s="181"/>
      <c r="T243" s="181"/>
      <c r="U243" s="182"/>
      <c r="V243" s="182" t="s">
        <v>35</v>
      </c>
      <c r="W243" s="183"/>
      <c r="X243" s="182" t="s">
        <v>46</v>
      </c>
      <c r="Y243" s="184"/>
      <c r="Z243" s="184"/>
      <c r="AA243" s="184"/>
      <c r="AB243" s="184"/>
      <c r="AC243" s="184"/>
      <c r="AD243" s="184"/>
      <c r="AE243" s="184"/>
      <c r="AF243" s="184"/>
      <c r="AG243" s="184"/>
      <c r="AH243" s="184"/>
      <c r="AI243" s="184"/>
      <c r="AJ243" s="184"/>
      <c r="AK243" s="184"/>
      <c r="AL243" s="184"/>
      <c r="AM243" s="184">
        <v>9367</v>
      </c>
      <c r="AN243" s="184">
        <v>9367</v>
      </c>
      <c r="AO243" s="184">
        <v>9367</v>
      </c>
      <c r="AP243" s="184">
        <v>9367</v>
      </c>
      <c r="AQ243" s="184"/>
      <c r="AR243" s="184"/>
      <c r="AS243" s="184"/>
      <c r="AT243" s="184"/>
      <c r="AU243" s="184"/>
      <c r="AV243" s="184"/>
      <c r="AW243" s="184"/>
      <c r="AX243" s="184"/>
      <c r="AY243" s="184"/>
      <c r="AZ243" s="184">
        <v>8893.5</v>
      </c>
      <c r="BA243" s="184">
        <v>8864.4599999999991</v>
      </c>
      <c r="BB243" s="184">
        <v>8864.4599999999991</v>
      </c>
      <c r="BC243" s="184">
        <v>9440.6498999999985</v>
      </c>
      <c r="BD243" s="184">
        <v>9440.6498999999985</v>
      </c>
      <c r="BE243" s="184">
        <v>9440.6498999999985</v>
      </c>
      <c r="BF243" s="184"/>
      <c r="BG243" s="184"/>
      <c r="BH243" s="184"/>
      <c r="BI243" s="184"/>
      <c r="BJ243" s="184"/>
      <c r="BK243" s="184"/>
      <c r="BL243" s="184"/>
      <c r="BM243" s="184"/>
      <c r="BN243" s="184"/>
      <c r="BO243" s="184"/>
      <c r="BP243" s="184"/>
      <c r="BQ243" s="184"/>
      <c r="BR243" s="184"/>
      <c r="BS243" s="184"/>
      <c r="BT243" s="184"/>
      <c r="BU243" s="146" cm="1">
        <f t="array" ref="BU243">LOOKUP(2,1/(Y243:BT243&lt;&gt;""),Y243:BH243)</f>
        <v>9440.6498999999985</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45901</v>
      </c>
      <c r="BW243" s="211" t="e" cm="1">
        <f t="array" ref="BW243">(LOOKUP(2,1/(BH243:BT243&lt;&gt;""),BH243:BT243))/(INDEX(BH243:BT243,MATCH(TRUE,INDEX((BH243:BT243&lt;&gt;0),0),0)))-1</f>
        <v>#N/A</v>
      </c>
      <c r="BX243" s="212">
        <f t="shared" si="68"/>
        <v>9.4406498999999986</v>
      </c>
      <c r="BY243" s="212">
        <f t="shared" si="67"/>
        <v>9.4406498999999986</v>
      </c>
      <c r="BZ243" s="212">
        <f>IF(L243="BR",'Impostos e Frete'!$F$6,IF(L243="EU",'Impostos e Frete'!$I$3,IF(L243="CN",'Impostos e Frete'!$I$4,IF(L243="JP",'Impostos e Frete'!$I$5,IF(L243="RU",'Impostos e Frete'!$I$7,"ERRO")))))</f>
        <v>0</v>
      </c>
      <c r="CA243" s="212">
        <f>VLOOKUP(L243,'Impostos e Frete'!$A$3:$B$7,2,0)*'Preços e Condições'!BY243</f>
        <v>0</v>
      </c>
      <c r="CB243" s="147">
        <f t="shared" si="69"/>
        <v>0</v>
      </c>
      <c r="CC243" s="147">
        <f>IF(X243="BRL",'Impostos e Frete'!$B$11,'Impostos e Frete'!$B$12)</f>
        <v>0.2</v>
      </c>
      <c r="CD243" s="213">
        <f t="shared" si="70"/>
        <v>9.6406498999999979</v>
      </c>
      <c r="CE243" s="214">
        <f t="shared" si="71"/>
        <v>0.38562599599999992</v>
      </c>
      <c r="CF243" s="215">
        <f>VLOOKUP(L243,'Impostos e Frete'!$A$3:$C$7,3,0)</f>
        <v>45</v>
      </c>
      <c r="CG243" s="215">
        <f t="shared" si="72"/>
        <v>30</v>
      </c>
      <c r="CH243" s="215">
        <f t="shared" si="73"/>
        <v>-15</v>
      </c>
      <c r="CI243" s="216">
        <f t="shared" si="74"/>
        <v>7.2035745679343677E-2</v>
      </c>
      <c r="CJ243" s="217">
        <f t="shared" si="75"/>
        <v>9.7126856456793416</v>
      </c>
      <c r="CK243" s="218">
        <f t="shared" si="76"/>
        <v>0.38850742582717368</v>
      </c>
    </row>
    <row r="244" spans="1:89">
      <c r="A244" s="176">
        <v>10038</v>
      </c>
      <c r="B244" s="177" t="s">
        <v>303</v>
      </c>
      <c r="C244" s="178">
        <v>30</v>
      </c>
      <c r="D244" s="178">
        <v>1880</v>
      </c>
      <c r="E244" s="178" t="s">
        <v>209</v>
      </c>
      <c r="F244" s="179" t="s">
        <v>151</v>
      </c>
      <c r="G244" s="189" t="s">
        <v>75</v>
      </c>
      <c r="H244" s="178" t="s">
        <v>43</v>
      </c>
      <c r="I244" s="178"/>
      <c r="J244" s="178"/>
      <c r="K244" s="178"/>
      <c r="L244" s="178" t="s">
        <v>58</v>
      </c>
      <c r="M244" s="178">
        <v>30</v>
      </c>
      <c r="N244" s="178"/>
      <c r="O244" s="178"/>
      <c r="P244" s="178"/>
      <c r="Q244" s="178"/>
      <c r="R244" s="178" t="s">
        <v>19</v>
      </c>
      <c r="S244" s="181"/>
      <c r="T244" s="181"/>
      <c r="U244" s="182"/>
      <c r="V244" s="182" t="s">
        <v>35</v>
      </c>
      <c r="W244" s="183"/>
      <c r="X244" s="182" t="s">
        <v>46</v>
      </c>
      <c r="Y244" s="184"/>
      <c r="Z244" s="184"/>
      <c r="AA244" s="184"/>
      <c r="AB244" s="184"/>
      <c r="AC244" s="184"/>
      <c r="AD244" s="184"/>
      <c r="AE244" s="184"/>
      <c r="AF244" s="184"/>
      <c r="AG244" s="184"/>
      <c r="AH244" s="184"/>
      <c r="AI244" s="184"/>
      <c r="AJ244" s="184"/>
      <c r="AK244" s="184"/>
      <c r="AL244" s="184"/>
      <c r="AM244" s="184">
        <v>9367</v>
      </c>
      <c r="AN244" s="184">
        <v>9367</v>
      </c>
      <c r="AO244" s="184">
        <v>9367</v>
      </c>
      <c r="AP244" s="184">
        <v>9367</v>
      </c>
      <c r="AQ244" s="184"/>
      <c r="AR244" s="184"/>
      <c r="AS244" s="184"/>
      <c r="AT244" s="184"/>
      <c r="AU244" s="184"/>
      <c r="AV244" s="184"/>
      <c r="AW244" s="184"/>
      <c r="AX244" s="184"/>
      <c r="AY244" s="184"/>
      <c r="AZ244" s="184">
        <v>8984.25</v>
      </c>
      <c r="BA244" s="184">
        <v>8984.25</v>
      </c>
      <c r="BB244" s="184">
        <v>8984.25</v>
      </c>
      <c r="BC244" s="184">
        <v>9568.2262499999997</v>
      </c>
      <c r="BD244" s="184">
        <v>9568.2262499999997</v>
      </c>
      <c r="BE244" s="184">
        <v>9568.2262499999997</v>
      </c>
      <c r="BF244" s="184"/>
      <c r="BG244" s="184"/>
      <c r="BH244" s="184"/>
      <c r="BI244" s="184"/>
      <c r="BJ244" s="184"/>
      <c r="BK244" s="184"/>
      <c r="BL244" s="184"/>
      <c r="BM244" s="184"/>
      <c r="BN244" s="184"/>
      <c r="BO244" s="184"/>
      <c r="BP244" s="184"/>
      <c r="BQ244" s="184"/>
      <c r="BR244" s="184"/>
      <c r="BS244" s="184"/>
      <c r="BT244" s="184"/>
      <c r="BU244" s="146" cm="1">
        <f t="array" ref="BU244">LOOKUP(2,1/(Y244:BT244&lt;&gt;""),Y244:BH244)</f>
        <v>9568.2262499999997</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45901</v>
      </c>
      <c r="BW244" s="211" t="e" cm="1">
        <f t="array" ref="BW244">(LOOKUP(2,1/(BH244:BT244&lt;&gt;""),BH244:BT244))/(INDEX(BH244:BT244,MATCH(TRUE,INDEX((BH244:BT244&lt;&gt;0),0),0)))-1</f>
        <v>#N/A</v>
      </c>
      <c r="BX244" s="212">
        <f t="shared" si="68"/>
        <v>9.5682262500000004</v>
      </c>
      <c r="BY244" s="212">
        <f t="shared" si="67"/>
        <v>9.5682262500000004</v>
      </c>
      <c r="BZ244" s="212">
        <f>IF(L244="BR",'Impostos e Frete'!$F$6,IF(L244="EU",'Impostos e Frete'!$I$3,IF(L244="CN",'Impostos e Frete'!$I$4,IF(L244="JP",'Impostos e Frete'!$I$5,IF(L244="RU",'Impostos e Frete'!$I$7,"ERRO")))))</f>
        <v>0</v>
      </c>
      <c r="CA244" s="212">
        <f>VLOOKUP(L244,'Impostos e Frete'!$A$3:$B$7,2,0)*'Preços e Condições'!BY244</f>
        <v>0</v>
      </c>
      <c r="CB244" s="147">
        <f t="shared" si="69"/>
        <v>0</v>
      </c>
      <c r="CC244" s="147">
        <f>IF(X244="BRL",'Impostos e Frete'!$B$11,'Impostos e Frete'!$B$12)</f>
        <v>0.2</v>
      </c>
      <c r="CD244" s="213">
        <f t="shared" si="70"/>
        <v>9.7682262499999997</v>
      </c>
      <c r="CE244" s="214">
        <f t="shared" si="71"/>
        <v>0.29304678749999996</v>
      </c>
      <c r="CF244" s="215">
        <f>VLOOKUP(L244,'Impostos e Frete'!$A$3:$C$7,3,0)</f>
        <v>45</v>
      </c>
      <c r="CG244" s="215">
        <f t="shared" si="72"/>
        <v>30</v>
      </c>
      <c r="CH244" s="215">
        <f t="shared" si="73"/>
        <v>-15</v>
      </c>
      <c r="CI244" s="216">
        <f t="shared" si="74"/>
        <v>7.2989006880469276E-2</v>
      </c>
      <c r="CJ244" s="217">
        <f t="shared" si="75"/>
        <v>9.8412152568804689</v>
      </c>
      <c r="CK244" s="218">
        <f t="shared" si="76"/>
        <v>0.29523645770641405</v>
      </c>
    </row>
    <row r="245" spans="1:89">
      <c r="A245" s="176">
        <v>10937</v>
      </c>
      <c r="B245" s="177" t="s">
        <v>303</v>
      </c>
      <c r="C245" s="178">
        <v>40</v>
      </c>
      <c r="D245" s="178">
        <v>1900</v>
      </c>
      <c r="E245" s="178" t="s">
        <v>209</v>
      </c>
      <c r="F245" s="179" t="s">
        <v>151</v>
      </c>
      <c r="G245" s="189" t="s">
        <v>75</v>
      </c>
      <c r="H245" s="178" t="s">
        <v>43</v>
      </c>
      <c r="I245" s="178"/>
      <c r="J245" s="178"/>
      <c r="K245" s="178"/>
      <c r="L245" s="178" t="s">
        <v>58</v>
      </c>
      <c r="M245" s="178">
        <v>30</v>
      </c>
      <c r="N245" s="178"/>
      <c r="O245" s="178"/>
      <c r="P245" s="178"/>
      <c r="Q245" s="178"/>
      <c r="R245" s="178" t="s">
        <v>19</v>
      </c>
      <c r="S245" s="181"/>
      <c r="T245" s="181"/>
      <c r="U245" s="182"/>
      <c r="V245" s="182" t="s">
        <v>35</v>
      </c>
      <c r="W245" s="183"/>
      <c r="X245" s="182" t="s">
        <v>46</v>
      </c>
      <c r="Y245" s="184"/>
      <c r="Z245" s="184"/>
      <c r="AA245" s="184"/>
      <c r="AB245" s="184"/>
      <c r="AC245" s="184"/>
      <c r="AD245" s="184"/>
      <c r="AE245" s="184"/>
      <c r="AF245" s="184"/>
      <c r="AG245" s="184"/>
      <c r="AH245" s="184"/>
      <c r="AI245" s="184"/>
      <c r="AJ245" s="184"/>
      <c r="AK245" s="184"/>
      <c r="AL245" s="184"/>
      <c r="AM245" s="184"/>
      <c r="AN245" s="184"/>
      <c r="AO245" s="184"/>
      <c r="AP245" s="184"/>
      <c r="AQ245" s="184"/>
      <c r="AR245" s="184"/>
      <c r="AS245" s="184"/>
      <c r="AT245" s="184"/>
      <c r="AU245" s="184"/>
      <c r="AV245" s="184"/>
      <c r="AW245" s="184"/>
      <c r="AX245" s="184"/>
      <c r="AY245" s="184"/>
      <c r="AZ245" s="184"/>
      <c r="BA245" s="184"/>
      <c r="BB245" s="184">
        <v>8864.4599999999991</v>
      </c>
      <c r="BC245" s="184"/>
      <c r="BD245" s="184"/>
      <c r="BE245" s="184"/>
      <c r="BF245" s="184"/>
      <c r="BG245" s="184"/>
      <c r="BH245" s="184"/>
      <c r="BI245" s="184"/>
      <c r="BJ245" s="184"/>
      <c r="BK245" s="184"/>
      <c r="BL245" s="184"/>
      <c r="BM245" s="184"/>
      <c r="BN245" s="184"/>
      <c r="BO245" s="184"/>
      <c r="BP245" s="184"/>
      <c r="BQ245" s="184"/>
      <c r="BR245" s="184"/>
      <c r="BS245" s="184"/>
      <c r="BT245" s="184"/>
      <c r="BU245" s="146" cm="1">
        <f t="array" ref="BU245">LOOKUP(2,1/(Y245:BT245&lt;&gt;""),Y245:BH245)</f>
        <v>8864.4599999999991</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45809</v>
      </c>
      <c r="BW245" s="211" t="e" cm="1">
        <f t="array" ref="BW245">(LOOKUP(2,1/(BH245:BT245&lt;&gt;""),BH245:BT245))/(INDEX(BH245:BT245,MATCH(TRUE,INDEX((BH245:BT245&lt;&gt;0),0),0)))-1</f>
        <v>#N/A</v>
      </c>
      <c r="BX245" s="212">
        <f t="shared" si="68"/>
        <v>8.8644599999999993</v>
      </c>
      <c r="BY245" s="212">
        <f t="shared" si="67"/>
        <v>8.8644599999999993</v>
      </c>
      <c r="BZ245" s="212">
        <f>IF(L245="BR",'Impostos e Frete'!$F$6,IF(L245="EU",'Impostos e Frete'!$I$3,IF(L245="CN",'Impostos e Frete'!$I$4,IF(L245="JP",'Impostos e Frete'!$I$5,IF(L245="RU",'Impostos e Frete'!$I$7,"ERRO")))))</f>
        <v>0</v>
      </c>
      <c r="CA245" s="212">
        <f>VLOOKUP(L245,'Impostos e Frete'!$A$3:$B$7,2,0)*'Preços e Condições'!BY245</f>
        <v>0</v>
      </c>
      <c r="CB245" s="147">
        <f t="shared" si="69"/>
        <v>0</v>
      </c>
      <c r="CC245" s="147">
        <f>IF(X245="BRL",'Impostos e Frete'!$B$11,'Impostos e Frete'!$B$12)</f>
        <v>0.2</v>
      </c>
      <c r="CD245" s="213">
        <f t="shared" si="70"/>
        <v>9.0644599999999986</v>
      </c>
      <c r="CE245" s="214">
        <f t="shared" si="71"/>
        <v>0.36257839999999991</v>
      </c>
      <c r="CF245" s="215">
        <f>VLOOKUP(L245,'Impostos e Frete'!$A$3:$C$7,3,0)</f>
        <v>45</v>
      </c>
      <c r="CG245" s="215">
        <f t="shared" si="72"/>
        <v>30</v>
      </c>
      <c r="CH245" s="215">
        <f t="shared" si="73"/>
        <v>-15</v>
      </c>
      <c r="CI245" s="216">
        <f t="shared" si="74"/>
        <v>6.773040635783012E-2</v>
      </c>
      <c r="CJ245" s="217">
        <f t="shared" si="75"/>
        <v>9.1321904063578287</v>
      </c>
      <c r="CK245" s="218">
        <f t="shared" si="76"/>
        <v>0.36528761625431316</v>
      </c>
    </row>
    <row r="246" spans="1:89">
      <c r="A246" s="176" t="s">
        <v>301</v>
      </c>
      <c r="B246" s="177" t="s">
        <v>149</v>
      </c>
      <c r="C246" s="178">
        <v>35</v>
      </c>
      <c r="D246" s="178"/>
      <c r="E246" s="178" t="s">
        <v>150</v>
      </c>
      <c r="F246" s="179" t="s">
        <v>151</v>
      </c>
      <c r="G246" s="189" t="s">
        <v>152</v>
      </c>
      <c r="H246" s="178" t="s">
        <v>43</v>
      </c>
      <c r="I246" s="178"/>
      <c r="J246" s="178"/>
      <c r="K246" s="178"/>
      <c r="L246" s="178" t="s">
        <v>58</v>
      </c>
      <c r="M246" s="178">
        <v>30</v>
      </c>
      <c r="N246" s="178"/>
      <c r="O246" s="178"/>
      <c r="P246" s="178"/>
      <c r="Q246" s="178"/>
      <c r="R246" s="178" t="s">
        <v>19</v>
      </c>
      <c r="S246" s="181"/>
      <c r="T246" s="181"/>
      <c r="U246" s="182"/>
      <c r="V246" s="182" t="s">
        <v>35</v>
      </c>
      <c r="W246" s="183"/>
      <c r="X246" s="182" t="s">
        <v>46</v>
      </c>
      <c r="Y246" s="184"/>
      <c r="Z246" s="184"/>
      <c r="AA246" s="184"/>
      <c r="AB246" s="184"/>
      <c r="AC246" s="184"/>
      <c r="AD246" s="184"/>
      <c r="AE246" s="184"/>
      <c r="AF246" s="184"/>
      <c r="AG246" s="184"/>
      <c r="AH246" s="184"/>
      <c r="AI246" s="184"/>
      <c r="AJ246" s="184"/>
      <c r="AK246" s="184"/>
      <c r="AL246" s="184"/>
      <c r="AM246" s="184">
        <v>9367</v>
      </c>
      <c r="AN246" s="184">
        <v>9367</v>
      </c>
      <c r="AO246" s="184">
        <v>9367</v>
      </c>
      <c r="AP246" s="184">
        <v>9367</v>
      </c>
      <c r="AQ246" s="184"/>
      <c r="AR246" s="184"/>
      <c r="AS246" s="184"/>
      <c r="AT246" s="184"/>
      <c r="AU246" s="184"/>
      <c r="AV246" s="184"/>
      <c r="AW246" s="184"/>
      <c r="AX246" s="184"/>
      <c r="AY246" s="184"/>
      <c r="AZ246" s="184">
        <v>8984.25</v>
      </c>
      <c r="BA246" s="184">
        <v>8984.25</v>
      </c>
      <c r="BB246" s="184">
        <v>8984.25</v>
      </c>
      <c r="BC246" s="184">
        <v>9568.2262499999997</v>
      </c>
      <c r="BD246" s="184">
        <v>9568.2262499999997</v>
      </c>
      <c r="BE246" s="184">
        <v>9568.2262499999997</v>
      </c>
      <c r="BF246" s="184"/>
      <c r="BG246" s="184"/>
      <c r="BH246" s="184"/>
      <c r="BI246" s="184"/>
      <c r="BJ246" s="184"/>
      <c r="BK246" s="184"/>
      <c r="BL246" s="184"/>
      <c r="BM246" s="184"/>
      <c r="BN246" s="184"/>
      <c r="BO246" s="184"/>
      <c r="BP246" s="184"/>
      <c r="BQ246" s="184"/>
      <c r="BR246" s="184"/>
      <c r="BS246" s="184"/>
      <c r="BT246" s="184"/>
      <c r="BU246" s="146" cm="1">
        <f t="array" ref="BU246">LOOKUP(2,1/(Y246:BT246&lt;&gt;""),Y246:BH246)</f>
        <v>9568.2262499999997</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45901</v>
      </c>
      <c r="BW246" s="211" t="e" cm="1">
        <f t="array" ref="BW246">(LOOKUP(2,1/(BH246:BT246&lt;&gt;""),BH246:BT246))/(INDEX(BH246:BT246,MATCH(TRUE,INDEX((BH246:BT246&lt;&gt;0),0),0)))-1</f>
        <v>#N/A</v>
      </c>
      <c r="BX246" s="212">
        <f t="shared" si="68"/>
        <v>9.5682262500000004</v>
      </c>
      <c r="BY246" s="212">
        <f t="shared" si="67"/>
        <v>9.5682262500000004</v>
      </c>
      <c r="BZ246" s="212">
        <f>IF(L246="BR",'Impostos e Frete'!$F$6,IF(L246="EU",'Impostos e Frete'!$I$3,IF(L246="CN",'Impostos e Frete'!$I$4,IF(L246="JP",'Impostos e Frete'!$I$5,IF(L246="RU",'Impostos e Frete'!$I$7,"ERRO")))))</f>
        <v>0</v>
      </c>
      <c r="CA246" s="212">
        <f>VLOOKUP(L246,'Impostos e Frete'!$A$3:$B$7,2,0)*'Preços e Condições'!BY246</f>
        <v>0</v>
      </c>
      <c r="CB246" s="147">
        <f t="shared" si="69"/>
        <v>0</v>
      </c>
      <c r="CC246" s="147">
        <f>IF(X246="BRL",'Impostos e Frete'!$B$11,'Impostos e Frete'!$B$12)</f>
        <v>0.2</v>
      </c>
      <c r="CD246" s="213">
        <f t="shared" si="70"/>
        <v>9.7682262499999997</v>
      </c>
      <c r="CE246" s="214">
        <f t="shared" si="71"/>
        <v>0.34188791874999996</v>
      </c>
      <c r="CF246" s="215">
        <f>VLOOKUP(L246,'Impostos e Frete'!$A$3:$C$7,3,0)</f>
        <v>45</v>
      </c>
      <c r="CG246" s="215">
        <f t="shared" si="72"/>
        <v>30</v>
      </c>
      <c r="CH246" s="215">
        <f t="shared" si="73"/>
        <v>-15</v>
      </c>
      <c r="CI246" s="216">
        <f t="shared" si="74"/>
        <v>7.2989006880469276E-2</v>
      </c>
      <c r="CJ246" s="217">
        <f t="shared" si="75"/>
        <v>9.8412152568804689</v>
      </c>
      <c r="CK246" s="218">
        <f t="shared" si="76"/>
        <v>0.34444253399081642</v>
      </c>
    </row>
    <row r="247" spans="1:89">
      <c r="A247" s="176">
        <v>18402</v>
      </c>
      <c r="B247" s="177">
        <v>104</v>
      </c>
      <c r="C247" s="178">
        <v>70</v>
      </c>
      <c r="D247" s="178">
        <v>1870</v>
      </c>
      <c r="E247" s="178" t="s">
        <v>50</v>
      </c>
      <c r="F247" s="179" t="s">
        <v>0</v>
      </c>
      <c r="G247" s="180" t="s">
        <v>71</v>
      </c>
      <c r="H247" s="178" t="s">
        <v>43</v>
      </c>
      <c r="I247" s="178"/>
      <c r="J247" s="178"/>
      <c r="K247" s="178"/>
      <c r="L247" s="178" t="s">
        <v>60</v>
      </c>
      <c r="M247" s="178">
        <v>90</v>
      </c>
      <c r="N247" s="178">
        <v>3300</v>
      </c>
      <c r="O247" s="178"/>
      <c r="P247" s="178"/>
      <c r="Q247" s="178"/>
      <c r="R247" s="178" t="s">
        <v>19</v>
      </c>
      <c r="S247" s="181"/>
      <c r="T247" s="181"/>
      <c r="U247" s="182"/>
      <c r="V247" s="182" t="s">
        <v>35</v>
      </c>
      <c r="W247" s="183">
        <v>100</v>
      </c>
      <c r="X247" s="182" t="s">
        <v>267</v>
      </c>
      <c r="Y247" s="184"/>
      <c r="Z247" s="184"/>
      <c r="AA247" s="184"/>
      <c r="AB247" s="184"/>
      <c r="AC247" s="184"/>
      <c r="AD247" s="184"/>
      <c r="AE247" s="184"/>
      <c r="AF247" s="184"/>
      <c r="AG247" s="184"/>
      <c r="AH247" s="184"/>
      <c r="AI247" s="184"/>
      <c r="AJ247" s="184"/>
      <c r="AK247" s="184"/>
      <c r="AL247" s="184"/>
      <c r="AM247" s="184"/>
      <c r="AN247" s="184"/>
      <c r="AO247" s="184"/>
      <c r="AP247" s="184"/>
      <c r="AQ247" s="184"/>
      <c r="AR247" s="184"/>
      <c r="AS247" s="184"/>
      <c r="AT247" s="184"/>
      <c r="AU247" s="184"/>
      <c r="AV247" s="184">
        <v>13600</v>
      </c>
      <c r="AW247" s="184">
        <v>13600</v>
      </c>
      <c r="AX247" s="184">
        <v>13600</v>
      </c>
      <c r="AY247" s="184">
        <v>13600</v>
      </c>
      <c r="AZ247" s="184">
        <v>13600</v>
      </c>
      <c r="BA247" s="184">
        <v>13600</v>
      </c>
      <c r="BB247" s="184">
        <v>12800</v>
      </c>
      <c r="BC247" s="184">
        <v>12800</v>
      </c>
      <c r="BD247" s="184">
        <v>12800</v>
      </c>
      <c r="BE247" s="184">
        <v>12800</v>
      </c>
      <c r="BF247" s="184">
        <v>12800</v>
      </c>
      <c r="BG247" s="184">
        <v>11650</v>
      </c>
      <c r="BH247" s="184">
        <v>11650</v>
      </c>
      <c r="BI247" s="184">
        <v>11650</v>
      </c>
      <c r="BJ247" s="184"/>
      <c r="BK247" s="184"/>
      <c r="BL247" s="184"/>
      <c r="BM247" s="184"/>
      <c r="BN247" s="184"/>
      <c r="BO247" s="184"/>
      <c r="BP247" s="184"/>
      <c r="BQ247" s="184"/>
      <c r="BR247" s="184"/>
      <c r="BS247" s="184"/>
      <c r="BT247" s="184"/>
      <c r="BU247" s="146" cm="1">
        <f t="array" ref="BU247">LOOKUP(2,1/(Y247:BT247&lt;&gt;""),Y247:BH247)</f>
        <v>11650</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46023</v>
      </c>
      <c r="BW247" s="211" cm="1">
        <f t="array" ref="BW247">(LOOKUP(2,1/(BH247:BT247&lt;&gt;""),BH247:BT247))/(INDEX(BH247:BT247,MATCH(TRUE,INDEX((BH247:BT247&lt;&gt;0),0),0)))-1</f>
        <v>0</v>
      </c>
      <c r="BX247" s="212">
        <f t="shared" si="68"/>
        <v>11.65</v>
      </c>
      <c r="BY247" s="212">
        <f t="shared" si="67"/>
        <v>8.7375000000000007</v>
      </c>
      <c r="BZ247" s="212">
        <f ca="1">IF(L247="BR",'Impostos e Frete'!$F$6,IF(L247="EU",'Impostos e Frete'!$I$3,IF(L247="CN",'Impostos e Frete'!$I$4,IF(L247="JP",'Impostos e Frete'!$I$5,IF(L247="RU",'Impostos e Frete'!$I$7,"ERRO")))))</f>
        <v>1.11958</v>
      </c>
      <c r="CA247" s="212">
        <f>VLOOKUP(L247,'Impostos e Frete'!$A$3:$B$7,2,0)*'Preços e Condições'!BY247</f>
        <v>1.2232500000000002</v>
      </c>
      <c r="CB247" s="147">
        <f t="shared" si="69"/>
        <v>0</v>
      </c>
      <c r="CC247" s="147">
        <f>IF(X247="BRL",'Impostos e Frete'!$B$11,'Impostos e Frete'!$B$12)</f>
        <v>9.1999999999999998E-2</v>
      </c>
      <c r="CD247" s="213">
        <f t="shared" ca="1" si="70"/>
        <v>11.172330000000001</v>
      </c>
      <c r="CE247" s="214">
        <f t="shared" ca="1" si="71"/>
        <v>0.78206310000000012</v>
      </c>
      <c r="CF247" s="215">
        <f>VLOOKUP(L247,'Impostos e Frete'!$A$3:$C$7,3,0)</f>
        <v>120</v>
      </c>
      <c r="CG247" s="215">
        <f t="shared" si="72"/>
        <v>90</v>
      </c>
      <c r="CH247" s="215">
        <f t="shared" si="73"/>
        <v>-30</v>
      </c>
      <c r="CI247" s="216">
        <f t="shared" ca="1" si="74"/>
        <v>0.1675849499999984</v>
      </c>
      <c r="CJ247" s="217">
        <f t="shared" ca="1" si="75"/>
        <v>11.339914949999999</v>
      </c>
      <c r="CK247" s="218">
        <f t="shared" ca="1" si="76"/>
        <v>0.79379404649999985</v>
      </c>
    </row>
    <row r="248" spans="1:89">
      <c r="A248" s="176">
        <v>18402</v>
      </c>
      <c r="B248" s="177">
        <v>104</v>
      </c>
      <c r="C248" s="178">
        <v>70</v>
      </c>
      <c r="D248" s="178">
        <v>1870</v>
      </c>
      <c r="E248" s="178" t="s">
        <v>50</v>
      </c>
      <c r="F248" s="179" t="s">
        <v>0</v>
      </c>
      <c r="G248" s="180" t="s">
        <v>71</v>
      </c>
      <c r="H248" s="178" t="s">
        <v>43</v>
      </c>
      <c r="I248" s="178"/>
      <c r="J248" s="178"/>
      <c r="K248" s="178"/>
      <c r="L248" s="178" t="s">
        <v>60</v>
      </c>
      <c r="M248" s="178">
        <v>90</v>
      </c>
      <c r="N248" s="178">
        <v>400</v>
      </c>
      <c r="O248" s="178"/>
      <c r="P248" s="178"/>
      <c r="Q248" s="178"/>
      <c r="R248" s="178" t="s">
        <v>19</v>
      </c>
      <c r="S248" s="181"/>
      <c r="T248" s="181"/>
      <c r="U248" s="182"/>
      <c r="V248" s="182" t="s">
        <v>35</v>
      </c>
      <c r="W248" s="183">
        <v>100</v>
      </c>
      <c r="X248" s="182" t="s">
        <v>51</v>
      </c>
      <c r="Y248" s="184">
        <v>2000</v>
      </c>
      <c r="Z248" s="184">
        <v>2000</v>
      </c>
      <c r="AA248" s="184">
        <v>2000</v>
      </c>
      <c r="AB248" s="184">
        <v>2000</v>
      </c>
      <c r="AC248" s="184">
        <v>2000</v>
      </c>
      <c r="AD248" s="184">
        <v>2000</v>
      </c>
      <c r="AE248" s="184">
        <v>1920</v>
      </c>
      <c r="AF248" s="184">
        <v>1860</v>
      </c>
      <c r="AG248" s="184">
        <v>1860</v>
      </c>
      <c r="AH248" s="184">
        <v>1860</v>
      </c>
      <c r="AI248" s="184">
        <v>1860</v>
      </c>
      <c r="AJ248" s="184">
        <v>1860</v>
      </c>
      <c r="AK248" s="184">
        <v>1860</v>
      </c>
      <c r="AL248" s="184">
        <v>1860</v>
      </c>
      <c r="AM248" s="184">
        <v>1860</v>
      </c>
      <c r="AN248" s="184">
        <v>1830</v>
      </c>
      <c r="AO248" s="184">
        <v>1800</v>
      </c>
      <c r="AP248" s="184">
        <v>1800</v>
      </c>
      <c r="AQ248" s="184">
        <v>1800</v>
      </c>
      <c r="AR248" s="184">
        <v>1800</v>
      </c>
      <c r="AS248" s="184">
        <v>1800</v>
      </c>
      <c r="AT248" s="184">
        <v>1800</v>
      </c>
      <c r="AU248" s="184">
        <v>1800</v>
      </c>
      <c r="AV248" s="184">
        <v>1800</v>
      </c>
      <c r="AW248" s="184">
        <v>1760</v>
      </c>
      <c r="AX248" s="184">
        <v>1760</v>
      </c>
      <c r="AY248" s="184">
        <v>1760</v>
      </c>
      <c r="AZ248" s="184"/>
      <c r="BA248" s="184"/>
      <c r="BB248" s="184"/>
      <c r="BC248" s="184"/>
      <c r="BD248" s="184"/>
      <c r="BE248" s="184"/>
      <c r="BF248" s="184"/>
      <c r="BG248" s="184"/>
      <c r="BH248" s="184"/>
      <c r="BI248" s="184"/>
      <c r="BJ248" s="184"/>
      <c r="BK248" s="184"/>
      <c r="BL248" s="184"/>
      <c r="BM248" s="184"/>
      <c r="BN248" s="184"/>
      <c r="BO248" s="184"/>
      <c r="BP248" s="184"/>
      <c r="BQ248" s="184"/>
      <c r="BR248" s="184"/>
      <c r="BS248" s="184"/>
      <c r="BT248" s="184"/>
      <c r="BU248" s="146" cm="1">
        <f t="array" ref="BU248">LOOKUP(2,1/(Y248:BT248&lt;&gt;""),Y248:BH248)</f>
        <v>1760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45717</v>
      </c>
      <c r="BW248" s="211" t="e" cm="1">
        <f t="array" ref="BW248">(LOOKUP(2,1/(BH248:BT248&lt;&gt;""),BH248:BT248))/(INDEX(BH248:BT248,MATCH(TRUE,INDEX((BH248:BT248&lt;&gt;0),0),0)))-1</f>
        <v>#N/A</v>
      </c>
      <c r="BX248" s="212">
        <f t="shared" si="68"/>
        <v>1.76</v>
      </c>
      <c r="BY248" s="212">
        <f t="shared" si="67"/>
        <v>10.384</v>
      </c>
      <c r="BZ248" s="212">
        <f ca="1">IF(L248="BR",'Impostos e Frete'!$F$6,IF(L248="EU",'Impostos e Frete'!$I$3,IF(L248="CN",'Impostos e Frete'!$I$4,IF(L248="JP",'Impostos e Frete'!$I$5,IF(L248="RU",'Impostos e Frete'!$I$7,"ERRO")))))</f>
        <v>1.11958</v>
      </c>
      <c r="CA248" s="212">
        <f>VLOOKUP(L248,'Impostos e Frete'!$A$3:$B$7,2,0)*'Preços e Condições'!BY248</f>
        <v>1.4537600000000002</v>
      </c>
      <c r="CB248" s="147">
        <f t="shared" si="69"/>
        <v>0</v>
      </c>
      <c r="CC248" s="147">
        <f>IF(X248="BRL",'Impostos e Frete'!$B$11,'Impostos e Frete'!$B$12)</f>
        <v>9.1999999999999998E-2</v>
      </c>
      <c r="CD248" s="213">
        <f t="shared" ca="1" si="70"/>
        <v>13.049340000000001</v>
      </c>
      <c r="CE248" s="214">
        <f t="shared" ca="1" si="71"/>
        <v>0.91345380000000009</v>
      </c>
      <c r="CF248" s="215">
        <f>VLOOKUP(L248,'Impostos e Frete'!$A$3:$C$7,3,0)</f>
        <v>120</v>
      </c>
      <c r="CG248" s="215">
        <f t="shared" si="72"/>
        <v>90</v>
      </c>
      <c r="CH248" s="215">
        <f t="shared" si="73"/>
        <v>-30</v>
      </c>
      <c r="CI248" s="216">
        <f t="shared" ca="1" si="74"/>
        <v>0.19574009999999831</v>
      </c>
      <c r="CJ248" s="217">
        <f t="shared" ca="1" si="75"/>
        <v>13.245080099999999</v>
      </c>
      <c r="CK248" s="218">
        <f t="shared" ca="1" si="76"/>
        <v>0.92715560699999988</v>
      </c>
    </row>
    <row r="249" spans="1:89">
      <c r="A249" s="176">
        <v>18408</v>
      </c>
      <c r="B249" s="177">
        <v>104</v>
      </c>
      <c r="C249" s="178">
        <v>70</v>
      </c>
      <c r="D249" s="178">
        <v>2160</v>
      </c>
      <c r="E249" s="178" t="s">
        <v>50</v>
      </c>
      <c r="F249" s="179" t="s">
        <v>0</v>
      </c>
      <c r="G249" s="180" t="s">
        <v>71</v>
      </c>
      <c r="H249" s="178" t="s">
        <v>43</v>
      </c>
      <c r="I249" s="178"/>
      <c r="J249" s="178"/>
      <c r="K249" s="178"/>
      <c r="L249" s="178" t="s">
        <v>60</v>
      </c>
      <c r="M249" s="178">
        <v>90</v>
      </c>
      <c r="N249" s="178">
        <v>3300</v>
      </c>
      <c r="O249" s="178"/>
      <c r="P249" s="178"/>
      <c r="Q249" s="178"/>
      <c r="R249" s="178" t="s">
        <v>19</v>
      </c>
      <c r="S249" s="181"/>
      <c r="T249" s="181"/>
      <c r="U249" s="182"/>
      <c r="V249" s="182" t="s">
        <v>35</v>
      </c>
      <c r="W249" s="183">
        <v>100</v>
      </c>
      <c r="X249" s="182" t="s">
        <v>267</v>
      </c>
      <c r="Y249" s="184"/>
      <c r="Z249" s="184"/>
      <c r="AA249" s="184"/>
      <c r="AB249" s="184"/>
      <c r="AC249" s="184"/>
      <c r="AD249" s="184"/>
      <c r="AE249" s="184"/>
      <c r="AF249" s="184"/>
      <c r="AG249" s="184"/>
      <c r="AH249" s="184"/>
      <c r="AI249" s="184"/>
      <c r="AJ249" s="184"/>
      <c r="AK249" s="184"/>
      <c r="AL249" s="184"/>
      <c r="AM249" s="184"/>
      <c r="AN249" s="184"/>
      <c r="AO249" s="184"/>
      <c r="AP249" s="184"/>
      <c r="AQ249" s="184"/>
      <c r="AR249" s="184"/>
      <c r="AS249" s="184"/>
      <c r="AT249" s="184"/>
      <c r="AU249" s="184"/>
      <c r="AV249" s="184">
        <v>13600</v>
      </c>
      <c r="AW249" s="184">
        <v>13600</v>
      </c>
      <c r="AX249" s="184">
        <v>13600</v>
      </c>
      <c r="AY249" s="184">
        <v>13600</v>
      </c>
      <c r="AZ249" s="184">
        <v>13600</v>
      </c>
      <c r="BA249" s="184">
        <v>13600</v>
      </c>
      <c r="BB249" s="184">
        <v>12800</v>
      </c>
      <c r="BC249" s="184">
        <v>12800</v>
      </c>
      <c r="BD249" s="184">
        <v>12800</v>
      </c>
      <c r="BE249" s="184">
        <v>12800</v>
      </c>
      <c r="BF249" s="184">
        <v>12800</v>
      </c>
      <c r="BG249" s="184">
        <v>11650</v>
      </c>
      <c r="BH249" s="184">
        <v>11650</v>
      </c>
      <c r="BI249" s="184">
        <v>11650</v>
      </c>
      <c r="BJ249" s="184"/>
      <c r="BK249" s="184"/>
      <c r="BL249" s="184"/>
      <c r="BM249" s="184"/>
      <c r="BN249" s="184"/>
      <c r="BO249" s="184"/>
      <c r="BP249" s="184"/>
      <c r="BQ249" s="184"/>
      <c r="BR249" s="184"/>
      <c r="BS249" s="184"/>
      <c r="BT249" s="184"/>
      <c r="BU249" s="146" cm="1">
        <f t="array" ref="BU249">LOOKUP(2,1/(Y249:BT249&lt;&gt;""),Y249:BH249)</f>
        <v>11650</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46023</v>
      </c>
      <c r="BW249" s="211" cm="1">
        <f t="array" ref="BW249">(LOOKUP(2,1/(BH249:BT249&lt;&gt;""),BH249:BT249))/(INDEX(BH249:BT249,MATCH(TRUE,INDEX((BH249:BT249&lt;&gt;0),0),0)))-1</f>
        <v>0</v>
      </c>
      <c r="BX249" s="212">
        <f t="shared" si="68"/>
        <v>11.65</v>
      </c>
      <c r="BY249" s="212">
        <f t="shared" si="67"/>
        <v>8.7375000000000007</v>
      </c>
      <c r="BZ249" s="212">
        <f ca="1">IF(L249="BR",'Impostos e Frete'!$F$6,IF(L249="EU",'Impostos e Frete'!$I$3,IF(L249="CN",'Impostos e Frete'!$I$4,IF(L249="JP",'Impostos e Frete'!$I$5,IF(L249="RU",'Impostos e Frete'!$I$7,"ERRO")))))</f>
        <v>1.11958</v>
      </c>
      <c r="CA249" s="212">
        <f>VLOOKUP(L249,'Impostos e Frete'!$A$3:$B$7,2,0)*'Preços e Condições'!BY249</f>
        <v>1.2232500000000002</v>
      </c>
      <c r="CB249" s="147">
        <f t="shared" si="69"/>
        <v>0</v>
      </c>
      <c r="CC249" s="147">
        <f>IF(X249="BRL",'Impostos e Frete'!$B$11,'Impostos e Frete'!$B$12)</f>
        <v>9.1999999999999998E-2</v>
      </c>
      <c r="CD249" s="213">
        <f t="shared" ca="1" si="70"/>
        <v>11.172330000000001</v>
      </c>
      <c r="CE249" s="214">
        <f t="shared" ca="1" si="71"/>
        <v>0.78206310000000012</v>
      </c>
      <c r="CF249" s="215">
        <f>VLOOKUP(L249,'Impostos e Frete'!$A$3:$C$7,3,0)</f>
        <v>120</v>
      </c>
      <c r="CG249" s="215">
        <f t="shared" si="72"/>
        <v>90</v>
      </c>
      <c r="CH249" s="215">
        <f t="shared" si="73"/>
        <v>-30</v>
      </c>
      <c r="CI249" s="216">
        <f t="shared" ca="1" si="74"/>
        <v>0.1675849499999984</v>
      </c>
      <c r="CJ249" s="217">
        <f t="shared" ca="1" si="75"/>
        <v>11.339914949999999</v>
      </c>
      <c r="CK249" s="218">
        <f t="shared" ca="1" si="76"/>
        <v>0.79379404649999985</v>
      </c>
    </row>
    <row r="250" spans="1:89">
      <c r="A250" s="176">
        <v>18408</v>
      </c>
      <c r="B250" s="177">
        <v>104</v>
      </c>
      <c r="C250" s="178">
        <v>70</v>
      </c>
      <c r="D250" s="178">
        <v>2160</v>
      </c>
      <c r="E250" s="178" t="s">
        <v>50</v>
      </c>
      <c r="F250" s="179" t="s">
        <v>0</v>
      </c>
      <c r="G250" s="180" t="s">
        <v>71</v>
      </c>
      <c r="H250" s="178" t="s">
        <v>43</v>
      </c>
      <c r="I250" s="178"/>
      <c r="J250" s="178"/>
      <c r="K250" s="178"/>
      <c r="L250" s="178" t="s">
        <v>60</v>
      </c>
      <c r="M250" s="178">
        <v>90</v>
      </c>
      <c r="N250" s="178">
        <v>400</v>
      </c>
      <c r="O250" s="178"/>
      <c r="P250" s="178"/>
      <c r="Q250" s="178"/>
      <c r="R250" s="178" t="s">
        <v>19</v>
      </c>
      <c r="S250" s="181"/>
      <c r="T250" s="181"/>
      <c r="U250" s="182"/>
      <c r="V250" s="182" t="s">
        <v>35</v>
      </c>
      <c r="W250" s="183">
        <v>100</v>
      </c>
      <c r="X250" s="182" t="s">
        <v>51</v>
      </c>
      <c r="Y250" s="184">
        <v>2000</v>
      </c>
      <c r="Z250" s="184">
        <v>2000</v>
      </c>
      <c r="AA250" s="184">
        <v>2000</v>
      </c>
      <c r="AB250" s="184">
        <v>2000</v>
      </c>
      <c r="AC250" s="184">
        <v>2000</v>
      </c>
      <c r="AD250" s="184">
        <v>2000</v>
      </c>
      <c r="AE250" s="184">
        <v>1920</v>
      </c>
      <c r="AF250" s="184">
        <v>1860</v>
      </c>
      <c r="AG250" s="184">
        <v>1860</v>
      </c>
      <c r="AH250" s="184">
        <v>1860</v>
      </c>
      <c r="AI250" s="184">
        <v>1860</v>
      </c>
      <c r="AJ250" s="184">
        <v>1860</v>
      </c>
      <c r="AK250" s="184">
        <v>1860</v>
      </c>
      <c r="AL250" s="184">
        <v>1860</v>
      </c>
      <c r="AM250" s="184">
        <v>1860</v>
      </c>
      <c r="AN250" s="184">
        <v>1830</v>
      </c>
      <c r="AO250" s="184">
        <v>1800</v>
      </c>
      <c r="AP250" s="184">
        <v>1800</v>
      </c>
      <c r="AQ250" s="184">
        <v>1800</v>
      </c>
      <c r="AR250" s="184">
        <v>1800</v>
      </c>
      <c r="AS250" s="184">
        <v>1800</v>
      </c>
      <c r="AT250" s="184">
        <v>1800</v>
      </c>
      <c r="AU250" s="184">
        <v>1800</v>
      </c>
      <c r="AV250" s="184">
        <v>1800</v>
      </c>
      <c r="AW250" s="184">
        <v>1760</v>
      </c>
      <c r="AX250" s="184">
        <v>1760</v>
      </c>
      <c r="AY250" s="184">
        <v>1760</v>
      </c>
      <c r="AZ250" s="184"/>
      <c r="BA250" s="184"/>
      <c r="BB250" s="184"/>
      <c r="BC250" s="184"/>
      <c r="BD250" s="184"/>
      <c r="BE250" s="184"/>
      <c r="BF250" s="184"/>
      <c r="BG250" s="184"/>
      <c r="BH250" s="184"/>
      <c r="BI250" s="184"/>
      <c r="BJ250" s="184"/>
      <c r="BK250" s="184"/>
      <c r="BL250" s="184"/>
      <c r="BM250" s="184"/>
      <c r="BN250" s="184"/>
      <c r="BO250" s="184"/>
      <c r="BP250" s="184"/>
      <c r="BQ250" s="184"/>
      <c r="BR250" s="184"/>
      <c r="BS250" s="184"/>
      <c r="BT250" s="184"/>
      <c r="BU250" s="146" cm="1">
        <f t="array" ref="BU250">LOOKUP(2,1/(Y250:BT250&lt;&gt;""),Y250:BH250)</f>
        <v>1760</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45717</v>
      </c>
      <c r="BW250" s="211" t="e" cm="1">
        <f t="array" ref="BW250">(LOOKUP(2,1/(BH250:BT250&lt;&gt;""),BH250:BT250))/(INDEX(BH250:BT250,MATCH(TRUE,INDEX((BH250:BT250&lt;&gt;0),0),0)))-1</f>
        <v>#N/A</v>
      </c>
      <c r="BX250" s="212">
        <f t="shared" si="68"/>
        <v>1.76</v>
      </c>
      <c r="BY250" s="212">
        <f t="shared" si="67"/>
        <v>10.384</v>
      </c>
      <c r="BZ250" s="212">
        <f ca="1">IF(L250="BR",'Impostos e Frete'!$F$6,IF(L250="EU",'Impostos e Frete'!$I$3,IF(L250="CN",'Impostos e Frete'!$I$4,IF(L250="JP",'Impostos e Frete'!$I$5,IF(L250="RU",'Impostos e Frete'!$I$7,"ERRO")))))</f>
        <v>1.11958</v>
      </c>
      <c r="CA250" s="212">
        <f>VLOOKUP(L250,'Impostos e Frete'!$A$3:$B$7,2,0)*'Preços e Condições'!BY250</f>
        <v>1.4537600000000002</v>
      </c>
      <c r="CB250" s="147">
        <f t="shared" si="69"/>
        <v>0</v>
      </c>
      <c r="CC250" s="147">
        <f>IF(X250="BRL",'Impostos e Frete'!$B$11,'Impostos e Frete'!$B$12)</f>
        <v>9.1999999999999998E-2</v>
      </c>
      <c r="CD250" s="213">
        <f t="shared" ca="1" si="70"/>
        <v>13.049340000000001</v>
      </c>
      <c r="CE250" s="214">
        <f t="shared" ca="1" si="71"/>
        <v>0.91345380000000009</v>
      </c>
      <c r="CF250" s="215">
        <f>VLOOKUP(L250,'Impostos e Frete'!$A$3:$C$7,3,0)</f>
        <v>120</v>
      </c>
      <c r="CG250" s="215">
        <f t="shared" si="72"/>
        <v>90</v>
      </c>
      <c r="CH250" s="215">
        <f t="shared" si="73"/>
        <v>-30</v>
      </c>
      <c r="CI250" s="216">
        <f t="shared" ca="1" si="74"/>
        <v>0.19574009999999831</v>
      </c>
      <c r="CJ250" s="217">
        <f t="shared" ca="1" si="75"/>
        <v>13.245080099999999</v>
      </c>
      <c r="CK250" s="218">
        <f t="shared" ca="1" si="76"/>
        <v>0.92715560699999988</v>
      </c>
    </row>
    <row r="251" spans="1:89">
      <c r="A251" s="176">
        <v>18409</v>
      </c>
      <c r="B251" s="177">
        <v>104</v>
      </c>
      <c r="C251" s="178">
        <v>70</v>
      </c>
      <c r="D251" s="178">
        <v>1270</v>
      </c>
      <c r="E251" s="178" t="s">
        <v>50</v>
      </c>
      <c r="F251" s="179" t="s">
        <v>0</v>
      </c>
      <c r="G251" s="180" t="s">
        <v>71</v>
      </c>
      <c r="H251" s="178" t="s">
        <v>43</v>
      </c>
      <c r="I251" s="178"/>
      <c r="J251" s="178"/>
      <c r="K251" s="178"/>
      <c r="L251" s="178" t="s">
        <v>60</v>
      </c>
      <c r="M251" s="178">
        <v>90</v>
      </c>
      <c r="N251" s="178">
        <v>3300</v>
      </c>
      <c r="O251" s="178"/>
      <c r="P251" s="178"/>
      <c r="Q251" s="178"/>
      <c r="R251" s="178" t="s">
        <v>19</v>
      </c>
      <c r="S251" s="181"/>
      <c r="T251" s="181"/>
      <c r="U251" s="182"/>
      <c r="V251" s="182" t="s">
        <v>35</v>
      </c>
      <c r="W251" s="183">
        <v>100</v>
      </c>
      <c r="X251" s="182" t="s">
        <v>267</v>
      </c>
      <c r="Y251" s="184"/>
      <c r="Z251" s="184"/>
      <c r="AA251" s="184"/>
      <c r="AB251" s="184"/>
      <c r="AC251" s="184"/>
      <c r="AD251" s="184"/>
      <c r="AE251" s="184"/>
      <c r="AF251" s="184"/>
      <c r="AG251" s="184"/>
      <c r="AH251" s="184"/>
      <c r="AI251" s="184"/>
      <c r="AJ251" s="184"/>
      <c r="AK251" s="184"/>
      <c r="AL251" s="184"/>
      <c r="AM251" s="184"/>
      <c r="AN251" s="184"/>
      <c r="AO251" s="184"/>
      <c r="AP251" s="184"/>
      <c r="AQ251" s="184"/>
      <c r="AR251" s="184"/>
      <c r="AS251" s="184"/>
      <c r="AT251" s="184"/>
      <c r="AU251" s="184"/>
      <c r="AV251" s="184">
        <v>13600</v>
      </c>
      <c r="AW251" s="184">
        <v>13600</v>
      </c>
      <c r="AX251" s="184">
        <v>13600</v>
      </c>
      <c r="AY251" s="184">
        <v>13600</v>
      </c>
      <c r="AZ251" s="184">
        <v>13600</v>
      </c>
      <c r="BA251" s="184">
        <v>13600</v>
      </c>
      <c r="BB251" s="184">
        <v>12800</v>
      </c>
      <c r="BC251" s="184">
        <v>12800</v>
      </c>
      <c r="BD251" s="184">
        <v>12800</v>
      </c>
      <c r="BE251" s="184">
        <v>12800</v>
      </c>
      <c r="BF251" s="184">
        <v>12800</v>
      </c>
      <c r="BG251" s="184">
        <v>11650</v>
      </c>
      <c r="BH251" s="184">
        <v>11650</v>
      </c>
      <c r="BI251" s="184">
        <v>11650</v>
      </c>
      <c r="BJ251" s="184"/>
      <c r="BK251" s="184"/>
      <c r="BL251" s="184"/>
      <c r="BM251" s="184"/>
      <c r="BN251" s="184"/>
      <c r="BO251" s="184"/>
      <c r="BP251" s="184"/>
      <c r="BQ251" s="184"/>
      <c r="BR251" s="184"/>
      <c r="BS251" s="184"/>
      <c r="BT251" s="184"/>
      <c r="BU251" s="146" cm="1">
        <f t="array" ref="BU251">LOOKUP(2,1/(Y251:BT251&lt;&gt;""),Y251:BH251)</f>
        <v>11650</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46023</v>
      </c>
      <c r="BW251" s="211" cm="1">
        <f t="array" ref="BW251">(LOOKUP(2,1/(BH251:BT251&lt;&gt;""),BH251:BT251))/(INDEX(BH251:BT251,MATCH(TRUE,INDEX((BH251:BT251&lt;&gt;0),0),0)))-1</f>
        <v>0</v>
      </c>
      <c r="BX251" s="212">
        <f t="shared" si="68"/>
        <v>11.65</v>
      </c>
      <c r="BY251" s="212">
        <f t="shared" si="67"/>
        <v>8.7375000000000007</v>
      </c>
      <c r="BZ251" s="212">
        <f ca="1">IF(L251="BR",'Impostos e Frete'!$F$6,IF(L251="EU",'Impostos e Frete'!$I$3,IF(L251="CN",'Impostos e Frete'!$I$4,IF(L251="JP",'Impostos e Frete'!$I$5,IF(L251="RU",'Impostos e Frete'!$I$7,"ERRO")))))</f>
        <v>1.11958</v>
      </c>
      <c r="CA251" s="212">
        <f>VLOOKUP(L251,'Impostos e Frete'!$A$3:$B$7,2,0)*'Preços e Condições'!BY251</f>
        <v>1.2232500000000002</v>
      </c>
      <c r="CB251" s="147">
        <f t="shared" si="69"/>
        <v>0</v>
      </c>
      <c r="CC251" s="147">
        <f>IF(X251="BRL",'Impostos e Frete'!$B$11,'Impostos e Frete'!$B$12)</f>
        <v>9.1999999999999998E-2</v>
      </c>
      <c r="CD251" s="213">
        <f t="shared" ca="1" si="70"/>
        <v>11.172330000000001</v>
      </c>
      <c r="CE251" s="214">
        <f t="shared" ca="1" si="71"/>
        <v>0.78206310000000012</v>
      </c>
      <c r="CF251" s="215">
        <f>VLOOKUP(L251,'Impostos e Frete'!$A$3:$C$7,3,0)</f>
        <v>120</v>
      </c>
      <c r="CG251" s="215">
        <f t="shared" si="72"/>
        <v>90</v>
      </c>
      <c r="CH251" s="215">
        <f t="shared" si="73"/>
        <v>-30</v>
      </c>
      <c r="CI251" s="216">
        <f t="shared" ca="1" si="74"/>
        <v>0.1675849499999984</v>
      </c>
      <c r="CJ251" s="217">
        <f t="shared" ca="1" si="75"/>
        <v>11.339914949999999</v>
      </c>
      <c r="CK251" s="218">
        <f t="shared" ca="1" si="76"/>
        <v>0.79379404649999985</v>
      </c>
    </row>
    <row r="252" spans="1:89">
      <c r="A252" s="176">
        <v>18409</v>
      </c>
      <c r="B252" s="177">
        <v>104</v>
      </c>
      <c r="C252" s="178">
        <v>70</v>
      </c>
      <c r="D252" s="178">
        <v>1270</v>
      </c>
      <c r="E252" s="178" t="s">
        <v>50</v>
      </c>
      <c r="F252" s="179" t="s">
        <v>0</v>
      </c>
      <c r="G252" s="180" t="s">
        <v>71</v>
      </c>
      <c r="H252" s="178" t="s">
        <v>43</v>
      </c>
      <c r="I252" s="178"/>
      <c r="J252" s="178"/>
      <c r="K252" s="178"/>
      <c r="L252" s="178" t="s">
        <v>60</v>
      </c>
      <c r="M252" s="178">
        <v>90</v>
      </c>
      <c r="N252" s="178">
        <v>400</v>
      </c>
      <c r="O252" s="178"/>
      <c r="P252" s="178"/>
      <c r="Q252" s="178"/>
      <c r="R252" s="178" t="s">
        <v>19</v>
      </c>
      <c r="S252" s="181"/>
      <c r="T252" s="181"/>
      <c r="U252" s="182"/>
      <c r="V252" s="182" t="s">
        <v>35</v>
      </c>
      <c r="W252" s="183">
        <v>100</v>
      </c>
      <c r="X252" s="182" t="s">
        <v>51</v>
      </c>
      <c r="Y252" s="184">
        <v>2000</v>
      </c>
      <c r="Z252" s="184">
        <v>2000</v>
      </c>
      <c r="AA252" s="184">
        <v>2000</v>
      </c>
      <c r="AB252" s="184">
        <v>2000</v>
      </c>
      <c r="AC252" s="184">
        <v>2000</v>
      </c>
      <c r="AD252" s="184">
        <v>2000</v>
      </c>
      <c r="AE252" s="184">
        <v>1920</v>
      </c>
      <c r="AF252" s="184">
        <v>1860</v>
      </c>
      <c r="AG252" s="184">
        <v>1860</v>
      </c>
      <c r="AH252" s="184">
        <v>1860</v>
      </c>
      <c r="AI252" s="184">
        <v>1860</v>
      </c>
      <c r="AJ252" s="184">
        <v>1860</v>
      </c>
      <c r="AK252" s="184">
        <v>1860</v>
      </c>
      <c r="AL252" s="184">
        <v>1860</v>
      </c>
      <c r="AM252" s="184">
        <v>1860</v>
      </c>
      <c r="AN252" s="184">
        <v>1830</v>
      </c>
      <c r="AO252" s="184">
        <v>1800</v>
      </c>
      <c r="AP252" s="184">
        <v>1800</v>
      </c>
      <c r="AQ252" s="184">
        <v>1800</v>
      </c>
      <c r="AR252" s="184">
        <v>1800</v>
      </c>
      <c r="AS252" s="184">
        <v>1800</v>
      </c>
      <c r="AT252" s="184">
        <v>1800</v>
      </c>
      <c r="AU252" s="184">
        <v>1800</v>
      </c>
      <c r="AV252" s="184">
        <v>1800</v>
      </c>
      <c r="AW252" s="184">
        <v>1760</v>
      </c>
      <c r="AX252" s="184">
        <v>1760</v>
      </c>
      <c r="AY252" s="184">
        <v>1760</v>
      </c>
      <c r="AZ252" s="184"/>
      <c r="BA252" s="184"/>
      <c r="BB252" s="184"/>
      <c r="BC252" s="184"/>
      <c r="BD252" s="184"/>
      <c r="BE252" s="184"/>
      <c r="BF252" s="184"/>
      <c r="BG252" s="184"/>
      <c r="BH252" s="184"/>
      <c r="BI252" s="184"/>
      <c r="BJ252" s="184"/>
      <c r="BK252" s="184"/>
      <c r="BL252" s="184"/>
      <c r="BM252" s="184"/>
      <c r="BN252" s="184"/>
      <c r="BO252" s="184"/>
      <c r="BP252" s="184"/>
      <c r="BQ252" s="184"/>
      <c r="BR252" s="184"/>
      <c r="BS252" s="184"/>
      <c r="BT252" s="184"/>
      <c r="BU252" s="146" cm="1">
        <f t="array" ref="BU252">LOOKUP(2,1/(Y252:BT252&lt;&gt;""),Y252:BH252)</f>
        <v>1760</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45717</v>
      </c>
      <c r="BW252" s="211" t="e" cm="1">
        <f t="array" ref="BW252">(LOOKUP(2,1/(BH252:BT252&lt;&gt;""),BH252:BT252))/(INDEX(BH252:BT252,MATCH(TRUE,INDEX((BH252:BT252&lt;&gt;0),0),0)))-1</f>
        <v>#N/A</v>
      </c>
      <c r="BX252" s="212">
        <f t="shared" si="68"/>
        <v>1.76</v>
      </c>
      <c r="BY252" s="212">
        <f t="shared" si="67"/>
        <v>10.384</v>
      </c>
      <c r="BZ252" s="212">
        <f ca="1">IF(L252="BR",'Impostos e Frete'!$F$6,IF(L252="EU",'Impostos e Frete'!$I$3,IF(L252="CN",'Impostos e Frete'!$I$4,IF(L252="JP",'Impostos e Frete'!$I$5,IF(L252="RU",'Impostos e Frete'!$I$7,"ERRO")))))</f>
        <v>1.11958</v>
      </c>
      <c r="CA252" s="212">
        <f>VLOOKUP(L252,'Impostos e Frete'!$A$3:$B$7,2,0)*'Preços e Condições'!BY252</f>
        <v>1.4537600000000002</v>
      </c>
      <c r="CB252" s="147">
        <f t="shared" si="69"/>
        <v>0</v>
      </c>
      <c r="CC252" s="147">
        <f>IF(X252="BRL",'Impostos e Frete'!$B$11,'Impostos e Frete'!$B$12)</f>
        <v>9.1999999999999998E-2</v>
      </c>
      <c r="CD252" s="213">
        <f t="shared" ca="1" si="70"/>
        <v>13.049340000000001</v>
      </c>
      <c r="CE252" s="214">
        <f t="shared" ca="1" si="71"/>
        <v>0.91345380000000009</v>
      </c>
      <c r="CF252" s="215">
        <f>VLOOKUP(L252,'Impostos e Frete'!$A$3:$C$7,3,0)</f>
        <v>120</v>
      </c>
      <c r="CG252" s="215">
        <f t="shared" si="72"/>
        <v>90</v>
      </c>
      <c r="CH252" s="215">
        <f t="shared" si="73"/>
        <v>-30</v>
      </c>
      <c r="CI252" s="216">
        <f t="shared" ca="1" si="74"/>
        <v>0.19574009999999831</v>
      </c>
      <c r="CJ252" s="217">
        <f t="shared" ca="1" si="75"/>
        <v>13.245080099999999</v>
      </c>
      <c r="CK252" s="218">
        <f t="shared" ca="1" si="76"/>
        <v>0.92715560699999988</v>
      </c>
    </row>
    <row r="253" spans="1:89">
      <c r="A253" s="176">
        <v>18416</v>
      </c>
      <c r="B253" s="177">
        <v>104</v>
      </c>
      <c r="C253" s="178">
        <v>70</v>
      </c>
      <c r="D253" s="178">
        <v>2175</v>
      </c>
      <c r="E253" s="178" t="s">
        <v>50</v>
      </c>
      <c r="F253" s="179" t="s">
        <v>0</v>
      </c>
      <c r="G253" s="180" t="s">
        <v>71</v>
      </c>
      <c r="H253" s="178" t="s">
        <v>43</v>
      </c>
      <c r="I253" s="178"/>
      <c r="J253" s="178"/>
      <c r="K253" s="178"/>
      <c r="L253" s="178" t="s">
        <v>60</v>
      </c>
      <c r="M253" s="178">
        <v>90</v>
      </c>
      <c r="N253" s="178">
        <v>3300</v>
      </c>
      <c r="O253" s="178"/>
      <c r="P253" s="178"/>
      <c r="Q253" s="178"/>
      <c r="R253" s="178" t="s">
        <v>19</v>
      </c>
      <c r="S253" s="181"/>
      <c r="T253" s="181"/>
      <c r="U253" s="182"/>
      <c r="V253" s="182" t="s">
        <v>35</v>
      </c>
      <c r="W253" s="183">
        <v>100</v>
      </c>
      <c r="X253" s="182" t="s">
        <v>267</v>
      </c>
      <c r="Y253" s="184"/>
      <c r="Z253" s="184"/>
      <c r="AA253" s="184"/>
      <c r="AB253" s="184"/>
      <c r="AC253" s="184"/>
      <c r="AD253" s="184"/>
      <c r="AE253" s="184"/>
      <c r="AF253" s="184"/>
      <c r="AG253" s="184"/>
      <c r="AH253" s="184"/>
      <c r="AI253" s="184"/>
      <c r="AJ253" s="184"/>
      <c r="AK253" s="184"/>
      <c r="AL253" s="184"/>
      <c r="AM253" s="184"/>
      <c r="AN253" s="184"/>
      <c r="AO253" s="184"/>
      <c r="AP253" s="184"/>
      <c r="AQ253" s="184"/>
      <c r="AR253" s="184"/>
      <c r="AS253" s="184"/>
      <c r="AT253" s="184"/>
      <c r="AU253" s="184"/>
      <c r="AV253" s="184">
        <v>13600</v>
      </c>
      <c r="AW253" s="184">
        <v>13600</v>
      </c>
      <c r="AX253" s="184">
        <v>13600</v>
      </c>
      <c r="AY253" s="184">
        <v>13600</v>
      </c>
      <c r="AZ253" s="184">
        <v>13600</v>
      </c>
      <c r="BA253" s="184">
        <v>13600</v>
      </c>
      <c r="BB253" s="184">
        <v>12800</v>
      </c>
      <c r="BC253" s="184">
        <v>12800</v>
      </c>
      <c r="BD253" s="184">
        <v>12800</v>
      </c>
      <c r="BE253" s="184">
        <v>12800</v>
      </c>
      <c r="BF253" s="184">
        <v>12800</v>
      </c>
      <c r="BG253" s="184">
        <v>11650</v>
      </c>
      <c r="BH253" s="184">
        <v>11650</v>
      </c>
      <c r="BI253" s="184">
        <v>11650</v>
      </c>
      <c r="BJ253" s="184"/>
      <c r="BK253" s="184"/>
      <c r="BL253" s="184"/>
      <c r="BM253" s="184"/>
      <c r="BN253" s="184"/>
      <c r="BO253" s="184"/>
      <c r="BP253" s="184"/>
      <c r="BQ253" s="184"/>
      <c r="BR253" s="184"/>
      <c r="BS253" s="184"/>
      <c r="BT253" s="184"/>
      <c r="BU253" s="146" cm="1">
        <f t="array" ref="BU253">LOOKUP(2,1/(Y253:BT253&lt;&gt;""),Y253:BH253)</f>
        <v>11650</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46023</v>
      </c>
      <c r="BW253" s="211" cm="1">
        <f t="array" ref="BW253">(LOOKUP(2,1/(BH253:BT253&lt;&gt;""),BH253:BT253))/(INDEX(BH253:BT253,MATCH(TRUE,INDEX((BH253:BT253&lt;&gt;0),0),0)))-1</f>
        <v>0</v>
      </c>
      <c r="BX253" s="212">
        <f t="shared" si="68"/>
        <v>11.65</v>
      </c>
      <c r="BY253" s="212">
        <f t="shared" ref="BY253:BY316" si="82">IF(X253="BRL",BX253,IF(X253="EUR",BX253*$CK$2,IF(X253="USD",BX253*$CK$1,IF(X253="CNY",BX253*$CM$1,IF(X253="RUB",BX253*$CM$2,"CRRY#")))))</f>
        <v>8.7375000000000007</v>
      </c>
      <c r="BZ253" s="212">
        <f ca="1">IF(L253="BR",'Impostos e Frete'!$F$6,IF(L253="EU",'Impostos e Frete'!$I$3,IF(L253="CN",'Impostos e Frete'!$I$4,IF(L253="JP",'Impostos e Frete'!$I$5,IF(L253="RU",'Impostos e Frete'!$I$7,"ERRO")))))</f>
        <v>1.11958</v>
      </c>
      <c r="CA253" s="212">
        <f>VLOOKUP(L253,'Impostos e Frete'!$A$3:$B$7,2,0)*'Preços e Condições'!BY253</f>
        <v>1.2232500000000002</v>
      </c>
      <c r="CB253" s="147">
        <f t="shared" si="69"/>
        <v>0</v>
      </c>
      <c r="CC253" s="147">
        <f>IF(X253="BRL",'Impostos e Frete'!$B$11,'Impostos e Frete'!$B$12)</f>
        <v>9.1999999999999998E-2</v>
      </c>
      <c r="CD253" s="213">
        <f t="shared" ca="1" si="70"/>
        <v>11.172330000000001</v>
      </c>
      <c r="CE253" s="214">
        <f t="shared" ca="1" si="71"/>
        <v>0.78206310000000012</v>
      </c>
      <c r="CF253" s="215">
        <f>VLOOKUP(L253,'Impostos e Frete'!$A$3:$C$7,3,0)</f>
        <v>120</v>
      </c>
      <c r="CG253" s="215">
        <f t="shared" si="72"/>
        <v>90</v>
      </c>
      <c r="CH253" s="215">
        <f t="shared" si="73"/>
        <v>-30</v>
      </c>
      <c r="CI253" s="216">
        <f t="shared" ca="1" si="74"/>
        <v>0.1675849499999984</v>
      </c>
      <c r="CJ253" s="217">
        <f t="shared" ca="1" si="75"/>
        <v>11.339914949999999</v>
      </c>
      <c r="CK253" s="218">
        <f t="shared" ca="1" si="76"/>
        <v>0.79379404649999985</v>
      </c>
    </row>
    <row r="254" spans="1:89">
      <c r="A254" s="176">
        <v>18416</v>
      </c>
      <c r="B254" s="177">
        <v>104</v>
      </c>
      <c r="C254" s="178">
        <v>70</v>
      </c>
      <c r="D254" s="178">
        <v>2175</v>
      </c>
      <c r="E254" s="178" t="s">
        <v>50</v>
      </c>
      <c r="F254" s="179" t="s">
        <v>0</v>
      </c>
      <c r="G254" s="180" t="s">
        <v>71</v>
      </c>
      <c r="H254" s="178" t="s">
        <v>43</v>
      </c>
      <c r="I254" s="178"/>
      <c r="J254" s="178"/>
      <c r="K254" s="178"/>
      <c r="L254" s="178" t="s">
        <v>60</v>
      </c>
      <c r="M254" s="178">
        <v>90</v>
      </c>
      <c r="N254" s="178">
        <v>400</v>
      </c>
      <c r="O254" s="178"/>
      <c r="P254" s="178"/>
      <c r="Q254" s="178"/>
      <c r="R254" s="178" t="s">
        <v>19</v>
      </c>
      <c r="S254" s="181"/>
      <c r="T254" s="181"/>
      <c r="U254" s="182"/>
      <c r="V254" s="182" t="s">
        <v>35</v>
      </c>
      <c r="W254" s="183">
        <v>100</v>
      </c>
      <c r="X254" s="182" t="s">
        <v>51</v>
      </c>
      <c r="Y254" s="184">
        <v>2000</v>
      </c>
      <c r="Z254" s="184">
        <v>2000</v>
      </c>
      <c r="AA254" s="184">
        <v>2000</v>
      </c>
      <c r="AB254" s="184">
        <v>2000</v>
      </c>
      <c r="AC254" s="184">
        <v>2000</v>
      </c>
      <c r="AD254" s="184">
        <v>2000</v>
      </c>
      <c r="AE254" s="184">
        <v>1920</v>
      </c>
      <c r="AF254" s="184">
        <v>1860</v>
      </c>
      <c r="AG254" s="184">
        <v>1860</v>
      </c>
      <c r="AH254" s="184">
        <v>1860</v>
      </c>
      <c r="AI254" s="184">
        <v>1860</v>
      </c>
      <c r="AJ254" s="184">
        <v>1860</v>
      </c>
      <c r="AK254" s="184">
        <v>1860</v>
      </c>
      <c r="AL254" s="184">
        <v>1860</v>
      </c>
      <c r="AM254" s="184">
        <v>1860</v>
      </c>
      <c r="AN254" s="184">
        <v>1830</v>
      </c>
      <c r="AO254" s="184">
        <v>1800</v>
      </c>
      <c r="AP254" s="184">
        <v>1800</v>
      </c>
      <c r="AQ254" s="184">
        <v>1800</v>
      </c>
      <c r="AR254" s="184">
        <v>1800</v>
      </c>
      <c r="AS254" s="184">
        <v>1800</v>
      </c>
      <c r="AT254" s="184">
        <v>1800</v>
      </c>
      <c r="AU254" s="184">
        <v>1800</v>
      </c>
      <c r="AV254" s="184">
        <v>1800</v>
      </c>
      <c r="AW254" s="184">
        <v>1760</v>
      </c>
      <c r="AX254" s="184">
        <v>1760</v>
      </c>
      <c r="AY254" s="184">
        <v>1760</v>
      </c>
      <c r="AZ254" s="184"/>
      <c r="BA254" s="184"/>
      <c r="BB254" s="184"/>
      <c r="BC254" s="184"/>
      <c r="BD254" s="184"/>
      <c r="BE254" s="184"/>
      <c r="BF254" s="184"/>
      <c r="BG254" s="184"/>
      <c r="BH254" s="184"/>
      <c r="BI254" s="184"/>
      <c r="BJ254" s="184"/>
      <c r="BK254" s="184"/>
      <c r="BL254" s="184"/>
      <c r="BM254" s="184"/>
      <c r="BN254" s="184"/>
      <c r="BO254" s="184"/>
      <c r="BP254" s="184"/>
      <c r="BQ254" s="184"/>
      <c r="BR254" s="184"/>
      <c r="BS254" s="184"/>
      <c r="BT254" s="184"/>
      <c r="BU254" s="146" cm="1">
        <f t="array" ref="BU254">LOOKUP(2,1/(Y254:BT254&lt;&gt;""),Y254:BH254)</f>
        <v>1760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45717</v>
      </c>
      <c r="BW254" s="211" t="e" cm="1">
        <f t="array" ref="BW254">(LOOKUP(2,1/(BH254:BT254&lt;&gt;""),BH254:BT254))/(INDEX(BH254:BT254,MATCH(TRUE,INDEX((BH254:BT254&lt;&gt;0),0),0)))-1</f>
        <v>#N/A</v>
      </c>
      <c r="BX254" s="212">
        <f t="shared" si="68"/>
        <v>1.76</v>
      </c>
      <c r="BY254" s="212">
        <f t="shared" si="82"/>
        <v>10.384</v>
      </c>
      <c r="BZ254" s="212">
        <f ca="1">IF(L254="BR",'Impostos e Frete'!$F$6,IF(L254="EU",'Impostos e Frete'!$I$3,IF(L254="CN",'Impostos e Frete'!$I$4,IF(L254="JP",'Impostos e Frete'!$I$5,IF(L254="RU",'Impostos e Frete'!$I$7,"ERRO")))))</f>
        <v>1.11958</v>
      </c>
      <c r="CA254" s="212">
        <f>VLOOKUP(L254,'Impostos e Frete'!$A$3:$B$7,2,0)*'Preços e Condições'!BY254</f>
        <v>1.4537600000000002</v>
      </c>
      <c r="CB254" s="147">
        <f t="shared" si="69"/>
        <v>0</v>
      </c>
      <c r="CC254" s="147">
        <f>IF(X254="BRL",'Impostos e Frete'!$B$11,'Impostos e Frete'!$B$12)</f>
        <v>9.1999999999999998E-2</v>
      </c>
      <c r="CD254" s="213">
        <f t="shared" ca="1" si="70"/>
        <v>13.049340000000001</v>
      </c>
      <c r="CE254" s="214">
        <f t="shared" ca="1" si="71"/>
        <v>0.91345380000000009</v>
      </c>
      <c r="CF254" s="215">
        <f>VLOOKUP(L254,'Impostos e Frete'!$A$3:$C$7,3,0)</f>
        <v>120</v>
      </c>
      <c r="CG254" s="215">
        <f t="shared" si="72"/>
        <v>90</v>
      </c>
      <c r="CH254" s="215">
        <f t="shared" si="73"/>
        <v>-30</v>
      </c>
      <c r="CI254" s="216">
        <f t="shared" ca="1" si="74"/>
        <v>0.19574009999999831</v>
      </c>
      <c r="CJ254" s="217">
        <f t="shared" ca="1" si="75"/>
        <v>13.245080099999999</v>
      </c>
      <c r="CK254" s="218">
        <f t="shared" ca="1" si="76"/>
        <v>0.92715560699999988</v>
      </c>
    </row>
    <row r="255" spans="1:89">
      <c r="A255" s="176">
        <v>18403</v>
      </c>
      <c r="B255" s="177">
        <v>104</v>
      </c>
      <c r="C255" s="178">
        <v>80</v>
      </c>
      <c r="D255" s="178">
        <v>1860</v>
      </c>
      <c r="E255" s="178" t="s">
        <v>49</v>
      </c>
      <c r="F255" s="179" t="s">
        <v>0</v>
      </c>
      <c r="G255" s="180" t="s">
        <v>71</v>
      </c>
      <c r="H255" s="178" t="s">
        <v>43</v>
      </c>
      <c r="I255" s="178"/>
      <c r="J255" s="178"/>
      <c r="K255" s="178"/>
      <c r="L255" s="178" t="s">
        <v>60</v>
      </c>
      <c r="M255" s="178">
        <v>90</v>
      </c>
      <c r="N255" s="178">
        <v>3300</v>
      </c>
      <c r="O255" s="178"/>
      <c r="P255" s="178"/>
      <c r="Q255" s="178"/>
      <c r="R255" s="178" t="s">
        <v>19</v>
      </c>
      <c r="S255" s="181"/>
      <c r="T255" s="181"/>
      <c r="U255" s="182"/>
      <c r="V255" s="182" t="s">
        <v>35</v>
      </c>
      <c r="W255" s="183">
        <v>100</v>
      </c>
      <c r="X255" s="182" t="s">
        <v>267</v>
      </c>
      <c r="Y255" s="184"/>
      <c r="Z255" s="184"/>
      <c r="AA255" s="184"/>
      <c r="AB255" s="184"/>
      <c r="AC255" s="184"/>
      <c r="AD255" s="184"/>
      <c r="AE255" s="184"/>
      <c r="AF255" s="184"/>
      <c r="AG255" s="184"/>
      <c r="AH255" s="184"/>
      <c r="AI255" s="184"/>
      <c r="AJ255" s="184"/>
      <c r="AK255" s="184"/>
      <c r="AL255" s="184"/>
      <c r="AM255" s="184"/>
      <c r="AN255" s="184"/>
      <c r="AO255" s="184"/>
      <c r="AP255" s="184"/>
      <c r="AQ255" s="184"/>
      <c r="AR255" s="184"/>
      <c r="AS255" s="184"/>
      <c r="AT255" s="184"/>
      <c r="AU255" s="184"/>
      <c r="AV255" s="184">
        <v>13400</v>
      </c>
      <c r="AW255" s="184">
        <v>13400</v>
      </c>
      <c r="AX255" s="184">
        <v>13400</v>
      </c>
      <c r="AY255" s="184">
        <v>13400</v>
      </c>
      <c r="AZ255" s="184">
        <v>13400</v>
      </c>
      <c r="BA255" s="184">
        <v>13400</v>
      </c>
      <c r="BB255" s="184">
        <v>12400</v>
      </c>
      <c r="BC255" s="184">
        <v>12400</v>
      </c>
      <c r="BD255" s="184">
        <v>12400</v>
      </c>
      <c r="BE255" s="184">
        <v>12400</v>
      </c>
      <c r="BF255" s="184">
        <v>12400</v>
      </c>
      <c r="BG255" s="184">
        <v>11650</v>
      </c>
      <c r="BH255" s="184">
        <v>11650</v>
      </c>
      <c r="BI255" s="184">
        <v>11650</v>
      </c>
      <c r="BJ255" s="184"/>
      <c r="BK255" s="184"/>
      <c r="BL255" s="184"/>
      <c r="BM255" s="184"/>
      <c r="BN255" s="184"/>
      <c r="BO255" s="184"/>
      <c r="BP255" s="184"/>
      <c r="BQ255" s="184"/>
      <c r="BR255" s="184"/>
      <c r="BS255" s="184"/>
      <c r="BT255" s="184"/>
      <c r="BU255" s="146" cm="1">
        <f t="array" ref="BU255">LOOKUP(2,1/(Y255:BT255&lt;&gt;""),Y255:BH255)</f>
        <v>11650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46023</v>
      </c>
      <c r="BW255" s="211" cm="1">
        <f t="array" ref="BW255">(LOOKUP(2,1/(BH255:BT255&lt;&gt;""),BH255:BT255))/(INDEX(BH255:BT255,MATCH(TRUE,INDEX((BH255:BT255&lt;&gt;0),0),0)))-1</f>
        <v>0</v>
      </c>
      <c r="BX255" s="212">
        <f t="shared" si="68"/>
        <v>11.65</v>
      </c>
      <c r="BY255" s="212">
        <f t="shared" si="82"/>
        <v>8.7375000000000007</v>
      </c>
      <c r="BZ255" s="212">
        <f ca="1">IF(L255="BR",'Impostos e Frete'!$F$6,IF(L255="EU",'Impostos e Frete'!$I$3,IF(L255="CN",'Impostos e Frete'!$I$4,IF(L255="JP",'Impostos e Frete'!$I$5,IF(L255="RU",'Impostos e Frete'!$I$7,"ERRO")))))</f>
        <v>1.11958</v>
      </c>
      <c r="CA255" s="212">
        <f>VLOOKUP(L255,'Impostos e Frete'!$A$3:$B$7,2,0)*'Preços e Condições'!BY255</f>
        <v>1.2232500000000002</v>
      </c>
      <c r="CB255" s="147">
        <f t="shared" si="69"/>
        <v>0</v>
      </c>
      <c r="CC255" s="147">
        <f>IF(X255="BRL",'Impostos e Frete'!$B$11,'Impostos e Frete'!$B$12)</f>
        <v>9.1999999999999998E-2</v>
      </c>
      <c r="CD255" s="213">
        <f t="shared" ca="1" si="70"/>
        <v>11.172330000000001</v>
      </c>
      <c r="CE255" s="214">
        <f t="shared" ca="1" si="71"/>
        <v>0.89378640000000009</v>
      </c>
      <c r="CF255" s="215">
        <f>VLOOKUP(L255,'Impostos e Frete'!$A$3:$C$7,3,0)</f>
        <v>120</v>
      </c>
      <c r="CG255" s="215">
        <f t="shared" si="72"/>
        <v>90</v>
      </c>
      <c r="CH255" s="215">
        <f t="shared" si="73"/>
        <v>-30</v>
      </c>
      <c r="CI255" s="216">
        <f t="shared" ca="1" si="74"/>
        <v>0.1675849499999984</v>
      </c>
      <c r="CJ255" s="217">
        <f t="shared" ca="1" si="75"/>
        <v>11.339914949999999</v>
      </c>
      <c r="CK255" s="218">
        <f t="shared" ca="1" si="76"/>
        <v>0.90719319599999992</v>
      </c>
    </row>
    <row r="256" spans="1:89">
      <c r="A256" s="176">
        <v>18403</v>
      </c>
      <c r="B256" s="177">
        <v>104</v>
      </c>
      <c r="C256" s="178">
        <v>80</v>
      </c>
      <c r="D256" s="178">
        <v>1860</v>
      </c>
      <c r="E256" s="178" t="s">
        <v>49</v>
      </c>
      <c r="F256" s="179" t="s">
        <v>0</v>
      </c>
      <c r="G256" s="180" t="s">
        <v>71</v>
      </c>
      <c r="H256" s="178" t="s">
        <v>43</v>
      </c>
      <c r="I256" s="178"/>
      <c r="J256" s="178"/>
      <c r="K256" s="178"/>
      <c r="L256" s="178" t="s">
        <v>60</v>
      </c>
      <c r="M256" s="178">
        <v>90</v>
      </c>
      <c r="N256" s="178">
        <v>400</v>
      </c>
      <c r="O256" s="178"/>
      <c r="P256" s="178"/>
      <c r="Q256" s="178"/>
      <c r="R256" s="178" t="s">
        <v>19</v>
      </c>
      <c r="S256" s="181"/>
      <c r="T256" s="181"/>
      <c r="U256" s="182"/>
      <c r="V256" s="182" t="s">
        <v>35</v>
      </c>
      <c r="W256" s="183">
        <v>100</v>
      </c>
      <c r="X256" s="182" t="s">
        <v>51</v>
      </c>
      <c r="Y256" s="184">
        <v>2000</v>
      </c>
      <c r="Z256" s="184">
        <v>2000</v>
      </c>
      <c r="AA256" s="184">
        <v>2000</v>
      </c>
      <c r="AB256" s="184">
        <v>2000</v>
      </c>
      <c r="AC256" s="184">
        <v>2000</v>
      </c>
      <c r="AD256" s="184">
        <v>2000</v>
      </c>
      <c r="AE256" s="184">
        <v>1920</v>
      </c>
      <c r="AF256" s="184">
        <v>1860</v>
      </c>
      <c r="AG256" s="184">
        <v>1860</v>
      </c>
      <c r="AH256" s="184">
        <v>1860</v>
      </c>
      <c r="AI256" s="184">
        <v>1860</v>
      </c>
      <c r="AJ256" s="184">
        <v>1860</v>
      </c>
      <c r="AK256" s="184">
        <v>1860</v>
      </c>
      <c r="AL256" s="184">
        <v>1860</v>
      </c>
      <c r="AM256" s="184">
        <v>1860</v>
      </c>
      <c r="AN256" s="184">
        <v>1830</v>
      </c>
      <c r="AO256" s="184">
        <v>1780</v>
      </c>
      <c r="AP256" s="184">
        <v>1780</v>
      </c>
      <c r="AQ256" s="184">
        <v>1780</v>
      </c>
      <c r="AR256" s="184">
        <v>1780</v>
      </c>
      <c r="AS256" s="184">
        <v>1780</v>
      </c>
      <c r="AT256" s="184">
        <v>1780</v>
      </c>
      <c r="AU256" s="184">
        <v>1780</v>
      </c>
      <c r="AV256" s="184">
        <v>1780</v>
      </c>
      <c r="AW256" s="184">
        <v>1730</v>
      </c>
      <c r="AX256" s="184">
        <v>1730</v>
      </c>
      <c r="AY256" s="184">
        <v>1730</v>
      </c>
      <c r="AZ256" s="184"/>
      <c r="BA256" s="184"/>
      <c r="BB256" s="184"/>
      <c r="BC256" s="184"/>
      <c r="BD256" s="184"/>
      <c r="BE256" s="184"/>
      <c r="BF256" s="184"/>
      <c r="BG256" s="184"/>
      <c r="BH256" s="184"/>
      <c r="BI256" s="184"/>
      <c r="BJ256" s="184"/>
      <c r="BK256" s="184"/>
      <c r="BL256" s="184"/>
      <c r="BM256" s="184"/>
      <c r="BN256" s="184"/>
      <c r="BO256" s="184"/>
      <c r="BP256" s="184"/>
      <c r="BQ256" s="184"/>
      <c r="BR256" s="184"/>
      <c r="BS256" s="184"/>
      <c r="BT256" s="184"/>
      <c r="BU256" s="146" cm="1">
        <f t="array" ref="BU256">LOOKUP(2,1/(Y256:BT256&lt;&gt;""),Y256:BH256)</f>
        <v>1730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45717</v>
      </c>
      <c r="BW256" s="211" t="e" cm="1">
        <f t="array" ref="BW256">(LOOKUP(2,1/(BH256:BT256&lt;&gt;""),BH256:BT256))/(INDEX(BH256:BT256,MATCH(TRUE,INDEX((BH256:BT256&lt;&gt;0),0),0)))-1</f>
        <v>#N/A</v>
      </c>
      <c r="BX256" s="212">
        <f t="shared" ref="BX256:BX319" si="83">BU256/1000</f>
        <v>1.73</v>
      </c>
      <c r="BY256" s="212">
        <f t="shared" si="82"/>
        <v>10.207000000000001</v>
      </c>
      <c r="BZ256" s="212">
        <f ca="1">IF(L256="BR",'Impostos e Frete'!$F$6,IF(L256="EU",'Impostos e Frete'!$I$3,IF(L256="CN",'Impostos e Frete'!$I$4,IF(L256="JP",'Impostos e Frete'!$I$5,IF(L256="RU",'Impostos e Frete'!$I$7,"ERRO")))))</f>
        <v>1.11958</v>
      </c>
      <c r="CA256" s="212">
        <f>VLOOKUP(L256,'Impostos e Frete'!$A$3:$B$7,2,0)*'Preços e Condições'!BY256</f>
        <v>1.4289800000000001</v>
      </c>
      <c r="CB256" s="147">
        <f t="shared" ref="CB256:CB319" si="84">IF(R256="CFR",$CB$2,IF(R256="FOB",0,IF(R256="EXW",$CB$1,"ERRO")))</f>
        <v>0</v>
      </c>
      <c r="CC256" s="147">
        <f>IF(X256="BRL",'Impostos e Frete'!$B$11,'Impostos e Frete'!$B$12)</f>
        <v>9.1999999999999998E-2</v>
      </c>
      <c r="CD256" s="213">
        <f t="shared" ref="CD256:CD319" ca="1" si="85">SUM(BY256:CC256)</f>
        <v>12.84756</v>
      </c>
      <c r="CE256" s="214">
        <f t="shared" ref="CE256:CE319" ca="1" si="86">IF(C256="","erro",(CD256/1000)*C256)</f>
        <v>1.0278048</v>
      </c>
      <c r="CF256" s="215">
        <f>VLOOKUP(L256,'Impostos e Frete'!$A$3:$C$7,3,0)</f>
        <v>120</v>
      </c>
      <c r="CG256" s="215">
        <f t="shared" ref="CG256:CG319" si="87">M256</f>
        <v>90</v>
      </c>
      <c r="CH256" s="215">
        <f t="shared" ref="CH256:CH319" si="88">CG256-CF256</f>
        <v>-30</v>
      </c>
      <c r="CI256" s="216">
        <f t="shared" ref="CI256:CI319" ca="1" si="89">CD256*(1+VALUE($CI$2))^((CH256*-1)/30)-CD256</f>
        <v>0.19271339999999881</v>
      </c>
      <c r="CJ256" s="217">
        <f t="shared" ref="CJ256:CJ319" ca="1" si="90">CD256+CI256</f>
        <v>13.040273399999998</v>
      </c>
      <c r="CK256" s="218">
        <f t="shared" ref="CK256:CK319" ca="1" si="91">IF(C256="","erro",(CJ256/1000)*C256)</f>
        <v>1.0432218719999999</v>
      </c>
    </row>
    <row r="257" spans="1:89">
      <c r="A257" s="176">
        <v>18415</v>
      </c>
      <c r="B257" s="177">
        <v>104</v>
      </c>
      <c r="C257" s="178">
        <v>80</v>
      </c>
      <c r="D257" s="178">
        <v>1855</v>
      </c>
      <c r="E257" s="178" t="s">
        <v>49</v>
      </c>
      <c r="F257" s="179" t="s">
        <v>0</v>
      </c>
      <c r="G257" s="180" t="s">
        <v>71</v>
      </c>
      <c r="H257" s="178" t="s">
        <v>43</v>
      </c>
      <c r="I257" s="178"/>
      <c r="J257" s="178"/>
      <c r="K257" s="178"/>
      <c r="L257" s="178" t="s">
        <v>60</v>
      </c>
      <c r="M257" s="178">
        <v>90</v>
      </c>
      <c r="N257" s="178">
        <v>3300</v>
      </c>
      <c r="O257" s="178"/>
      <c r="P257" s="178"/>
      <c r="Q257" s="178"/>
      <c r="R257" s="178" t="s">
        <v>19</v>
      </c>
      <c r="S257" s="181"/>
      <c r="T257" s="181"/>
      <c r="U257" s="182"/>
      <c r="V257" s="182" t="s">
        <v>35</v>
      </c>
      <c r="W257" s="183">
        <v>100</v>
      </c>
      <c r="X257" s="182" t="s">
        <v>267</v>
      </c>
      <c r="Y257" s="184"/>
      <c r="Z257" s="184"/>
      <c r="AA257" s="184"/>
      <c r="AB257" s="184"/>
      <c r="AC257" s="184"/>
      <c r="AD257" s="184"/>
      <c r="AE257" s="184"/>
      <c r="AF257" s="184"/>
      <c r="AG257" s="184"/>
      <c r="AH257" s="184"/>
      <c r="AI257" s="184"/>
      <c r="AJ257" s="184"/>
      <c r="AK257" s="184"/>
      <c r="AL257" s="184"/>
      <c r="AM257" s="184"/>
      <c r="AN257" s="184"/>
      <c r="AO257" s="184"/>
      <c r="AP257" s="184"/>
      <c r="AQ257" s="184"/>
      <c r="AR257" s="184"/>
      <c r="AS257" s="184"/>
      <c r="AT257" s="184"/>
      <c r="AU257" s="184"/>
      <c r="AV257" s="184">
        <v>13400</v>
      </c>
      <c r="AW257" s="184">
        <v>13400</v>
      </c>
      <c r="AX257" s="184">
        <v>13400</v>
      </c>
      <c r="AY257" s="184">
        <v>13400</v>
      </c>
      <c r="AZ257" s="184">
        <v>13400</v>
      </c>
      <c r="BA257" s="184">
        <v>13400</v>
      </c>
      <c r="BB257" s="184">
        <v>12400</v>
      </c>
      <c r="BC257" s="184">
        <v>12400</v>
      </c>
      <c r="BD257" s="184">
        <v>12400</v>
      </c>
      <c r="BE257" s="184">
        <v>12400</v>
      </c>
      <c r="BF257" s="184">
        <v>12400</v>
      </c>
      <c r="BG257" s="184">
        <v>11650</v>
      </c>
      <c r="BH257" s="184">
        <v>11650</v>
      </c>
      <c r="BI257" s="184">
        <v>11650</v>
      </c>
      <c r="BJ257" s="184"/>
      <c r="BK257" s="184"/>
      <c r="BL257" s="184"/>
      <c r="BM257" s="184"/>
      <c r="BN257" s="184"/>
      <c r="BO257" s="184"/>
      <c r="BP257" s="184"/>
      <c r="BQ257" s="184"/>
      <c r="BR257" s="184"/>
      <c r="BS257" s="184"/>
      <c r="BT257" s="184"/>
      <c r="BU257" s="146" cm="1">
        <f t="array" ref="BU257">LOOKUP(2,1/(Y257:BT257&lt;&gt;""),Y257:BH257)</f>
        <v>11650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46023</v>
      </c>
      <c r="BW257" s="211" cm="1">
        <f t="array" ref="BW257">(LOOKUP(2,1/(BH257:BT257&lt;&gt;""),BH257:BT257))/(INDEX(BH257:BT257,MATCH(TRUE,INDEX((BH257:BT257&lt;&gt;0),0),0)))-1</f>
        <v>0</v>
      </c>
      <c r="BX257" s="212">
        <f t="shared" si="83"/>
        <v>11.65</v>
      </c>
      <c r="BY257" s="212">
        <f t="shared" si="82"/>
        <v>8.7375000000000007</v>
      </c>
      <c r="BZ257" s="212">
        <f ca="1">IF(L257="BR",'Impostos e Frete'!$F$6,IF(L257="EU",'Impostos e Frete'!$I$3,IF(L257="CN",'Impostos e Frete'!$I$4,IF(L257="JP",'Impostos e Frete'!$I$5,IF(L257="RU",'Impostos e Frete'!$I$7,"ERRO")))))</f>
        <v>1.11958</v>
      </c>
      <c r="CA257" s="212">
        <f>VLOOKUP(L257,'Impostos e Frete'!$A$3:$B$7,2,0)*'Preços e Condições'!BY257</f>
        <v>1.2232500000000002</v>
      </c>
      <c r="CB257" s="147">
        <f t="shared" si="84"/>
        <v>0</v>
      </c>
      <c r="CC257" s="147">
        <f>IF(X257="BRL",'Impostos e Frete'!$B$11,'Impostos e Frete'!$B$12)</f>
        <v>9.1999999999999998E-2</v>
      </c>
      <c r="CD257" s="213">
        <f t="shared" ca="1" si="85"/>
        <v>11.172330000000001</v>
      </c>
      <c r="CE257" s="214">
        <f t="shared" ca="1" si="86"/>
        <v>0.89378640000000009</v>
      </c>
      <c r="CF257" s="215">
        <f>VLOOKUP(L257,'Impostos e Frete'!$A$3:$C$7,3,0)</f>
        <v>120</v>
      </c>
      <c r="CG257" s="215">
        <f t="shared" si="87"/>
        <v>90</v>
      </c>
      <c r="CH257" s="215">
        <f t="shared" si="88"/>
        <v>-30</v>
      </c>
      <c r="CI257" s="216">
        <f t="shared" ca="1" si="89"/>
        <v>0.1675849499999984</v>
      </c>
      <c r="CJ257" s="217">
        <f t="shared" ca="1" si="90"/>
        <v>11.339914949999999</v>
      </c>
      <c r="CK257" s="218">
        <f t="shared" ca="1" si="91"/>
        <v>0.90719319599999992</v>
      </c>
    </row>
    <row r="258" spans="1:89">
      <c r="A258" s="176">
        <v>18415</v>
      </c>
      <c r="B258" s="177">
        <v>104</v>
      </c>
      <c r="C258" s="178">
        <v>80</v>
      </c>
      <c r="D258" s="178">
        <v>1855</v>
      </c>
      <c r="E258" s="178" t="s">
        <v>49</v>
      </c>
      <c r="F258" s="179" t="s">
        <v>0</v>
      </c>
      <c r="G258" s="180" t="s">
        <v>71</v>
      </c>
      <c r="H258" s="178" t="s">
        <v>43</v>
      </c>
      <c r="I258" s="178"/>
      <c r="J258" s="178"/>
      <c r="K258" s="178"/>
      <c r="L258" s="178" t="s">
        <v>60</v>
      </c>
      <c r="M258" s="178">
        <v>90</v>
      </c>
      <c r="N258" s="178">
        <v>400</v>
      </c>
      <c r="O258" s="178"/>
      <c r="P258" s="178"/>
      <c r="Q258" s="178"/>
      <c r="R258" s="178" t="s">
        <v>19</v>
      </c>
      <c r="S258" s="181"/>
      <c r="T258" s="181"/>
      <c r="U258" s="182"/>
      <c r="V258" s="182" t="s">
        <v>35</v>
      </c>
      <c r="W258" s="183">
        <v>100</v>
      </c>
      <c r="X258" s="182" t="s">
        <v>51</v>
      </c>
      <c r="Y258" s="184">
        <v>2000</v>
      </c>
      <c r="Z258" s="184">
        <v>2000</v>
      </c>
      <c r="AA258" s="184">
        <v>2000</v>
      </c>
      <c r="AB258" s="184">
        <v>2000</v>
      </c>
      <c r="AC258" s="184">
        <v>2000</v>
      </c>
      <c r="AD258" s="184">
        <v>2000</v>
      </c>
      <c r="AE258" s="184">
        <v>1920</v>
      </c>
      <c r="AF258" s="184">
        <v>1860</v>
      </c>
      <c r="AG258" s="184">
        <v>1860</v>
      </c>
      <c r="AH258" s="184">
        <v>1860</v>
      </c>
      <c r="AI258" s="184">
        <v>1860</v>
      </c>
      <c r="AJ258" s="184">
        <v>1860</v>
      </c>
      <c r="AK258" s="184">
        <v>1860</v>
      </c>
      <c r="AL258" s="184">
        <v>1860</v>
      </c>
      <c r="AM258" s="184">
        <v>1860</v>
      </c>
      <c r="AN258" s="184">
        <v>1830</v>
      </c>
      <c r="AO258" s="184">
        <v>1780</v>
      </c>
      <c r="AP258" s="184">
        <v>1780</v>
      </c>
      <c r="AQ258" s="184">
        <v>1780</v>
      </c>
      <c r="AR258" s="184">
        <v>1780</v>
      </c>
      <c r="AS258" s="184">
        <v>1780</v>
      </c>
      <c r="AT258" s="184">
        <v>1780</v>
      </c>
      <c r="AU258" s="184">
        <v>1780</v>
      </c>
      <c r="AV258" s="184">
        <v>1780</v>
      </c>
      <c r="AW258" s="184">
        <v>1730</v>
      </c>
      <c r="AX258" s="184">
        <v>1730</v>
      </c>
      <c r="AY258" s="184">
        <v>1730</v>
      </c>
      <c r="AZ258" s="184"/>
      <c r="BA258" s="184"/>
      <c r="BB258" s="184"/>
      <c r="BC258" s="184"/>
      <c r="BD258" s="184"/>
      <c r="BE258" s="184"/>
      <c r="BF258" s="184"/>
      <c r="BG258" s="184"/>
      <c r="BH258" s="184"/>
      <c r="BI258" s="184"/>
      <c r="BJ258" s="184"/>
      <c r="BK258" s="184"/>
      <c r="BL258" s="184"/>
      <c r="BM258" s="184"/>
      <c r="BN258" s="184"/>
      <c r="BO258" s="184"/>
      <c r="BP258" s="184"/>
      <c r="BQ258" s="184"/>
      <c r="BR258" s="184"/>
      <c r="BS258" s="184"/>
      <c r="BT258" s="184"/>
      <c r="BU258" s="146" cm="1">
        <f t="array" ref="BU258">LOOKUP(2,1/(Y258:BT258&lt;&gt;""),Y258:BH258)</f>
        <v>1730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45717</v>
      </c>
      <c r="BW258" s="211" t="e" cm="1">
        <f t="array" ref="BW258">(LOOKUP(2,1/(BH258:BT258&lt;&gt;""),BH258:BT258))/(INDEX(BH258:BT258,MATCH(TRUE,INDEX((BH258:BT258&lt;&gt;0),0),0)))-1</f>
        <v>#N/A</v>
      </c>
      <c r="BX258" s="212">
        <f t="shared" si="83"/>
        <v>1.73</v>
      </c>
      <c r="BY258" s="212">
        <f t="shared" si="82"/>
        <v>10.207000000000001</v>
      </c>
      <c r="BZ258" s="212">
        <f ca="1">IF(L258="BR",'Impostos e Frete'!$F$6,IF(L258="EU",'Impostos e Frete'!$I$3,IF(L258="CN",'Impostos e Frete'!$I$4,IF(L258="JP",'Impostos e Frete'!$I$5,IF(L258="RU",'Impostos e Frete'!$I$7,"ERRO")))))</f>
        <v>1.11958</v>
      </c>
      <c r="CA258" s="212">
        <f>VLOOKUP(L258,'Impostos e Frete'!$A$3:$B$7,2,0)*'Preços e Condições'!BY258</f>
        <v>1.4289800000000001</v>
      </c>
      <c r="CB258" s="147">
        <f t="shared" si="84"/>
        <v>0</v>
      </c>
      <c r="CC258" s="147">
        <f>IF(X258="BRL",'Impostos e Frete'!$B$11,'Impostos e Frete'!$B$12)</f>
        <v>9.1999999999999998E-2</v>
      </c>
      <c r="CD258" s="213">
        <f t="shared" ca="1" si="85"/>
        <v>12.84756</v>
      </c>
      <c r="CE258" s="214">
        <f t="shared" ca="1" si="86"/>
        <v>1.0278048</v>
      </c>
      <c r="CF258" s="215">
        <f>VLOOKUP(L258,'Impostos e Frete'!$A$3:$C$7,3,0)</f>
        <v>120</v>
      </c>
      <c r="CG258" s="215">
        <f t="shared" si="87"/>
        <v>90</v>
      </c>
      <c r="CH258" s="215">
        <f t="shared" si="88"/>
        <v>-30</v>
      </c>
      <c r="CI258" s="216">
        <f t="shared" ca="1" si="89"/>
        <v>0.19271339999999881</v>
      </c>
      <c r="CJ258" s="217">
        <f t="shared" ca="1" si="90"/>
        <v>13.040273399999998</v>
      </c>
      <c r="CK258" s="218">
        <f t="shared" ca="1" si="91"/>
        <v>1.0432218719999999</v>
      </c>
    </row>
    <row r="259" spans="1:89">
      <c r="A259" s="176">
        <v>18405</v>
      </c>
      <c r="B259" s="177">
        <v>104</v>
      </c>
      <c r="C259" s="178">
        <v>80</v>
      </c>
      <c r="D259" s="178">
        <v>1270</v>
      </c>
      <c r="E259" s="178" t="s">
        <v>49</v>
      </c>
      <c r="F259" s="179" t="s">
        <v>0</v>
      </c>
      <c r="G259" s="180" t="s">
        <v>71</v>
      </c>
      <c r="H259" s="178" t="s">
        <v>43</v>
      </c>
      <c r="I259" s="178"/>
      <c r="J259" s="178"/>
      <c r="K259" s="178"/>
      <c r="L259" s="178" t="s">
        <v>60</v>
      </c>
      <c r="M259" s="178">
        <v>90</v>
      </c>
      <c r="N259" s="178">
        <v>3300</v>
      </c>
      <c r="O259" s="178"/>
      <c r="P259" s="178"/>
      <c r="Q259" s="178"/>
      <c r="R259" s="178" t="s">
        <v>19</v>
      </c>
      <c r="S259" s="181"/>
      <c r="T259" s="181"/>
      <c r="U259" s="182"/>
      <c r="V259" s="182" t="s">
        <v>35</v>
      </c>
      <c r="W259" s="183">
        <v>100</v>
      </c>
      <c r="X259" s="182" t="s">
        <v>267</v>
      </c>
      <c r="Y259" s="184"/>
      <c r="Z259" s="184"/>
      <c r="AA259" s="184"/>
      <c r="AB259" s="184"/>
      <c r="AC259" s="184"/>
      <c r="AD259" s="184"/>
      <c r="AE259" s="184"/>
      <c r="AF259" s="184"/>
      <c r="AG259" s="184"/>
      <c r="AH259" s="184"/>
      <c r="AI259" s="184"/>
      <c r="AJ259" s="184"/>
      <c r="AK259" s="184"/>
      <c r="AL259" s="184"/>
      <c r="AM259" s="184"/>
      <c r="AN259" s="184"/>
      <c r="AO259" s="184"/>
      <c r="AP259" s="184"/>
      <c r="AQ259" s="184"/>
      <c r="AR259" s="184"/>
      <c r="AS259" s="184"/>
      <c r="AT259" s="184"/>
      <c r="AU259" s="184"/>
      <c r="AV259" s="184">
        <v>13400</v>
      </c>
      <c r="AW259" s="184">
        <v>13400</v>
      </c>
      <c r="AX259" s="184">
        <v>13400</v>
      </c>
      <c r="AY259" s="184">
        <v>13400</v>
      </c>
      <c r="AZ259" s="184">
        <v>13400</v>
      </c>
      <c r="BA259" s="184">
        <v>13400</v>
      </c>
      <c r="BB259" s="184">
        <v>12400</v>
      </c>
      <c r="BC259" s="184">
        <v>12400</v>
      </c>
      <c r="BD259" s="184">
        <v>12400</v>
      </c>
      <c r="BE259" s="184">
        <v>12400</v>
      </c>
      <c r="BF259" s="184">
        <v>12400</v>
      </c>
      <c r="BG259" s="184">
        <v>11650</v>
      </c>
      <c r="BH259" s="184">
        <v>11650</v>
      </c>
      <c r="BI259" s="184">
        <v>11650</v>
      </c>
      <c r="BJ259" s="184"/>
      <c r="BK259" s="184"/>
      <c r="BL259" s="184"/>
      <c r="BM259" s="184"/>
      <c r="BN259" s="184"/>
      <c r="BO259" s="184"/>
      <c r="BP259" s="184"/>
      <c r="BQ259" s="184"/>
      <c r="BR259" s="184"/>
      <c r="BS259" s="184"/>
      <c r="BT259" s="184"/>
      <c r="BU259" s="146" cm="1">
        <f t="array" ref="BU259">LOOKUP(2,1/(Y259:BT259&lt;&gt;""),Y259:BH259)</f>
        <v>11650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46023</v>
      </c>
      <c r="BW259" s="211" cm="1">
        <f t="array" ref="BW259">(LOOKUP(2,1/(BH259:BT259&lt;&gt;""),BH259:BT259))/(INDEX(BH259:BT259,MATCH(TRUE,INDEX((BH259:BT259&lt;&gt;0),0),0)))-1</f>
        <v>0</v>
      </c>
      <c r="BX259" s="212">
        <f t="shared" si="83"/>
        <v>11.65</v>
      </c>
      <c r="BY259" s="212">
        <f t="shared" si="82"/>
        <v>8.7375000000000007</v>
      </c>
      <c r="BZ259" s="212">
        <f ca="1">IF(L259="BR",'Impostos e Frete'!$F$6,IF(L259="EU",'Impostos e Frete'!$I$3,IF(L259="CN",'Impostos e Frete'!$I$4,IF(L259="JP",'Impostos e Frete'!$I$5,IF(L259="RU",'Impostos e Frete'!$I$7,"ERRO")))))</f>
        <v>1.11958</v>
      </c>
      <c r="CA259" s="212">
        <f>VLOOKUP(L259,'Impostos e Frete'!$A$3:$B$7,2,0)*'Preços e Condições'!BY259</f>
        <v>1.2232500000000002</v>
      </c>
      <c r="CB259" s="147">
        <f t="shared" si="84"/>
        <v>0</v>
      </c>
      <c r="CC259" s="147">
        <f>IF(X259="BRL",'Impostos e Frete'!$B$11,'Impostos e Frete'!$B$12)</f>
        <v>9.1999999999999998E-2</v>
      </c>
      <c r="CD259" s="213">
        <f t="shared" ca="1" si="85"/>
        <v>11.172330000000001</v>
      </c>
      <c r="CE259" s="214">
        <f t="shared" ca="1" si="86"/>
        <v>0.89378640000000009</v>
      </c>
      <c r="CF259" s="215">
        <f>VLOOKUP(L259,'Impostos e Frete'!$A$3:$C$7,3,0)</f>
        <v>120</v>
      </c>
      <c r="CG259" s="215">
        <f t="shared" si="87"/>
        <v>90</v>
      </c>
      <c r="CH259" s="215">
        <f t="shared" si="88"/>
        <v>-30</v>
      </c>
      <c r="CI259" s="216">
        <f t="shared" ca="1" si="89"/>
        <v>0.1675849499999984</v>
      </c>
      <c r="CJ259" s="217">
        <f t="shared" ca="1" si="90"/>
        <v>11.339914949999999</v>
      </c>
      <c r="CK259" s="218">
        <f t="shared" ca="1" si="91"/>
        <v>0.90719319599999992</v>
      </c>
    </row>
    <row r="260" spans="1:89">
      <c r="A260" s="176">
        <v>18405</v>
      </c>
      <c r="B260" s="177">
        <v>104</v>
      </c>
      <c r="C260" s="178">
        <v>80</v>
      </c>
      <c r="D260" s="178">
        <v>1270</v>
      </c>
      <c r="E260" s="178" t="s">
        <v>49</v>
      </c>
      <c r="F260" s="179" t="s">
        <v>0</v>
      </c>
      <c r="G260" s="180" t="s">
        <v>71</v>
      </c>
      <c r="H260" s="178" t="s">
        <v>43</v>
      </c>
      <c r="I260" s="178"/>
      <c r="J260" s="178"/>
      <c r="K260" s="178"/>
      <c r="L260" s="178" t="s">
        <v>60</v>
      </c>
      <c r="M260" s="178">
        <v>90</v>
      </c>
      <c r="N260" s="178">
        <v>400</v>
      </c>
      <c r="O260" s="178"/>
      <c r="P260" s="178"/>
      <c r="Q260" s="178"/>
      <c r="R260" s="178" t="s">
        <v>19</v>
      </c>
      <c r="S260" s="181"/>
      <c r="T260" s="181"/>
      <c r="U260" s="182"/>
      <c r="V260" s="182" t="s">
        <v>35</v>
      </c>
      <c r="W260" s="183">
        <v>100</v>
      </c>
      <c r="X260" s="182" t="s">
        <v>51</v>
      </c>
      <c r="Y260" s="184">
        <v>2000</v>
      </c>
      <c r="Z260" s="184">
        <v>2000</v>
      </c>
      <c r="AA260" s="184">
        <v>2000</v>
      </c>
      <c r="AB260" s="184">
        <v>2000</v>
      </c>
      <c r="AC260" s="184">
        <v>2000</v>
      </c>
      <c r="AD260" s="184">
        <v>2000</v>
      </c>
      <c r="AE260" s="184">
        <v>1920</v>
      </c>
      <c r="AF260" s="184">
        <v>1860</v>
      </c>
      <c r="AG260" s="184">
        <v>1860</v>
      </c>
      <c r="AH260" s="184">
        <v>1860</v>
      </c>
      <c r="AI260" s="184">
        <v>1860</v>
      </c>
      <c r="AJ260" s="184">
        <v>1860</v>
      </c>
      <c r="AK260" s="184">
        <v>1860</v>
      </c>
      <c r="AL260" s="184">
        <v>1860</v>
      </c>
      <c r="AM260" s="184">
        <v>1860</v>
      </c>
      <c r="AN260" s="184">
        <v>1830</v>
      </c>
      <c r="AO260" s="184">
        <v>1780</v>
      </c>
      <c r="AP260" s="184">
        <v>1780</v>
      </c>
      <c r="AQ260" s="184">
        <v>1780</v>
      </c>
      <c r="AR260" s="184">
        <v>1780</v>
      </c>
      <c r="AS260" s="184">
        <v>1780</v>
      </c>
      <c r="AT260" s="184">
        <v>1780</v>
      </c>
      <c r="AU260" s="184">
        <v>1780</v>
      </c>
      <c r="AV260" s="184">
        <v>1780</v>
      </c>
      <c r="AW260" s="184">
        <v>1730</v>
      </c>
      <c r="AX260" s="184">
        <v>1730</v>
      </c>
      <c r="AY260" s="184">
        <v>1730</v>
      </c>
      <c r="AZ260" s="184"/>
      <c r="BA260" s="184"/>
      <c r="BB260" s="184"/>
      <c r="BC260" s="184"/>
      <c r="BD260" s="184"/>
      <c r="BE260" s="184"/>
      <c r="BF260" s="184"/>
      <c r="BG260" s="184"/>
      <c r="BH260" s="184"/>
      <c r="BI260" s="184"/>
      <c r="BJ260" s="184"/>
      <c r="BK260" s="184"/>
      <c r="BL260" s="184"/>
      <c r="BM260" s="184"/>
      <c r="BN260" s="184"/>
      <c r="BO260" s="184"/>
      <c r="BP260" s="184"/>
      <c r="BQ260" s="184"/>
      <c r="BR260" s="184"/>
      <c r="BS260" s="184"/>
      <c r="BT260" s="184"/>
      <c r="BU260" s="146" cm="1">
        <f t="array" ref="BU260">LOOKUP(2,1/(Y260:BT260&lt;&gt;""),Y260:BH260)</f>
        <v>1730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45717</v>
      </c>
      <c r="BW260" s="211" t="e" cm="1">
        <f t="array" ref="BW260">(LOOKUP(2,1/(BH260:BT260&lt;&gt;""),BH260:BT260))/(INDEX(BH260:BT260,MATCH(TRUE,INDEX((BH260:BT260&lt;&gt;0),0),0)))-1</f>
        <v>#N/A</v>
      </c>
      <c r="BX260" s="212">
        <f t="shared" si="83"/>
        <v>1.73</v>
      </c>
      <c r="BY260" s="212">
        <f t="shared" si="82"/>
        <v>10.207000000000001</v>
      </c>
      <c r="BZ260" s="212">
        <f ca="1">IF(L260="BR",'Impostos e Frete'!$F$6,IF(L260="EU",'Impostos e Frete'!$I$3,IF(L260="CN",'Impostos e Frete'!$I$4,IF(L260="JP",'Impostos e Frete'!$I$5,IF(L260="RU",'Impostos e Frete'!$I$7,"ERRO")))))</f>
        <v>1.11958</v>
      </c>
      <c r="CA260" s="212">
        <f>VLOOKUP(L260,'Impostos e Frete'!$A$3:$B$7,2,0)*'Preços e Condições'!BY260</f>
        <v>1.4289800000000001</v>
      </c>
      <c r="CB260" s="147">
        <f t="shared" si="84"/>
        <v>0</v>
      </c>
      <c r="CC260" s="147">
        <f>IF(X260="BRL",'Impostos e Frete'!$B$11,'Impostos e Frete'!$B$12)</f>
        <v>9.1999999999999998E-2</v>
      </c>
      <c r="CD260" s="213">
        <f t="shared" ca="1" si="85"/>
        <v>12.84756</v>
      </c>
      <c r="CE260" s="214">
        <f t="shared" ca="1" si="86"/>
        <v>1.0278048</v>
      </c>
      <c r="CF260" s="215">
        <f>VLOOKUP(L260,'Impostos e Frete'!$A$3:$C$7,3,0)</f>
        <v>120</v>
      </c>
      <c r="CG260" s="215">
        <f t="shared" si="87"/>
        <v>90</v>
      </c>
      <c r="CH260" s="215">
        <f t="shared" si="88"/>
        <v>-30</v>
      </c>
      <c r="CI260" s="216">
        <f t="shared" ca="1" si="89"/>
        <v>0.19271339999999881</v>
      </c>
      <c r="CJ260" s="217">
        <f t="shared" ca="1" si="90"/>
        <v>13.040273399999998</v>
      </c>
      <c r="CK260" s="218">
        <f t="shared" ca="1" si="91"/>
        <v>1.0432218719999999</v>
      </c>
    </row>
    <row r="261" spans="1:89">
      <c r="A261" s="176">
        <v>18407</v>
      </c>
      <c r="B261" s="177">
        <v>104</v>
      </c>
      <c r="C261" s="178">
        <v>80</v>
      </c>
      <c r="D261" s="178">
        <v>2175</v>
      </c>
      <c r="E261" s="178" t="s">
        <v>49</v>
      </c>
      <c r="F261" s="179" t="s">
        <v>0</v>
      </c>
      <c r="G261" s="180" t="s">
        <v>71</v>
      </c>
      <c r="H261" s="178" t="s">
        <v>43</v>
      </c>
      <c r="I261" s="178"/>
      <c r="J261" s="178"/>
      <c r="K261" s="178"/>
      <c r="L261" s="178" t="s">
        <v>60</v>
      </c>
      <c r="M261" s="178">
        <v>90</v>
      </c>
      <c r="N261" s="178">
        <v>3300</v>
      </c>
      <c r="O261" s="178"/>
      <c r="P261" s="178"/>
      <c r="Q261" s="178"/>
      <c r="R261" s="178" t="s">
        <v>19</v>
      </c>
      <c r="S261" s="181"/>
      <c r="T261" s="181"/>
      <c r="U261" s="182"/>
      <c r="V261" s="182" t="s">
        <v>35</v>
      </c>
      <c r="W261" s="183">
        <v>100</v>
      </c>
      <c r="X261" s="182" t="s">
        <v>267</v>
      </c>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v>13400</v>
      </c>
      <c r="AW261" s="184">
        <v>13400</v>
      </c>
      <c r="AX261" s="184">
        <v>13400</v>
      </c>
      <c r="AY261" s="184">
        <v>13400</v>
      </c>
      <c r="AZ261" s="184">
        <v>13400</v>
      </c>
      <c r="BA261" s="184">
        <v>13400</v>
      </c>
      <c r="BB261" s="184">
        <v>12400</v>
      </c>
      <c r="BC261" s="184">
        <v>12400</v>
      </c>
      <c r="BD261" s="184">
        <v>12400</v>
      </c>
      <c r="BE261" s="184">
        <v>12400</v>
      </c>
      <c r="BF261" s="184">
        <v>12400</v>
      </c>
      <c r="BG261" s="184">
        <v>11650</v>
      </c>
      <c r="BH261" s="184">
        <v>11650</v>
      </c>
      <c r="BI261" s="184">
        <v>11650</v>
      </c>
      <c r="BJ261" s="184"/>
      <c r="BK261" s="184"/>
      <c r="BL261" s="184"/>
      <c r="BM261" s="184"/>
      <c r="BN261" s="184"/>
      <c r="BO261" s="184"/>
      <c r="BP261" s="184"/>
      <c r="BQ261" s="184"/>
      <c r="BR261" s="184"/>
      <c r="BS261" s="184"/>
      <c r="BT261" s="184"/>
      <c r="BU261" s="146" cm="1">
        <f t="array" ref="BU261">LOOKUP(2,1/(Y261:BT261&lt;&gt;""),Y261:BH261)</f>
        <v>11650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46023</v>
      </c>
      <c r="BW261" s="211" cm="1">
        <f t="array" ref="BW261">(LOOKUP(2,1/(BH261:BT261&lt;&gt;""),BH261:BT261))/(INDEX(BH261:BT261,MATCH(TRUE,INDEX((BH261:BT261&lt;&gt;0),0),0)))-1</f>
        <v>0</v>
      </c>
      <c r="BX261" s="212">
        <f t="shared" si="83"/>
        <v>11.65</v>
      </c>
      <c r="BY261" s="212">
        <f t="shared" si="82"/>
        <v>8.7375000000000007</v>
      </c>
      <c r="BZ261" s="212">
        <f ca="1">IF(L261="BR",'Impostos e Frete'!$F$6,IF(L261="EU",'Impostos e Frete'!$I$3,IF(L261="CN",'Impostos e Frete'!$I$4,IF(L261="JP",'Impostos e Frete'!$I$5,IF(L261="RU",'Impostos e Frete'!$I$7,"ERRO")))))</f>
        <v>1.11958</v>
      </c>
      <c r="CA261" s="212">
        <f>VLOOKUP(L261,'Impostos e Frete'!$A$3:$B$7,2,0)*'Preços e Condições'!BY261</f>
        <v>1.2232500000000002</v>
      </c>
      <c r="CB261" s="147">
        <f t="shared" si="84"/>
        <v>0</v>
      </c>
      <c r="CC261" s="147">
        <f>IF(X261="BRL",'Impostos e Frete'!$B$11,'Impostos e Frete'!$B$12)</f>
        <v>9.1999999999999998E-2</v>
      </c>
      <c r="CD261" s="213">
        <f t="shared" ca="1" si="85"/>
        <v>11.172330000000001</v>
      </c>
      <c r="CE261" s="214">
        <f t="shared" ca="1" si="86"/>
        <v>0.89378640000000009</v>
      </c>
      <c r="CF261" s="215">
        <f>VLOOKUP(L261,'Impostos e Frete'!$A$3:$C$7,3,0)</f>
        <v>120</v>
      </c>
      <c r="CG261" s="215">
        <f t="shared" si="87"/>
        <v>90</v>
      </c>
      <c r="CH261" s="215">
        <f t="shared" si="88"/>
        <v>-30</v>
      </c>
      <c r="CI261" s="216">
        <f t="shared" ca="1" si="89"/>
        <v>0.1675849499999984</v>
      </c>
      <c r="CJ261" s="217">
        <f t="shared" ca="1" si="90"/>
        <v>11.339914949999999</v>
      </c>
      <c r="CK261" s="218">
        <f t="shared" ca="1" si="91"/>
        <v>0.90719319599999992</v>
      </c>
    </row>
    <row r="262" spans="1:89">
      <c r="A262" s="176">
        <v>18407</v>
      </c>
      <c r="B262" s="177">
        <v>104</v>
      </c>
      <c r="C262" s="178">
        <v>80</v>
      </c>
      <c r="D262" s="178">
        <v>2175</v>
      </c>
      <c r="E262" s="178" t="s">
        <v>49</v>
      </c>
      <c r="F262" s="179" t="s">
        <v>0</v>
      </c>
      <c r="G262" s="180" t="s">
        <v>71</v>
      </c>
      <c r="H262" s="178" t="s">
        <v>43</v>
      </c>
      <c r="I262" s="178"/>
      <c r="J262" s="178"/>
      <c r="K262" s="178"/>
      <c r="L262" s="178" t="s">
        <v>60</v>
      </c>
      <c r="M262" s="178">
        <v>90</v>
      </c>
      <c r="N262" s="178">
        <v>400</v>
      </c>
      <c r="O262" s="178"/>
      <c r="P262" s="178"/>
      <c r="Q262" s="178"/>
      <c r="R262" s="178" t="s">
        <v>19</v>
      </c>
      <c r="S262" s="181"/>
      <c r="T262" s="181"/>
      <c r="U262" s="182"/>
      <c r="V262" s="182" t="s">
        <v>35</v>
      </c>
      <c r="W262" s="183">
        <v>100</v>
      </c>
      <c r="X262" s="182" t="s">
        <v>51</v>
      </c>
      <c r="Y262" s="184">
        <v>2000</v>
      </c>
      <c r="Z262" s="184">
        <v>2000</v>
      </c>
      <c r="AA262" s="184">
        <v>2000</v>
      </c>
      <c r="AB262" s="184">
        <v>2000</v>
      </c>
      <c r="AC262" s="184">
        <v>2000</v>
      </c>
      <c r="AD262" s="184">
        <v>2000</v>
      </c>
      <c r="AE262" s="184">
        <v>1920</v>
      </c>
      <c r="AF262" s="184">
        <v>1860</v>
      </c>
      <c r="AG262" s="184">
        <v>1860</v>
      </c>
      <c r="AH262" s="184">
        <v>1860</v>
      </c>
      <c r="AI262" s="184">
        <v>1860</v>
      </c>
      <c r="AJ262" s="184">
        <v>1860</v>
      </c>
      <c r="AK262" s="184">
        <v>1860</v>
      </c>
      <c r="AL262" s="184">
        <v>1860</v>
      </c>
      <c r="AM262" s="184">
        <v>1860</v>
      </c>
      <c r="AN262" s="184">
        <v>1830</v>
      </c>
      <c r="AO262" s="184">
        <v>1780</v>
      </c>
      <c r="AP262" s="184">
        <v>1780</v>
      </c>
      <c r="AQ262" s="184">
        <v>1780</v>
      </c>
      <c r="AR262" s="184">
        <v>1780</v>
      </c>
      <c r="AS262" s="184">
        <v>1780</v>
      </c>
      <c r="AT262" s="184">
        <v>1780</v>
      </c>
      <c r="AU262" s="184">
        <v>1780</v>
      </c>
      <c r="AV262" s="184">
        <v>1780</v>
      </c>
      <c r="AW262" s="184">
        <v>1730</v>
      </c>
      <c r="AX262" s="184">
        <v>1730</v>
      </c>
      <c r="AY262" s="184">
        <v>1730</v>
      </c>
      <c r="AZ262" s="184"/>
      <c r="BA262" s="184"/>
      <c r="BB262" s="184"/>
      <c r="BC262" s="184"/>
      <c r="BD262" s="184"/>
      <c r="BE262" s="184"/>
      <c r="BF262" s="184"/>
      <c r="BG262" s="184"/>
      <c r="BH262" s="184"/>
      <c r="BI262" s="184"/>
      <c r="BJ262" s="184"/>
      <c r="BK262" s="184"/>
      <c r="BL262" s="184"/>
      <c r="BM262" s="184"/>
      <c r="BN262" s="184"/>
      <c r="BO262" s="184"/>
      <c r="BP262" s="184"/>
      <c r="BQ262" s="184"/>
      <c r="BR262" s="184"/>
      <c r="BS262" s="184"/>
      <c r="BT262" s="184"/>
      <c r="BU262" s="146" cm="1">
        <f t="array" ref="BU262">LOOKUP(2,1/(Y262:BT262&lt;&gt;""),Y262:BH262)</f>
        <v>1730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45717</v>
      </c>
      <c r="BW262" s="211" t="e" cm="1">
        <f t="array" ref="BW262">(LOOKUP(2,1/(BH262:BT262&lt;&gt;""),BH262:BT262))/(INDEX(BH262:BT262,MATCH(TRUE,INDEX((BH262:BT262&lt;&gt;0),0),0)))-1</f>
        <v>#N/A</v>
      </c>
      <c r="BX262" s="212">
        <f t="shared" si="83"/>
        <v>1.73</v>
      </c>
      <c r="BY262" s="212">
        <f t="shared" si="82"/>
        <v>10.207000000000001</v>
      </c>
      <c r="BZ262" s="212">
        <f ca="1">IF(L262="BR",'Impostos e Frete'!$F$6,IF(L262="EU",'Impostos e Frete'!$I$3,IF(L262="CN",'Impostos e Frete'!$I$4,IF(L262="JP",'Impostos e Frete'!$I$5,IF(L262="RU",'Impostos e Frete'!$I$7,"ERRO")))))</f>
        <v>1.11958</v>
      </c>
      <c r="CA262" s="212">
        <f>VLOOKUP(L262,'Impostos e Frete'!$A$3:$B$7,2,0)*'Preços e Condições'!BY262</f>
        <v>1.4289800000000001</v>
      </c>
      <c r="CB262" s="147">
        <f t="shared" si="84"/>
        <v>0</v>
      </c>
      <c r="CC262" s="147">
        <f>IF(X262="BRL",'Impostos e Frete'!$B$11,'Impostos e Frete'!$B$12)</f>
        <v>9.1999999999999998E-2</v>
      </c>
      <c r="CD262" s="213">
        <f t="shared" ca="1" si="85"/>
        <v>12.84756</v>
      </c>
      <c r="CE262" s="214">
        <f t="shared" ca="1" si="86"/>
        <v>1.0278048</v>
      </c>
      <c r="CF262" s="215">
        <f>VLOOKUP(L262,'Impostos e Frete'!$A$3:$C$7,3,0)</f>
        <v>120</v>
      </c>
      <c r="CG262" s="215">
        <f t="shared" si="87"/>
        <v>90</v>
      </c>
      <c r="CH262" s="215">
        <f t="shared" si="88"/>
        <v>-30</v>
      </c>
      <c r="CI262" s="216">
        <f t="shared" ca="1" si="89"/>
        <v>0.19271339999999881</v>
      </c>
      <c r="CJ262" s="217">
        <f t="shared" ca="1" si="90"/>
        <v>13.040273399999998</v>
      </c>
      <c r="CK262" s="218">
        <f t="shared" ca="1" si="91"/>
        <v>1.0432218719999999</v>
      </c>
    </row>
    <row r="263" spans="1:89">
      <c r="A263" s="176">
        <v>18413</v>
      </c>
      <c r="B263" s="177">
        <v>128</v>
      </c>
      <c r="C263" s="178">
        <v>65</v>
      </c>
      <c r="D263" s="178">
        <v>1870</v>
      </c>
      <c r="E263" s="178" t="s">
        <v>50</v>
      </c>
      <c r="F263" s="179" t="s">
        <v>0</v>
      </c>
      <c r="G263" s="180" t="s">
        <v>72</v>
      </c>
      <c r="H263" s="178" t="s">
        <v>43</v>
      </c>
      <c r="I263" s="178"/>
      <c r="J263" s="178"/>
      <c r="K263" s="178"/>
      <c r="L263" s="178" t="s">
        <v>60</v>
      </c>
      <c r="M263" s="178">
        <v>90</v>
      </c>
      <c r="N263" s="178">
        <v>3300</v>
      </c>
      <c r="O263" s="178"/>
      <c r="P263" s="178"/>
      <c r="Q263" s="178"/>
      <c r="R263" s="178" t="s">
        <v>19</v>
      </c>
      <c r="S263" s="181"/>
      <c r="T263" s="181"/>
      <c r="U263" s="182"/>
      <c r="V263" s="182" t="s">
        <v>35</v>
      </c>
      <c r="W263" s="183">
        <v>100</v>
      </c>
      <c r="X263" s="182" t="s">
        <v>267</v>
      </c>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v>12500</v>
      </c>
      <c r="AW263" s="184">
        <v>12500</v>
      </c>
      <c r="AX263" s="184">
        <v>12500</v>
      </c>
      <c r="AY263" s="184">
        <v>12500</v>
      </c>
      <c r="AZ263" s="184">
        <v>12500</v>
      </c>
      <c r="BA263" s="184">
        <v>12500</v>
      </c>
      <c r="BB263" s="184">
        <v>12500</v>
      </c>
      <c r="BC263" s="184">
        <v>12500</v>
      </c>
      <c r="BD263" s="184">
        <v>11900</v>
      </c>
      <c r="BE263" s="184">
        <v>11900</v>
      </c>
      <c r="BF263" s="184">
        <v>11900</v>
      </c>
      <c r="BG263" s="184">
        <v>10950</v>
      </c>
      <c r="BH263" s="184">
        <v>10950</v>
      </c>
      <c r="BI263" s="184">
        <v>10950</v>
      </c>
      <c r="BJ263" s="184"/>
      <c r="BK263" s="184"/>
      <c r="BL263" s="184"/>
      <c r="BM263" s="184"/>
      <c r="BN263" s="184"/>
      <c r="BO263" s="184"/>
      <c r="BP263" s="184"/>
      <c r="BQ263" s="184"/>
      <c r="BR263" s="184"/>
      <c r="BS263" s="184"/>
      <c r="BT263" s="184"/>
      <c r="BU263" s="146" cm="1">
        <f t="array" ref="BU263">LOOKUP(2,1/(Y263:BT263&lt;&gt;""),Y263:BH263)</f>
        <v>10950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46023</v>
      </c>
      <c r="BW263" s="211" cm="1">
        <f t="array" ref="BW263">(LOOKUP(2,1/(BH263:BT263&lt;&gt;""),BH263:BT263))/(INDEX(BH263:BT263,MATCH(TRUE,INDEX((BH263:BT263&lt;&gt;0),0),0)))-1</f>
        <v>0</v>
      </c>
      <c r="BX263" s="212">
        <f t="shared" si="83"/>
        <v>10.95</v>
      </c>
      <c r="BY263" s="212">
        <f t="shared" si="82"/>
        <v>8.2124999999999986</v>
      </c>
      <c r="BZ263" s="212">
        <f ca="1">IF(L263="BR",'Impostos e Frete'!$F$6,IF(L263="EU",'Impostos e Frete'!$I$3,IF(L263="CN",'Impostos e Frete'!$I$4,IF(L263="JP",'Impostos e Frete'!$I$5,IF(L263="RU",'Impostos e Frete'!$I$7,"ERRO")))))</f>
        <v>1.11958</v>
      </c>
      <c r="CA263" s="212">
        <f>VLOOKUP(L263,'Impostos e Frete'!$A$3:$B$7,2,0)*'Preços e Condições'!BY263</f>
        <v>1.1497499999999998</v>
      </c>
      <c r="CB263" s="147">
        <f t="shared" si="84"/>
        <v>0</v>
      </c>
      <c r="CC263" s="147">
        <f>IF(X263="BRL",'Impostos e Frete'!$B$11,'Impostos e Frete'!$B$12)</f>
        <v>9.1999999999999998E-2</v>
      </c>
      <c r="CD263" s="213">
        <f t="shared" ca="1" si="85"/>
        <v>10.573829999999997</v>
      </c>
      <c r="CE263" s="214">
        <f t="shared" ca="1" si="86"/>
        <v>0.68729894999999985</v>
      </c>
      <c r="CF263" s="215">
        <f>VLOOKUP(L263,'Impostos e Frete'!$A$3:$C$7,3,0)</f>
        <v>120</v>
      </c>
      <c r="CG263" s="215">
        <f t="shared" si="87"/>
        <v>90</v>
      </c>
      <c r="CH263" s="215">
        <f t="shared" si="88"/>
        <v>-30</v>
      </c>
      <c r="CI263" s="216">
        <f t="shared" ca="1" si="89"/>
        <v>0.1586074499999981</v>
      </c>
      <c r="CJ263" s="217">
        <f t="shared" ca="1" si="90"/>
        <v>10.732437449999995</v>
      </c>
      <c r="CK263" s="218">
        <f t="shared" ca="1" si="91"/>
        <v>0.69760843424999963</v>
      </c>
    </row>
    <row r="264" spans="1:89">
      <c r="A264" s="176">
        <v>18413</v>
      </c>
      <c r="B264" s="177">
        <v>128</v>
      </c>
      <c r="C264" s="178">
        <v>65</v>
      </c>
      <c r="D264" s="178">
        <v>1870</v>
      </c>
      <c r="E264" s="178" t="s">
        <v>50</v>
      </c>
      <c r="F264" s="179" t="s">
        <v>0</v>
      </c>
      <c r="G264" s="180" t="s">
        <v>72</v>
      </c>
      <c r="H264" s="178" t="s">
        <v>43</v>
      </c>
      <c r="I264" s="178"/>
      <c r="J264" s="178"/>
      <c r="K264" s="178"/>
      <c r="L264" s="178" t="s">
        <v>60</v>
      </c>
      <c r="M264" s="178">
        <v>90</v>
      </c>
      <c r="N264" s="178">
        <v>400</v>
      </c>
      <c r="O264" s="178"/>
      <c r="P264" s="178"/>
      <c r="Q264" s="178"/>
      <c r="R264" s="178" t="s">
        <v>19</v>
      </c>
      <c r="S264" s="181"/>
      <c r="T264" s="181"/>
      <c r="U264" s="182"/>
      <c r="V264" s="182" t="s">
        <v>35</v>
      </c>
      <c r="W264" s="183">
        <v>100</v>
      </c>
      <c r="X264" s="182" t="s">
        <v>51</v>
      </c>
      <c r="Y264" s="184">
        <v>1790</v>
      </c>
      <c r="Z264" s="184">
        <v>1790</v>
      </c>
      <c r="AA264" s="184">
        <v>1790</v>
      </c>
      <c r="AB264" s="184">
        <v>1790</v>
      </c>
      <c r="AC264" s="184">
        <v>1790</v>
      </c>
      <c r="AD264" s="184">
        <v>1790</v>
      </c>
      <c r="AE264" s="184">
        <v>1750</v>
      </c>
      <c r="AF264" s="184">
        <v>1750</v>
      </c>
      <c r="AG264" s="184">
        <v>1750</v>
      </c>
      <c r="AH264" s="184">
        <v>1750</v>
      </c>
      <c r="AI264" s="184">
        <v>1750</v>
      </c>
      <c r="AJ264" s="184">
        <v>1750</v>
      </c>
      <c r="AK264" s="184"/>
      <c r="AL264" s="184"/>
      <c r="AM264" s="184">
        <v>1750</v>
      </c>
      <c r="AN264" s="184">
        <v>1750</v>
      </c>
      <c r="AO264" s="184">
        <v>1750</v>
      </c>
      <c r="AP264" s="184">
        <v>1750</v>
      </c>
      <c r="AQ264" s="184">
        <v>1750</v>
      </c>
      <c r="AR264" s="184">
        <v>1750</v>
      </c>
      <c r="AS264" s="184">
        <v>1750</v>
      </c>
      <c r="AT264" s="184">
        <v>1750</v>
      </c>
      <c r="AU264" s="184">
        <v>1750</v>
      </c>
      <c r="AV264" s="184">
        <v>1750</v>
      </c>
      <c r="AW264" s="184">
        <v>1620</v>
      </c>
      <c r="AX264" s="184">
        <v>1620</v>
      </c>
      <c r="AY264" s="184">
        <v>1620</v>
      </c>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46" cm="1">
        <f t="array" ref="BU264">LOOKUP(2,1/(Y264:BT264&lt;&gt;""),Y264:BH264)</f>
        <v>1620</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45717</v>
      </c>
      <c r="BW264" s="211" t="e" cm="1">
        <f t="array" ref="BW264">(LOOKUP(2,1/(BH264:BT264&lt;&gt;""),BH264:BT264))/(INDEX(BH264:BT264,MATCH(TRUE,INDEX((BH264:BT264&lt;&gt;0),0),0)))-1</f>
        <v>#N/A</v>
      </c>
      <c r="BX264" s="212">
        <f t="shared" si="83"/>
        <v>1.62</v>
      </c>
      <c r="BY264" s="212">
        <f t="shared" si="82"/>
        <v>9.5580000000000016</v>
      </c>
      <c r="BZ264" s="212">
        <f ca="1">IF(L264="BR",'Impostos e Frete'!$F$6,IF(L264="EU",'Impostos e Frete'!$I$3,IF(L264="CN",'Impostos e Frete'!$I$4,IF(L264="JP",'Impostos e Frete'!$I$5,IF(L264="RU",'Impostos e Frete'!$I$7,"ERRO")))))</f>
        <v>1.11958</v>
      </c>
      <c r="CA264" s="212">
        <f>VLOOKUP(L264,'Impostos e Frete'!$A$3:$B$7,2,0)*'Preços e Condições'!BY264</f>
        <v>1.3381200000000004</v>
      </c>
      <c r="CB264" s="147">
        <f t="shared" si="84"/>
        <v>0</v>
      </c>
      <c r="CC264" s="147">
        <f>IF(X264="BRL",'Impostos e Frete'!$B$11,'Impostos e Frete'!$B$12)</f>
        <v>9.1999999999999998E-2</v>
      </c>
      <c r="CD264" s="213">
        <f t="shared" ca="1" si="85"/>
        <v>12.107700000000003</v>
      </c>
      <c r="CE264" s="214">
        <f t="shared" ca="1" si="86"/>
        <v>0.78700050000000021</v>
      </c>
      <c r="CF264" s="215">
        <f>VLOOKUP(L264,'Impostos e Frete'!$A$3:$C$7,3,0)</f>
        <v>120</v>
      </c>
      <c r="CG264" s="215">
        <f t="shared" si="87"/>
        <v>90</v>
      </c>
      <c r="CH264" s="215">
        <f t="shared" si="88"/>
        <v>-30</v>
      </c>
      <c r="CI264" s="216">
        <f t="shared" ca="1" si="89"/>
        <v>0.18161549999999949</v>
      </c>
      <c r="CJ264" s="217">
        <f t="shared" ca="1" si="90"/>
        <v>12.289315500000003</v>
      </c>
      <c r="CK264" s="218">
        <f t="shared" ca="1" si="91"/>
        <v>0.79880550750000012</v>
      </c>
    </row>
    <row r="265" spans="1:89">
      <c r="A265" s="176">
        <v>18412</v>
      </c>
      <c r="B265" s="186">
        <v>2</v>
      </c>
      <c r="C265" s="178">
        <v>80</v>
      </c>
      <c r="D265" s="178">
        <v>1865</v>
      </c>
      <c r="E265" s="178" t="s">
        <v>49</v>
      </c>
      <c r="F265" s="179" t="s">
        <v>0</v>
      </c>
      <c r="G265" s="180" t="s">
        <v>96</v>
      </c>
      <c r="H265" s="178" t="s">
        <v>43</v>
      </c>
      <c r="I265" s="178" t="s">
        <v>99</v>
      </c>
      <c r="J265" s="178"/>
      <c r="K265" s="178"/>
      <c r="L265" s="178" t="s">
        <v>60</v>
      </c>
      <c r="M265" s="178">
        <v>90</v>
      </c>
      <c r="N265" s="178">
        <v>3300</v>
      </c>
      <c r="O265" s="178"/>
      <c r="P265" s="178"/>
      <c r="Q265" s="178"/>
      <c r="R265" s="178" t="s">
        <v>19</v>
      </c>
      <c r="S265" s="181"/>
      <c r="T265" s="181"/>
      <c r="U265" s="182"/>
      <c r="V265" s="182" t="s">
        <v>35</v>
      </c>
      <c r="W265" s="183">
        <v>100</v>
      </c>
      <c r="X265" s="182" t="s">
        <v>267</v>
      </c>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v>15100</v>
      </c>
      <c r="AW265" s="184">
        <v>15100</v>
      </c>
      <c r="AX265" s="184">
        <v>15100</v>
      </c>
      <c r="AY265" s="184">
        <v>15100</v>
      </c>
      <c r="AZ265" s="184">
        <v>15100</v>
      </c>
      <c r="BA265" s="184">
        <v>15100</v>
      </c>
      <c r="BB265" s="184">
        <v>15100</v>
      </c>
      <c r="BC265" s="184">
        <v>15100</v>
      </c>
      <c r="BD265" s="184">
        <v>14500</v>
      </c>
      <c r="BE265" s="184">
        <v>14500</v>
      </c>
      <c r="BF265" s="184">
        <v>14500</v>
      </c>
      <c r="BG265" s="184">
        <v>14500</v>
      </c>
      <c r="BH265" s="184">
        <v>14500</v>
      </c>
      <c r="BI265" s="184">
        <v>14500</v>
      </c>
      <c r="BJ265" s="184"/>
      <c r="BK265" s="184"/>
      <c r="BL265" s="184"/>
      <c r="BM265" s="184"/>
      <c r="BN265" s="184"/>
      <c r="BO265" s="184"/>
      <c r="BP265" s="184"/>
      <c r="BQ265" s="184"/>
      <c r="BR265" s="184"/>
      <c r="BS265" s="184"/>
      <c r="BT265" s="184"/>
      <c r="BU265" s="146" cm="1">
        <f t="array" ref="BU265">LOOKUP(2,1/(Y265:BT265&lt;&gt;""),Y265:BH265)</f>
        <v>14500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46023</v>
      </c>
      <c r="BW265" s="211" cm="1">
        <f t="array" ref="BW265">(LOOKUP(2,1/(BH265:BT265&lt;&gt;""),BH265:BT265))/(INDEX(BH265:BT265,MATCH(TRUE,INDEX((BH265:BT265&lt;&gt;0),0),0)))-1</f>
        <v>0</v>
      </c>
      <c r="BX265" s="212">
        <f t="shared" si="83"/>
        <v>14.5</v>
      </c>
      <c r="BY265" s="212">
        <f t="shared" si="82"/>
        <v>10.875</v>
      </c>
      <c r="BZ265" s="212">
        <f ca="1">IF(L265="BR",'Impostos e Frete'!$F$6,IF(L265="EU",'Impostos e Frete'!$I$3,IF(L265="CN",'Impostos e Frete'!$I$4,IF(L265="JP",'Impostos e Frete'!$I$5,IF(L265="RU",'Impostos e Frete'!$I$7,"ERRO")))))</f>
        <v>1.11958</v>
      </c>
      <c r="CA265" s="212">
        <f>VLOOKUP(L265,'Impostos e Frete'!$A$3:$B$7,2,0)*'Preços e Condições'!BY265</f>
        <v>1.5225000000000002</v>
      </c>
      <c r="CB265" s="147">
        <f t="shared" si="84"/>
        <v>0</v>
      </c>
      <c r="CC265" s="147">
        <f>IF(X265="BRL",'Impostos e Frete'!$B$11,'Impostos e Frete'!$B$12)</f>
        <v>9.1999999999999998E-2</v>
      </c>
      <c r="CD265" s="213">
        <f t="shared" ca="1" si="85"/>
        <v>13.609080000000001</v>
      </c>
      <c r="CE265" s="214">
        <f t="shared" ca="1" si="86"/>
        <v>1.0887264000000001</v>
      </c>
      <c r="CF265" s="215">
        <f>VLOOKUP(L265,'Impostos e Frete'!$A$3:$C$7,3,0)</f>
        <v>120</v>
      </c>
      <c r="CG265" s="215">
        <f t="shared" si="87"/>
        <v>90</v>
      </c>
      <c r="CH265" s="215">
        <f t="shared" si="88"/>
        <v>-30</v>
      </c>
      <c r="CI265" s="216">
        <f t="shared" ca="1" si="89"/>
        <v>0.20413619999999888</v>
      </c>
      <c r="CJ265" s="217">
        <f t="shared" ca="1" si="90"/>
        <v>13.813216199999999</v>
      </c>
      <c r="CK265" s="218">
        <f t="shared" ca="1" si="91"/>
        <v>1.105057296</v>
      </c>
    </row>
    <row r="266" spans="1:89">
      <c r="A266" s="176">
        <v>18412</v>
      </c>
      <c r="B266" s="186">
        <v>2</v>
      </c>
      <c r="C266" s="178">
        <v>80</v>
      </c>
      <c r="D266" s="178">
        <v>1865</v>
      </c>
      <c r="E266" s="178" t="s">
        <v>49</v>
      </c>
      <c r="F266" s="179" t="s">
        <v>0</v>
      </c>
      <c r="G266" s="180" t="s">
        <v>96</v>
      </c>
      <c r="H266" s="178" t="s">
        <v>43</v>
      </c>
      <c r="I266" s="178" t="s">
        <v>99</v>
      </c>
      <c r="J266" s="178"/>
      <c r="K266" s="178"/>
      <c r="L266" s="178" t="s">
        <v>60</v>
      </c>
      <c r="M266" s="178">
        <v>90</v>
      </c>
      <c r="N266" s="178">
        <v>400</v>
      </c>
      <c r="O266" s="178"/>
      <c r="P266" s="178"/>
      <c r="Q266" s="178"/>
      <c r="R266" s="178" t="s">
        <v>19</v>
      </c>
      <c r="S266" s="181"/>
      <c r="T266" s="181"/>
      <c r="U266" s="182"/>
      <c r="V266" s="182" t="s">
        <v>35</v>
      </c>
      <c r="W266" s="183">
        <v>100</v>
      </c>
      <c r="X266" s="182" t="s">
        <v>51</v>
      </c>
      <c r="Y266" s="184"/>
      <c r="Z266" s="184"/>
      <c r="AA266" s="184"/>
      <c r="AB266" s="184"/>
      <c r="AC266" s="184"/>
      <c r="AD266" s="184"/>
      <c r="AE266" s="184">
        <v>2070</v>
      </c>
      <c r="AF266" s="184">
        <v>2070</v>
      </c>
      <c r="AG266" s="184">
        <v>2070</v>
      </c>
      <c r="AH266" s="184">
        <v>2070</v>
      </c>
      <c r="AI266" s="184">
        <v>2070</v>
      </c>
      <c r="AJ266" s="184">
        <v>2070</v>
      </c>
      <c r="AK266" s="184">
        <v>2070</v>
      </c>
      <c r="AL266" s="184">
        <v>2070</v>
      </c>
      <c r="AM266" s="184">
        <v>2070</v>
      </c>
      <c r="AN266" s="184">
        <v>2070</v>
      </c>
      <c r="AO266" s="184">
        <v>2070</v>
      </c>
      <c r="AP266" s="184">
        <v>2070</v>
      </c>
      <c r="AQ266" s="184">
        <v>2000</v>
      </c>
      <c r="AR266" s="184">
        <v>2000</v>
      </c>
      <c r="AS266" s="184">
        <v>2000</v>
      </c>
      <c r="AT266" s="184">
        <v>2000</v>
      </c>
      <c r="AU266" s="184">
        <v>2000</v>
      </c>
      <c r="AV266" s="184">
        <v>2000</v>
      </c>
      <c r="AW266" s="184">
        <v>1950</v>
      </c>
      <c r="AX266" s="184">
        <v>1950</v>
      </c>
      <c r="AY266" s="184">
        <v>1950</v>
      </c>
      <c r="AZ266" s="184">
        <v>1950</v>
      </c>
      <c r="BA266" s="184">
        <v>1950</v>
      </c>
      <c r="BB266" s="184">
        <v>1950</v>
      </c>
      <c r="BC266" s="184">
        <v>1950</v>
      </c>
      <c r="BD266" s="184"/>
      <c r="BE266" s="184"/>
      <c r="BF266" s="184"/>
      <c r="BG266" s="184"/>
      <c r="BH266" s="184"/>
      <c r="BI266" s="184"/>
      <c r="BJ266" s="184"/>
      <c r="BK266" s="184"/>
      <c r="BL266" s="184"/>
      <c r="BM266" s="184"/>
      <c r="BN266" s="184"/>
      <c r="BO266" s="184"/>
      <c r="BP266" s="184"/>
      <c r="BQ266" s="184"/>
      <c r="BR266" s="184"/>
      <c r="BS266" s="184"/>
      <c r="BT266" s="184"/>
      <c r="BU266" s="146" cm="1">
        <f t="array" ref="BU266">LOOKUP(2,1/(Y266:BT266&lt;&gt;""),Y266:BH266)</f>
        <v>1950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45839</v>
      </c>
      <c r="BW266" s="211" t="e" cm="1">
        <f t="array" ref="BW266">(LOOKUP(2,1/(BH266:BT266&lt;&gt;""),BH266:BT266))/(INDEX(BH266:BT266,MATCH(TRUE,INDEX((BH266:BT266&lt;&gt;0),0),0)))-1</f>
        <v>#N/A</v>
      </c>
      <c r="BX266" s="212">
        <f t="shared" si="83"/>
        <v>1.95</v>
      </c>
      <c r="BY266" s="212">
        <f t="shared" si="82"/>
        <v>11.505000000000001</v>
      </c>
      <c r="BZ266" s="212">
        <f ca="1">IF(L266="BR",'Impostos e Frete'!$F$6,IF(L266="EU",'Impostos e Frete'!$I$3,IF(L266="CN",'Impostos e Frete'!$I$4,IF(L266="JP",'Impostos e Frete'!$I$5,IF(L266="RU",'Impostos e Frete'!$I$7,"ERRO")))))</f>
        <v>1.11958</v>
      </c>
      <c r="CA266" s="212">
        <f>VLOOKUP(L266,'Impostos e Frete'!$A$3:$B$7,2,0)*'Preços e Condições'!BY266</f>
        <v>1.6107000000000002</v>
      </c>
      <c r="CB266" s="147">
        <f t="shared" si="84"/>
        <v>0</v>
      </c>
      <c r="CC266" s="147">
        <f>IF(X266="BRL",'Impostos e Frete'!$B$11,'Impostos e Frete'!$B$12)</f>
        <v>9.1999999999999998E-2</v>
      </c>
      <c r="CD266" s="213">
        <f t="shared" ca="1" si="85"/>
        <v>14.327280000000002</v>
      </c>
      <c r="CE266" s="214">
        <f t="shared" ca="1" si="86"/>
        <v>1.1461824</v>
      </c>
      <c r="CF266" s="215">
        <f>VLOOKUP(L266,'Impostos e Frete'!$A$3:$C$7,3,0)</f>
        <v>120</v>
      </c>
      <c r="CG266" s="215">
        <f t="shared" si="87"/>
        <v>90</v>
      </c>
      <c r="CH266" s="215">
        <f t="shared" si="88"/>
        <v>-30</v>
      </c>
      <c r="CI266" s="216">
        <f t="shared" ca="1" si="89"/>
        <v>0.21490919999999925</v>
      </c>
      <c r="CJ266" s="217">
        <f t="shared" ca="1" si="90"/>
        <v>14.542189200000001</v>
      </c>
      <c r="CK266" s="218">
        <f t="shared" ca="1" si="91"/>
        <v>1.1633751360000002</v>
      </c>
    </row>
    <row r="267" spans="1:89">
      <c r="A267" s="176">
        <v>18424</v>
      </c>
      <c r="B267" s="177">
        <v>308</v>
      </c>
      <c r="C267" s="178">
        <v>72</v>
      </c>
      <c r="D267" s="178">
        <v>1860</v>
      </c>
      <c r="E267" s="178"/>
      <c r="F267" s="179" t="s">
        <v>0</v>
      </c>
      <c r="G267" s="180" t="s">
        <v>144</v>
      </c>
      <c r="H267" s="178" t="s">
        <v>43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v>1600</v>
      </c>
      <c r="Z267" s="184">
        <v>1600</v>
      </c>
      <c r="AA267" s="184">
        <v>1600</v>
      </c>
      <c r="AB267" s="184">
        <v>1600</v>
      </c>
      <c r="AC267" s="184">
        <v>1600</v>
      </c>
      <c r="AD267" s="184">
        <v>1600</v>
      </c>
      <c r="AE267" s="184">
        <v>1600</v>
      </c>
      <c r="AF267" s="184">
        <v>1600</v>
      </c>
      <c r="AG267" s="184">
        <v>1600</v>
      </c>
      <c r="AH267" s="184">
        <v>1600</v>
      </c>
      <c r="AI267" s="184">
        <v>1600</v>
      </c>
      <c r="AJ267" s="184">
        <v>1600</v>
      </c>
      <c r="AK267" s="184"/>
      <c r="AL267" s="184"/>
      <c r="AM267" s="184"/>
      <c r="AN267" s="184"/>
      <c r="AO267" s="184"/>
      <c r="AP267" s="184"/>
      <c r="AQ267" s="184"/>
      <c r="AR267" s="184"/>
      <c r="AS267" s="184"/>
      <c r="AT267" s="184"/>
      <c r="AU267" s="184"/>
      <c r="AV267" s="184"/>
      <c r="AW267" s="184"/>
      <c r="AX267" s="184"/>
      <c r="AY267" s="184"/>
      <c r="AZ267" s="184"/>
      <c r="BA267" s="184"/>
      <c r="BB267" s="184"/>
      <c r="BC267" s="184"/>
      <c r="BD267" s="184"/>
      <c r="BE267" s="184"/>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1600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45261</v>
      </c>
      <c r="BW267" s="211" t="e" cm="1">
        <f t="array" ref="BW267">(LOOKUP(2,1/(BH267:BT267&lt;&gt;""),BH267:BT267))/(INDEX(BH267:BT267,MATCH(TRUE,INDEX((BH267:BT267&lt;&gt;0),0),0)))-1</f>
        <v>#N/A</v>
      </c>
      <c r="BX267" s="212">
        <f t="shared" si="83"/>
        <v>1.6</v>
      </c>
      <c r="BY267" s="212">
        <f t="shared" si="82"/>
        <v>9.4400000000000013</v>
      </c>
      <c r="BZ267" s="212">
        <f ca="1">IF(L267="BR",'Impostos e Frete'!$F$6,IF(L267="EU",'Impostos e Frete'!$I$3,IF(L267="CN",'Impostos e Frete'!$I$4,IF(L267="JP",'Impostos e Frete'!$I$5,IF(L267="RU",'Impostos e Frete'!$I$7,"ERRO")))))</f>
        <v>1.11958</v>
      </c>
      <c r="CA267" s="212">
        <f>VLOOKUP(L267,'Impostos e Frete'!$A$3:$B$7,2,0)*'Preços e Condições'!BY267</f>
        <v>1.3216000000000003</v>
      </c>
      <c r="CB267" s="147">
        <f t="shared" si="84"/>
        <v>0</v>
      </c>
      <c r="CC267" s="147">
        <f>IF(X267="BRL",'Impostos e Frete'!$B$11,'Impostos e Frete'!$B$12)</f>
        <v>9.1999999999999998E-2</v>
      </c>
      <c r="CD267" s="213">
        <f t="shared" ca="1" si="85"/>
        <v>11.973180000000001</v>
      </c>
      <c r="CE267" s="214">
        <f t="shared" ca="1" si="86"/>
        <v>0.86206896000000011</v>
      </c>
      <c r="CF267" s="215">
        <f>VLOOKUP(L267,'Impostos e Frete'!$A$3:$C$7,3,0)</f>
        <v>120</v>
      </c>
      <c r="CG267" s="215">
        <f t="shared" si="87"/>
        <v>90</v>
      </c>
      <c r="CH267" s="215">
        <f t="shared" si="88"/>
        <v>-30</v>
      </c>
      <c r="CI267" s="216">
        <f t="shared" ca="1" si="89"/>
        <v>0.17959769999999864</v>
      </c>
      <c r="CJ267" s="217">
        <f t="shared" ca="1" si="90"/>
        <v>12.1527777</v>
      </c>
      <c r="CK267" s="218">
        <f t="shared" ca="1" si="91"/>
        <v>0.87499999439999998</v>
      </c>
    </row>
    <row r="268" spans="1:89">
      <c r="A268" s="176">
        <v>18437</v>
      </c>
      <c r="B268" s="186">
        <v>86</v>
      </c>
      <c r="C268" s="178">
        <v>70</v>
      </c>
      <c r="D268" s="178">
        <v>1860</v>
      </c>
      <c r="E268" s="178" t="s">
        <v>49</v>
      </c>
      <c r="F268" s="179" t="s">
        <v>0</v>
      </c>
      <c r="G268" s="180" t="s">
        <v>340</v>
      </c>
      <c r="H268" s="178" t="s">
        <v>43</v>
      </c>
      <c r="I268" s="178" t="s">
        <v>100</v>
      </c>
      <c r="J268" s="178"/>
      <c r="K268" s="178"/>
      <c r="L268" s="178" t="s">
        <v>60</v>
      </c>
      <c r="M268" s="178">
        <v>90</v>
      </c>
      <c r="N268" s="178">
        <v>3300</v>
      </c>
      <c r="O268" s="178"/>
      <c r="P268" s="178"/>
      <c r="Q268" s="178"/>
      <c r="R268" s="178" t="s">
        <v>19</v>
      </c>
      <c r="S268" s="181"/>
      <c r="T268" s="181"/>
      <c r="U268" s="182"/>
      <c r="V268" s="182" t="s">
        <v>35</v>
      </c>
      <c r="W268" s="183">
        <v>100</v>
      </c>
      <c r="X268" s="182" t="s">
        <v>267</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12100</v>
      </c>
      <c r="AW268" s="184">
        <v>12100</v>
      </c>
      <c r="AX268" s="184">
        <v>12100</v>
      </c>
      <c r="AY268" s="184">
        <v>12100</v>
      </c>
      <c r="AZ268" s="184">
        <v>12100</v>
      </c>
      <c r="BA268" s="184">
        <v>12100</v>
      </c>
      <c r="BB268" s="184">
        <v>12100</v>
      </c>
      <c r="BC268" s="184">
        <v>12100</v>
      </c>
      <c r="BD268" s="184">
        <v>11600</v>
      </c>
      <c r="BE268" s="184">
        <v>11600</v>
      </c>
      <c r="BF268" s="184">
        <v>11600</v>
      </c>
      <c r="BG268" s="184">
        <v>11600</v>
      </c>
      <c r="BH268" s="184">
        <v>11600</v>
      </c>
      <c r="BI268" s="184">
        <v>11600</v>
      </c>
      <c r="BJ268" s="184"/>
      <c r="BK268" s="184"/>
      <c r="BL268" s="184"/>
      <c r="BM268" s="184"/>
      <c r="BN268" s="184"/>
      <c r="BO268" s="184"/>
      <c r="BP268" s="184"/>
      <c r="BQ268" s="184"/>
      <c r="BR268" s="184"/>
      <c r="BS268" s="184"/>
      <c r="BT268" s="184"/>
      <c r="BU268" s="146" cm="1">
        <f t="array" ref="BU268">LOOKUP(2,1/(Y268:BT268&lt;&gt;""),Y268:BH268)</f>
        <v>11600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11" cm="1">
        <f t="array" ref="BW268">(LOOKUP(2,1/(BH268:BT268&lt;&gt;""),BH268:BT268))/(INDEX(BH268:BT268,MATCH(TRUE,INDEX((BH268:BT268&lt;&gt;0),0),0)))-1</f>
        <v>0</v>
      </c>
      <c r="BX268" s="212">
        <f t="shared" si="83"/>
        <v>11.6</v>
      </c>
      <c r="BY268" s="212">
        <f t="shared" si="82"/>
        <v>8.6999999999999993</v>
      </c>
      <c r="BZ268" s="212">
        <f ca="1">IF(L268="BR",'Impostos e Frete'!$F$6,IF(L268="EU",'Impostos e Frete'!$I$3,IF(L268="CN",'Impostos e Frete'!$I$4,IF(L268="JP",'Impostos e Frete'!$I$5,IF(L268="RU",'Impostos e Frete'!$I$7,"ERRO")))))</f>
        <v>1.11958</v>
      </c>
      <c r="CA268" s="212">
        <f>VLOOKUP(L268,'Impostos e Frete'!$A$3:$B$7,2,0)*'Preços e Condições'!BY268</f>
        <v>1.218</v>
      </c>
      <c r="CB268" s="147">
        <f t="shared" si="84"/>
        <v>0</v>
      </c>
      <c r="CC268" s="147">
        <f>IF(X268="BRL",'Impostos e Frete'!$B$11,'Impostos e Frete'!$B$12)</f>
        <v>9.1999999999999998E-2</v>
      </c>
      <c r="CD268" s="213">
        <f t="shared" ca="1" si="85"/>
        <v>11.129579999999999</v>
      </c>
      <c r="CE268" s="214">
        <f t="shared" ca="1" si="86"/>
        <v>0.77907059999999984</v>
      </c>
      <c r="CF268" s="215">
        <f>VLOOKUP(L268,'Impostos e Frete'!$A$3:$C$7,3,0)</f>
        <v>120</v>
      </c>
      <c r="CG268" s="215">
        <f t="shared" si="87"/>
        <v>90</v>
      </c>
      <c r="CH268" s="215">
        <f t="shared" si="88"/>
        <v>-30</v>
      </c>
      <c r="CI268" s="216">
        <f t="shared" ca="1" si="89"/>
        <v>0.16694369999999914</v>
      </c>
      <c r="CJ268" s="217">
        <f t="shared" ca="1" si="90"/>
        <v>11.296523699999998</v>
      </c>
      <c r="CK268" s="218">
        <f t="shared" ca="1" si="91"/>
        <v>0.79075665899999992</v>
      </c>
    </row>
    <row r="269" spans="1:89">
      <c r="A269" s="176">
        <v>18437</v>
      </c>
      <c r="B269" s="186">
        <v>86</v>
      </c>
      <c r="C269" s="178">
        <v>70</v>
      </c>
      <c r="D269" s="178">
        <v>1860</v>
      </c>
      <c r="E269" s="178" t="s">
        <v>49</v>
      </c>
      <c r="F269" s="179" t="s">
        <v>0</v>
      </c>
      <c r="G269" s="180" t="s">
        <v>340</v>
      </c>
      <c r="H269" s="178" t="s">
        <v>43</v>
      </c>
      <c r="I269" s="178" t="s">
        <v>100</v>
      </c>
      <c r="J269" s="178"/>
      <c r="K269" s="178"/>
      <c r="L269" s="178" t="s">
        <v>60</v>
      </c>
      <c r="M269" s="178">
        <v>90</v>
      </c>
      <c r="N269" s="178">
        <v>400</v>
      </c>
      <c r="O269" s="178"/>
      <c r="P269" s="178"/>
      <c r="Q269" s="178"/>
      <c r="R269" s="178" t="s">
        <v>19</v>
      </c>
      <c r="S269" s="181"/>
      <c r="T269" s="181"/>
      <c r="U269" s="182"/>
      <c r="V269" s="182" t="s">
        <v>35</v>
      </c>
      <c r="W269" s="183">
        <v>100</v>
      </c>
      <c r="X269" s="182" t="s">
        <v>51</v>
      </c>
      <c r="Y269" s="184"/>
      <c r="Z269" s="184"/>
      <c r="AA269" s="184"/>
      <c r="AB269" s="184"/>
      <c r="AC269" s="184"/>
      <c r="AD269" s="184"/>
      <c r="AE269" s="184">
        <v>1920</v>
      </c>
      <c r="AF269" s="184">
        <v>1920</v>
      </c>
      <c r="AG269" s="184">
        <v>1920</v>
      </c>
      <c r="AH269" s="184">
        <v>1920</v>
      </c>
      <c r="AI269" s="184">
        <v>1920</v>
      </c>
      <c r="AJ269" s="184">
        <v>1920</v>
      </c>
      <c r="AK269" s="184"/>
      <c r="AL269" s="184"/>
      <c r="AM269" s="184"/>
      <c r="AN269" s="184"/>
      <c r="AO269" s="184"/>
      <c r="AP269" s="184"/>
      <c r="AQ269" s="184"/>
      <c r="AR269" s="184"/>
      <c r="AS269" s="184">
        <v>1723</v>
      </c>
      <c r="AT269" s="184"/>
      <c r="AU269" s="184"/>
      <c r="AV269" s="184"/>
      <c r="AW269" s="184">
        <v>1570</v>
      </c>
      <c r="AX269" s="184">
        <v>1570</v>
      </c>
      <c r="AY269" s="184">
        <v>1570</v>
      </c>
      <c r="AZ269" s="184"/>
      <c r="BA269" s="184"/>
      <c r="BB269" s="184"/>
      <c r="BC269" s="184"/>
      <c r="BD269" s="184">
        <v>1380</v>
      </c>
      <c r="BE269" s="184">
        <v>1380</v>
      </c>
      <c r="BF269" s="184">
        <v>1380</v>
      </c>
      <c r="BG269" s="184"/>
      <c r="BH269" s="184"/>
      <c r="BI269" s="184"/>
      <c r="BJ269" s="184"/>
      <c r="BK269" s="184"/>
      <c r="BL269" s="184"/>
      <c r="BM269" s="184"/>
      <c r="BN269" s="184"/>
      <c r="BO269" s="184"/>
      <c r="BP269" s="184"/>
      <c r="BQ269" s="184"/>
      <c r="BR269" s="184"/>
      <c r="BS269" s="184"/>
      <c r="BT269" s="184"/>
      <c r="BU269" s="146" cm="1">
        <f t="array" ref="BU269">LOOKUP(2,1/(Y269:BT269&lt;&gt;""),Y269:BH269)</f>
        <v>1380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45931</v>
      </c>
      <c r="BW269" s="211" t="e" cm="1">
        <f t="array" ref="BW269">(LOOKUP(2,1/(BH269:BT269&lt;&gt;""),BH269:BT269))/(INDEX(BH269:BT269,MATCH(TRUE,INDEX((BH269:BT269&lt;&gt;0),0),0)))-1</f>
        <v>#N/A</v>
      </c>
      <c r="BX269" s="212">
        <f t="shared" si="83"/>
        <v>1.38</v>
      </c>
      <c r="BY269" s="212">
        <f t="shared" si="82"/>
        <v>8.1419999999999995</v>
      </c>
      <c r="BZ269" s="212">
        <f ca="1">IF(L269="BR",'Impostos e Frete'!$F$6,IF(L269="EU",'Impostos e Frete'!$I$3,IF(L269="CN",'Impostos e Frete'!$I$4,IF(L269="JP",'Impostos e Frete'!$I$5,IF(L269="RU",'Impostos e Frete'!$I$7,"ERRO")))))</f>
        <v>1.11958</v>
      </c>
      <c r="CA269" s="212">
        <f>VLOOKUP(L269,'Impostos e Frete'!$A$3:$B$7,2,0)*'Preços e Condições'!BY269</f>
        <v>1.13988</v>
      </c>
      <c r="CB269" s="147">
        <f t="shared" si="84"/>
        <v>0</v>
      </c>
      <c r="CC269" s="147">
        <f>IF(X269="BRL",'Impostos e Frete'!$B$11,'Impostos e Frete'!$B$12)</f>
        <v>9.1999999999999998E-2</v>
      </c>
      <c r="CD269" s="213">
        <f t="shared" ca="1" si="85"/>
        <v>10.493459999999999</v>
      </c>
      <c r="CE269" s="214">
        <f t="shared" ca="1" si="86"/>
        <v>0.73454219999999992</v>
      </c>
      <c r="CF269" s="215">
        <f>VLOOKUP(L269,'Impostos e Frete'!$A$3:$C$7,3,0)</f>
        <v>120</v>
      </c>
      <c r="CG269" s="215">
        <f t="shared" si="87"/>
        <v>90</v>
      </c>
      <c r="CH269" s="215">
        <f t="shared" si="88"/>
        <v>-30</v>
      </c>
      <c r="CI269" s="216">
        <f t="shared" ca="1" si="89"/>
        <v>0.15740189999999821</v>
      </c>
      <c r="CJ269" s="217">
        <f t="shared" ca="1" si="90"/>
        <v>10.650861899999997</v>
      </c>
      <c r="CK269" s="218">
        <f t="shared" ca="1" si="91"/>
        <v>0.7455603329999998</v>
      </c>
    </row>
    <row r="270" spans="1:89">
      <c r="A270" s="176">
        <v>18423</v>
      </c>
      <c r="B270" s="177">
        <v>128</v>
      </c>
      <c r="C270" s="178">
        <v>65</v>
      </c>
      <c r="D270" s="178">
        <v>2175</v>
      </c>
      <c r="E270" s="178" t="s">
        <v>50</v>
      </c>
      <c r="F270" s="179" t="s">
        <v>0</v>
      </c>
      <c r="G270" s="180" t="s">
        <v>72</v>
      </c>
      <c r="H270" s="178" t="s">
        <v>43</v>
      </c>
      <c r="I270" s="178"/>
      <c r="J270" s="178"/>
      <c r="K270" s="178"/>
      <c r="L270" s="178" t="s">
        <v>60</v>
      </c>
      <c r="M270" s="178">
        <v>90</v>
      </c>
      <c r="N270" s="178">
        <v>3300</v>
      </c>
      <c r="O270" s="178"/>
      <c r="P270" s="178"/>
      <c r="Q270" s="178"/>
      <c r="R270" s="178" t="s">
        <v>19</v>
      </c>
      <c r="S270" s="181"/>
      <c r="T270" s="181"/>
      <c r="U270" s="182"/>
      <c r="V270" s="182" t="s">
        <v>35</v>
      </c>
      <c r="W270" s="183">
        <v>100</v>
      </c>
      <c r="X270" s="182" t="s">
        <v>267</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c r="AW270" s="184"/>
      <c r="AX270" s="184"/>
      <c r="AY270" s="184"/>
      <c r="AZ270" s="184"/>
      <c r="BA270" s="184"/>
      <c r="BB270" s="184"/>
      <c r="BC270" s="184">
        <v>12500</v>
      </c>
      <c r="BD270" s="184">
        <v>11900</v>
      </c>
      <c r="BE270" s="184">
        <v>11900</v>
      </c>
      <c r="BF270" s="184">
        <v>11900</v>
      </c>
      <c r="BG270" s="184">
        <v>10950</v>
      </c>
      <c r="BH270" s="184">
        <v>10950</v>
      </c>
      <c r="BI270" s="184">
        <v>10950</v>
      </c>
      <c r="BJ270" s="184"/>
      <c r="BK270" s="184"/>
      <c r="BL270" s="184"/>
      <c r="BM270" s="184"/>
      <c r="BN270" s="184"/>
      <c r="BO270" s="184"/>
      <c r="BP270" s="184"/>
      <c r="BQ270" s="184"/>
      <c r="BR270" s="184"/>
      <c r="BS270" s="184"/>
      <c r="BT270" s="184"/>
      <c r="BU270" s="146" cm="1">
        <f t="array" ref="BU270">LOOKUP(2,1/(Y270:BT270&lt;&gt;""),Y270:BH270)</f>
        <v>10950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11" cm="1">
        <f t="array" ref="BW270">(LOOKUP(2,1/(BH270:BT270&lt;&gt;""),BH270:BT270))/(INDEX(BH270:BT270,MATCH(TRUE,INDEX((BH270:BT270&lt;&gt;0),0),0)))-1</f>
        <v>0</v>
      </c>
      <c r="BX270" s="212">
        <f t="shared" si="83"/>
        <v>10.95</v>
      </c>
      <c r="BY270" s="212">
        <f t="shared" si="82"/>
        <v>8.2124999999999986</v>
      </c>
      <c r="BZ270" s="212">
        <f ca="1">IF(L270="BR",'Impostos e Frete'!$F$6,IF(L270="EU",'Impostos e Frete'!$I$3,IF(L270="CN",'Impostos e Frete'!$I$4,IF(L270="JP",'Impostos e Frete'!$I$5,IF(L270="RU",'Impostos e Frete'!$I$7,"ERRO")))))</f>
        <v>1.11958</v>
      </c>
      <c r="CA270" s="212">
        <f>VLOOKUP(L270,'Impostos e Frete'!$A$3:$B$7,2,0)*'Preços e Condições'!BY270</f>
        <v>1.1497499999999998</v>
      </c>
      <c r="CB270" s="147">
        <f t="shared" si="84"/>
        <v>0</v>
      </c>
      <c r="CC270" s="147">
        <f>IF(X270="BRL",'Impostos e Frete'!$B$11,'Impostos e Frete'!$B$12)</f>
        <v>9.1999999999999998E-2</v>
      </c>
      <c r="CD270" s="213">
        <f t="shared" ca="1" si="85"/>
        <v>10.573829999999997</v>
      </c>
      <c r="CE270" s="214">
        <f t="shared" ca="1" si="86"/>
        <v>0.68729894999999985</v>
      </c>
      <c r="CF270" s="215">
        <f>VLOOKUP(L270,'Impostos e Frete'!$A$3:$C$7,3,0)</f>
        <v>120</v>
      </c>
      <c r="CG270" s="215">
        <f t="shared" si="87"/>
        <v>90</v>
      </c>
      <c r="CH270" s="215">
        <f t="shared" si="88"/>
        <v>-30</v>
      </c>
      <c r="CI270" s="216">
        <f t="shared" ca="1" si="89"/>
        <v>0.1586074499999981</v>
      </c>
      <c r="CJ270" s="217">
        <f t="shared" ca="1" si="90"/>
        <v>10.732437449999995</v>
      </c>
      <c r="CK270" s="218">
        <f t="shared" ca="1" si="91"/>
        <v>0.69760843424999963</v>
      </c>
    </row>
    <row r="271" spans="1:89">
      <c r="A271" s="176">
        <v>18426</v>
      </c>
      <c r="B271" s="186">
        <v>86</v>
      </c>
      <c r="C271" s="178">
        <v>70</v>
      </c>
      <c r="D271" s="178">
        <v>1250</v>
      </c>
      <c r="E271" s="178" t="s">
        <v>49</v>
      </c>
      <c r="F271" s="179" t="s">
        <v>0</v>
      </c>
      <c r="G271" s="180" t="s">
        <v>340</v>
      </c>
      <c r="H271" s="178" t="s">
        <v>43</v>
      </c>
      <c r="I271" s="178" t="s">
        <v>100</v>
      </c>
      <c r="J271" s="178"/>
      <c r="K271" s="178"/>
      <c r="L271" s="178" t="s">
        <v>60</v>
      </c>
      <c r="M271" s="178">
        <v>90</v>
      </c>
      <c r="N271" s="178">
        <v>3300</v>
      </c>
      <c r="O271" s="178"/>
      <c r="P271" s="178"/>
      <c r="Q271" s="178"/>
      <c r="R271" s="178" t="s">
        <v>19</v>
      </c>
      <c r="S271" s="181"/>
      <c r="T271" s="181"/>
      <c r="U271" s="182"/>
      <c r="V271" s="182" t="s">
        <v>35</v>
      </c>
      <c r="W271" s="183">
        <v>100</v>
      </c>
      <c r="X271" s="182" t="s">
        <v>267</v>
      </c>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v>12100</v>
      </c>
      <c r="AW271" s="184">
        <v>12100</v>
      </c>
      <c r="AX271" s="184">
        <v>12100</v>
      </c>
      <c r="AY271" s="184">
        <v>12100</v>
      </c>
      <c r="AZ271" s="184">
        <v>12100</v>
      </c>
      <c r="BA271" s="184">
        <v>12100</v>
      </c>
      <c r="BB271" s="184">
        <v>12100</v>
      </c>
      <c r="BC271" s="184">
        <v>12100</v>
      </c>
      <c r="BD271" s="184">
        <v>11600</v>
      </c>
      <c r="BE271" s="184">
        <v>11600</v>
      </c>
      <c r="BF271" s="184"/>
      <c r="BG271" s="184">
        <v>11600</v>
      </c>
      <c r="BH271" s="184">
        <v>11600</v>
      </c>
      <c r="BI271" s="184">
        <v>11600</v>
      </c>
      <c r="BJ271" s="184"/>
      <c r="BK271" s="184"/>
      <c r="BL271" s="184"/>
      <c r="BM271" s="184"/>
      <c r="BN271" s="184"/>
      <c r="BO271" s="184"/>
      <c r="BP271" s="184"/>
      <c r="BQ271" s="184"/>
      <c r="BR271" s="184"/>
      <c r="BS271" s="184"/>
      <c r="BT271" s="184"/>
      <c r="BU271" s="146" cm="1">
        <f t="array" ref="BU271">LOOKUP(2,1/(Y271:BT271&lt;&gt;""),Y271:BH271)</f>
        <v>11600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46023</v>
      </c>
      <c r="BW271" s="211" cm="1">
        <f t="array" ref="BW271">(LOOKUP(2,1/(BH271:BT271&lt;&gt;""),BH271:BT271))/(INDEX(BH271:BT271,MATCH(TRUE,INDEX((BH271:BT271&lt;&gt;0),0),0)))-1</f>
        <v>0</v>
      </c>
      <c r="BX271" s="212">
        <f t="shared" si="83"/>
        <v>11.6</v>
      </c>
      <c r="BY271" s="212">
        <f t="shared" si="82"/>
        <v>8.6999999999999993</v>
      </c>
      <c r="BZ271" s="212">
        <f ca="1">IF(L271="BR",'Impostos e Frete'!$F$6,IF(L271="EU",'Impostos e Frete'!$I$3,IF(L271="CN",'Impostos e Frete'!$I$4,IF(L271="JP",'Impostos e Frete'!$I$5,IF(L271="RU",'Impostos e Frete'!$I$7,"ERRO")))))</f>
        <v>1.11958</v>
      </c>
      <c r="CA271" s="212">
        <f>VLOOKUP(L271,'Impostos e Frete'!$A$3:$B$7,2,0)*'Preços e Condições'!BY271</f>
        <v>1.218</v>
      </c>
      <c r="CB271" s="147">
        <f t="shared" si="84"/>
        <v>0</v>
      </c>
      <c r="CC271" s="147">
        <f>IF(X271="BRL",'Impostos e Frete'!$B$11,'Impostos e Frete'!$B$12)</f>
        <v>9.1999999999999998E-2</v>
      </c>
      <c r="CD271" s="213">
        <f t="shared" ca="1" si="85"/>
        <v>11.129579999999999</v>
      </c>
      <c r="CE271" s="214">
        <f t="shared" ca="1" si="86"/>
        <v>0.77907059999999984</v>
      </c>
      <c r="CF271" s="215">
        <f>VLOOKUP(L271,'Impostos e Frete'!$A$3:$C$7,3,0)</f>
        <v>120</v>
      </c>
      <c r="CG271" s="215">
        <f t="shared" si="87"/>
        <v>90</v>
      </c>
      <c r="CH271" s="215">
        <f t="shared" si="88"/>
        <v>-30</v>
      </c>
      <c r="CI271" s="216">
        <f t="shared" ca="1" si="89"/>
        <v>0.16694369999999914</v>
      </c>
      <c r="CJ271" s="217">
        <f t="shared" ca="1" si="90"/>
        <v>11.296523699999998</v>
      </c>
      <c r="CK271" s="218">
        <f t="shared" ca="1" si="91"/>
        <v>0.79075665899999992</v>
      </c>
    </row>
    <row r="272" spans="1:89">
      <c r="A272" s="176">
        <v>18427</v>
      </c>
      <c r="B272" s="186">
        <v>2</v>
      </c>
      <c r="C272" s="178">
        <v>80</v>
      </c>
      <c r="D272" s="178">
        <v>1845</v>
      </c>
      <c r="E272" s="178" t="s">
        <v>49</v>
      </c>
      <c r="F272" s="179" t="s">
        <v>0</v>
      </c>
      <c r="G272" s="180" t="s">
        <v>96</v>
      </c>
      <c r="H272" s="178" t="s">
        <v>43</v>
      </c>
      <c r="I272" s="178" t="s">
        <v>99</v>
      </c>
      <c r="J272" s="178"/>
      <c r="K272" s="178"/>
      <c r="L272" s="178" t="s">
        <v>60</v>
      </c>
      <c r="M272" s="178">
        <v>90</v>
      </c>
      <c r="N272" s="178">
        <v>3300</v>
      </c>
      <c r="O272" s="178"/>
      <c r="P272" s="178"/>
      <c r="Q272" s="178"/>
      <c r="R272" s="178" t="s">
        <v>19</v>
      </c>
      <c r="S272" s="181"/>
      <c r="T272" s="181"/>
      <c r="U272" s="182"/>
      <c r="V272" s="182" t="s">
        <v>35</v>
      </c>
      <c r="W272" s="183">
        <v>100</v>
      </c>
      <c r="X272" s="182" t="s">
        <v>267</v>
      </c>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v>15100</v>
      </c>
      <c r="AW272" s="184">
        <v>15100</v>
      </c>
      <c r="AX272" s="184">
        <v>15100</v>
      </c>
      <c r="AY272" s="184">
        <v>15100</v>
      </c>
      <c r="AZ272" s="184">
        <v>15100</v>
      </c>
      <c r="BA272" s="184">
        <v>15100</v>
      </c>
      <c r="BB272" s="184">
        <v>15100</v>
      </c>
      <c r="BC272" s="184"/>
      <c r="BD272" s="184"/>
      <c r="BE272" s="184"/>
      <c r="BF272" s="184"/>
      <c r="BG272" s="184">
        <v>14500</v>
      </c>
      <c r="BH272" s="184">
        <v>14500</v>
      </c>
      <c r="BI272" s="184">
        <v>14500</v>
      </c>
      <c r="BJ272" s="184"/>
      <c r="BK272" s="184"/>
      <c r="BL272" s="184"/>
      <c r="BM272" s="184"/>
      <c r="BN272" s="184"/>
      <c r="BO272" s="184"/>
      <c r="BP272" s="184"/>
      <c r="BQ272" s="184"/>
      <c r="BR272" s="184"/>
      <c r="BS272" s="184"/>
      <c r="BT272" s="184"/>
      <c r="BU272" s="146" cm="1">
        <f t="array" ref="BU272">LOOKUP(2,1/(Y272:BT272&lt;&gt;""),Y272:BH272)</f>
        <v>14500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46023</v>
      </c>
      <c r="BW272" s="211" cm="1">
        <f t="array" ref="BW272">(LOOKUP(2,1/(BH272:BT272&lt;&gt;""),BH272:BT272))/(INDEX(BH272:BT272,MATCH(TRUE,INDEX((BH272:BT272&lt;&gt;0),0),0)))-1</f>
        <v>0</v>
      </c>
      <c r="BX272" s="212">
        <f t="shared" si="83"/>
        <v>14.5</v>
      </c>
      <c r="BY272" s="212">
        <f t="shared" si="82"/>
        <v>10.875</v>
      </c>
      <c r="BZ272" s="212">
        <f ca="1">IF(L272="BR",'Impostos e Frete'!$F$6,IF(L272="EU",'Impostos e Frete'!$I$3,IF(L272="CN",'Impostos e Frete'!$I$4,IF(L272="JP",'Impostos e Frete'!$I$5,IF(L272="RU",'Impostos e Frete'!$I$7,"ERRO")))))</f>
        <v>1.11958</v>
      </c>
      <c r="CA272" s="212">
        <f>VLOOKUP(L272,'Impostos e Frete'!$A$3:$B$7,2,0)*'Preços e Condições'!BY272</f>
        <v>1.5225000000000002</v>
      </c>
      <c r="CB272" s="147">
        <f t="shared" si="84"/>
        <v>0</v>
      </c>
      <c r="CC272" s="147">
        <f>IF(X272="BRL",'Impostos e Frete'!$B$11,'Impostos e Frete'!$B$12)</f>
        <v>9.1999999999999998E-2</v>
      </c>
      <c r="CD272" s="213">
        <f t="shared" ca="1" si="85"/>
        <v>13.609080000000001</v>
      </c>
      <c r="CE272" s="214">
        <f t="shared" ca="1" si="86"/>
        <v>1.0887264000000001</v>
      </c>
      <c r="CF272" s="215">
        <f>VLOOKUP(L272,'Impostos e Frete'!$A$3:$C$7,3,0)</f>
        <v>120</v>
      </c>
      <c r="CG272" s="215">
        <f t="shared" si="87"/>
        <v>90</v>
      </c>
      <c r="CH272" s="215">
        <f t="shared" si="88"/>
        <v>-30</v>
      </c>
      <c r="CI272" s="216">
        <f t="shared" ca="1" si="89"/>
        <v>0.20413619999999888</v>
      </c>
      <c r="CJ272" s="217">
        <f t="shared" ca="1" si="90"/>
        <v>13.813216199999999</v>
      </c>
      <c r="CK272" s="218">
        <f t="shared" ca="1" si="91"/>
        <v>1.105057296</v>
      </c>
    </row>
    <row r="273" spans="1:89">
      <c r="A273" s="176">
        <v>18427</v>
      </c>
      <c r="B273" s="186">
        <v>2</v>
      </c>
      <c r="C273" s="178">
        <v>80</v>
      </c>
      <c r="D273" s="178">
        <v>1845</v>
      </c>
      <c r="E273" s="178" t="s">
        <v>49</v>
      </c>
      <c r="F273" s="179" t="s">
        <v>0</v>
      </c>
      <c r="G273" s="180" t="s">
        <v>96</v>
      </c>
      <c r="H273" s="178" t="s">
        <v>43</v>
      </c>
      <c r="I273" s="178" t="s">
        <v>99</v>
      </c>
      <c r="J273" s="178"/>
      <c r="K273" s="178"/>
      <c r="L273" s="178" t="s">
        <v>60</v>
      </c>
      <c r="M273" s="178">
        <v>90</v>
      </c>
      <c r="N273" s="178">
        <v>400</v>
      </c>
      <c r="O273" s="178"/>
      <c r="P273" s="178"/>
      <c r="Q273" s="178"/>
      <c r="R273" s="178" t="s">
        <v>19</v>
      </c>
      <c r="S273" s="181"/>
      <c r="T273" s="181"/>
      <c r="U273" s="182"/>
      <c r="V273" s="182" t="s">
        <v>35</v>
      </c>
      <c r="W273" s="183">
        <v>100</v>
      </c>
      <c r="X273" s="182" t="s">
        <v>51</v>
      </c>
      <c r="Y273" s="184"/>
      <c r="Z273" s="184"/>
      <c r="AA273" s="184"/>
      <c r="AB273" s="184"/>
      <c r="AC273" s="184"/>
      <c r="AD273" s="184"/>
      <c r="AE273" s="184">
        <v>2070</v>
      </c>
      <c r="AF273" s="184">
        <v>2070</v>
      </c>
      <c r="AG273" s="184">
        <v>2070</v>
      </c>
      <c r="AH273" s="184">
        <v>2070</v>
      </c>
      <c r="AI273" s="184">
        <v>2070</v>
      </c>
      <c r="AJ273" s="184">
        <v>2070</v>
      </c>
      <c r="AK273" s="184">
        <v>2070</v>
      </c>
      <c r="AL273" s="184">
        <v>2070</v>
      </c>
      <c r="AM273" s="184">
        <v>2070</v>
      </c>
      <c r="AN273" s="184">
        <v>2070</v>
      </c>
      <c r="AO273" s="184">
        <v>2070</v>
      </c>
      <c r="AP273" s="184">
        <v>2070</v>
      </c>
      <c r="AQ273" s="184">
        <v>2000</v>
      </c>
      <c r="AR273" s="184">
        <v>2000</v>
      </c>
      <c r="AS273" s="184"/>
      <c r="AT273" s="184"/>
      <c r="AU273" s="184"/>
      <c r="AV273" s="184"/>
      <c r="AW273" s="184">
        <v>1950</v>
      </c>
      <c r="AX273" s="184">
        <v>1950</v>
      </c>
      <c r="AY273" s="184">
        <v>1950</v>
      </c>
      <c r="AZ273" s="184">
        <v>1950</v>
      </c>
      <c r="BA273" s="184">
        <v>1950</v>
      </c>
      <c r="BB273" s="184">
        <v>1950</v>
      </c>
      <c r="BC273" s="184">
        <v>1950</v>
      </c>
      <c r="BD273" s="184"/>
      <c r="BE273" s="184"/>
      <c r="BF273" s="184"/>
      <c r="BG273" s="184"/>
      <c r="BH273" s="184"/>
      <c r="BI273" s="184"/>
      <c r="BJ273" s="184"/>
      <c r="BK273" s="184"/>
      <c r="BL273" s="184"/>
      <c r="BM273" s="184"/>
      <c r="BN273" s="184"/>
      <c r="BO273" s="184"/>
      <c r="BP273" s="184"/>
      <c r="BQ273" s="184"/>
      <c r="BR273" s="184"/>
      <c r="BS273" s="184"/>
      <c r="BT273" s="184"/>
      <c r="BU273" s="146" cm="1">
        <f t="array" ref="BU273">LOOKUP(2,1/(Y273:BT273&lt;&gt;""),Y273:BH273)</f>
        <v>1950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45839</v>
      </c>
      <c r="BW273" s="211" t="e" cm="1">
        <f t="array" ref="BW273">(LOOKUP(2,1/(BH273:BT273&lt;&gt;""),BH273:BT273))/(INDEX(BH273:BT273,MATCH(TRUE,INDEX((BH273:BT273&lt;&gt;0),0),0)))-1</f>
        <v>#N/A</v>
      </c>
      <c r="BX273" s="212">
        <f t="shared" si="83"/>
        <v>1.95</v>
      </c>
      <c r="BY273" s="212">
        <f t="shared" si="82"/>
        <v>11.505000000000001</v>
      </c>
      <c r="BZ273" s="212">
        <f ca="1">IF(L273="BR",'Impostos e Frete'!$F$6,IF(L273="EU",'Impostos e Frete'!$I$3,IF(L273="CN",'Impostos e Frete'!$I$4,IF(L273="JP",'Impostos e Frete'!$I$5,IF(L273="RU",'Impostos e Frete'!$I$7,"ERRO")))))</f>
        <v>1.11958</v>
      </c>
      <c r="CA273" s="212">
        <f>VLOOKUP(L273,'Impostos e Frete'!$A$3:$B$7,2,0)*'Preços e Condições'!BY273</f>
        <v>1.6107000000000002</v>
      </c>
      <c r="CB273" s="147">
        <f t="shared" si="84"/>
        <v>0</v>
      </c>
      <c r="CC273" s="147">
        <f>IF(X273="BRL",'Impostos e Frete'!$B$11,'Impostos e Frete'!$B$12)</f>
        <v>9.1999999999999998E-2</v>
      </c>
      <c r="CD273" s="213">
        <f t="shared" ca="1" si="85"/>
        <v>14.327280000000002</v>
      </c>
      <c r="CE273" s="214">
        <f t="shared" ca="1" si="86"/>
        <v>1.1461824</v>
      </c>
      <c r="CF273" s="215">
        <f>VLOOKUP(L273,'Impostos e Frete'!$A$3:$C$7,3,0)</f>
        <v>120</v>
      </c>
      <c r="CG273" s="215">
        <f t="shared" si="87"/>
        <v>90</v>
      </c>
      <c r="CH273" s="215">
        <f t="shared" si="88"/>
        <v>-30</v>
      </c>
      <c r="CI273" s="216">
        <f t="shared" ca="1" si="89"/>
        <v>0.21490919999999925</v>
      </c>
      <c r="CJ273" s="217">
        <f t="shared" ca="1" si="90"/>
        <v>14.542189200000001</v>
      </c>
      <c r="CK273" s="218">
        <f t="shared" ca="1" si="91"/>
        <v>1.1633751360000002</v>
      </c>
    </row>
    <row r="274" spans="1:89">
      <c r="A274" s="176">
        <v>18430</v>
      </c>
      <c r="B274" s="194" t="s">
        <v>439</v>
      </c>
      <c r="C274" s="178">
        <v>70</v>
      </c>
      <c r="D274" s="178">
        <v>1870</v>
      </c>
      <c r="E274" s="178" t="s">
        <v>49</v>
      </c>
      <c r="F274" s="179" t="s">
        <v>0</v>
      </c>
      <c r="G274" s="180" t="s">
        <v>222</v>
      </c>
      <c r="H274" s="178" t="s">
        <v>43</v>
      </c>
      <c r="I274" s="178" t="s">
        <v>99</v>
      </c>
      <c r="J274" s="178"/>
      <c r="K274" s="178"/>
      <c r="L274" s="178" t="s">
        <v>60</v>
      </c>
      <c r="M274" s="178">
        <v>90</v>
      </c>
      <c r="N274" s="178">
        <v>3300</v>
      </c>
      <c r="O274" s="178"/>
      <c r="P274" s="178"/>
      <c r="Q274" s="178"/>
      <c r="R274" s="178" t="s">
        <v>19</v>
      </c>
      <c r="S274" s="181"/>
      <c r="T274" s="181"/>
      <c r="U274" s="182"/>
      <c r="V274" s="182" t="s">
        <v>35</v>
      </c>
      <c r="W274" s="183">
        <v>100</v>
      </c>
      <c r="X274" s="182" t="s">
        <v>267</v>
      </c>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v>10300</v>
      </c>
      <c r="AW274" s="184">
        <v>10300</v>
      </c>
      <c r="AX274" s="184">
        <v>10300</v>
      </c>
      <c r="AY274" s="184">
        <v>10300</v>
      </c>
      <c r="AZ274" s="184">
        <v>10300</v>
      </c>
      <c r="BA274" s="184">
        <v>10300</v>
      </c>
      <c r="BB274" s="184">
        <v>10300</v>
      </c>
      <c r="BC274" s="184"/>
      <c r="BD274" s="184"/>
      <c r="BE274" s="184"/>
      <c r="BF274" s="184"/>
      <c r="BG274" s="184">
        <v>10300</v>
      </c>
      <c r="BH274" s="184">
        <v>10300</v>
      </c>
      <c r="BI274" s="184">
        <v>10300</v>
      </c>
      <c r="BJ274" s="184"/>
      <c r="BK274" s="184"/>
      <c r="BL274" s="184"/>
      <c r="BM274" s="184"/>
      <c r="BN274" s="184"/>
      <c r="BO274" s="184"/>
      <c r="BP274" s="184"/>
      <c r="BQ274" s="184"/>
      <c r="BR274" s="184"/>
      <c r="BS274" s="184"/>
      <c r="BT274" s="184"/>
      <c r="BU274" s="146" cm="1">
        <f t="array" ref="BU274">LOOKUP(2,1/(Y274:BT274&lt;&gt;""),Y274:BH274)</f>
        <v>10300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46023</v>
      </c>
      <c r="BW274" s="211" cm="1">
        <f t="array" ref="BW274">(LOOKUP(2,1/(BH274:BT274&lt;&gt;""),BH274:BT274))/(INDEX(BH274:BT274,MATCH(TRUE,INDEX((BH274:BT274&lt;&gt;0),0),0)))-1</f>
        <v>0</v>
      </c>
      <c r="BX274" s="212">
        <f t="shared" si="83"/>
        <v>10.3</v>
      </c>
      <c r="BY274" s="212">
        <f t="shared" si="82"/>
        <v>7.7250000000000005</v>
      </c>
      <c r="BZ274" s="212">
        <f ca="1">IF(L274="BR",'Impostos e Frete'!$F$6,IF(L274="EU",'Impostos e Frete'!$I$3,IF(L274="CN",'Impostos e Frete'!$I$4,IF(L274="JP",'Impostos e Frete'!$I$5,IF(L274="RU",'Impostos e Frete'!$I$7,"ERRO")))))</f>
        <v>1.11958</v>
      </c>
      <c r="CA274" s="212">
        <f>VLOOKUP(L274,'Impostos e Frete'!$A$3:$B$7,2,0)*'Preços e Condições'!BY274</f>
        <v>1.0815000000000001</v>
      </c>
      <c r="CB274" s="147">
        <f t="shared" si="84"/>
        <v>0</v>
      </c>
      <c r="CC274" s="147">
        <f>IF(X274="BRL",'Impostos e Frete'!$B$11,'Impostos e Frete'!$B$12)</f>
        <v>9.1999999999999998E-2</v>
      </c>
      <c r="CD274" s="213">
        <f t="shared" ca="1" si="85"/>
        <v>10.018080000000001</v>
      </c>
      <c r="CE274" s="214">
        <f t="shared" ca="1" si="86"/>
        <v>0.70126560000000004</v>
      </c>
      <c r="CF274" s="215">
        <f>VLOOKUP(L274,'Impostos e Frete'!$A$3:$C$7,3,0)</f>
        <v>120</v>
      </c>
      <c r="CG274" s="215">
        <f t="shared" si="87"/>
        <v>90</v>
      </c>
      <c r="CH274" s="215">
        <f t="shared" si="88"/>
        <v>-30</v>
      </c>
      <c r="CI274" s="216">
        <f t="shared" ca="1" si="89"/>
        <v>0.15027119999999883</v>
      </c>
      <c r="CJ274" s="217">
        <f t="shared" ca="1" si="90"/>
        <v>10.1683512</v>
      </c>
      <c r="CK274" s="218">
        <f t="shared" ca="1" si="91"/>
        <v>0.711784584</v>
      </c>
    </row>
    <row r="275" spans="1:89">
      <c r="A275" s="176">
        <v>18430</v>
      </c>
      <c r="B275" s="194" t="s">
        <v>439</v>
      </c>
      <c r="C275" s="178">
        <v>70</v>
      </c>
      <c r="D275" s="178">
        <v>1870</v>
      </c>
      <c r="E275" s="178" t="s">
        <v>49</v>
      </c>
      <c r="F275" s="179" t="s">
        <v>0</v>
      </c>
      <c r="G275" s="180" t="s">
        <v>222</v>
      </c>
      <c r="H275" s="178" t="s">
        <v>43</v>
      </c>
      <c r="I275" s="178" t="s">
        <v>99</v>
      </c>
      <c r="J275" s="178"/>
      <c r="K275" s="178"/>
      <c r="L275" s="178" t="s">
        <v>60</v>
      </c>
      <c r="M275" s="178">
        <v>90</v>
      </c>
      <c r="N275" s="178">
        <v>400</v>
      </c>
      <c r="O275" s="178"/>
      <c r="P275" s="178"/>
      <c r="Q275" s="178"/>
      <c r="R275" s="178" t="s">
        <v>19</v>
      </c>
      <c r="S275" s="181"/>
      <c r="T275" s="181"/>
      <c r="U275" s="182"/>
      <c r="V275" s="182" t="s">
        <v>35</v>
      </c>
      <c r="W275" s="183">
        <v>100</v>
      </c>
      <c r="X275" s="182" t="s">
        <v>51</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v>1337</v>
      </c>
      <c r="AT275" s="184"/>
      <c r="AU275" s="184"/>
      <c r="AV275" s="184"/>
      <c r="AW275" s="184">
        <v>1337</v>
      </c>
      <c r="AX275" s="184">
        <v>1337</v>
      </c>
      <c r="AY275" s="184">
        <v>1337</v>
      </c>
      <c r="AZ275" s="184"/>
      <c r="BA275" s="184"/>
      <c r="BB275" s="184"/>
      <c r="BC275" s="184"/>
      <c r="BD275" s="184"/>
      <c r="BE275" s="184"/>
      <c r="BF275" s="184"/>
      <c r="BG275" s="184"/>
      <c r="BH275" s="184"/>
      <c r="BI275" s="184"/>
      <c r="BJ275" s="184"/>
      <c r="BK275" s="184"/>
      <c r="BL275" s="184"/>
      <c r="BM275" s="184"/>
      <c r="BN275" s="184"/>
      <c r="BO275" s="184"/>
      <c r="BP275" s="184"/>
      <c r="BQ275" s="184"/>
      <c r="BR275" s="184"/>
      <c r="BS275" s="184"/>
      <c r="BT275" s="184"/>
      <c r="BU275" s="146" cm="1">
        <f t="array" ref="BU275">LOOKUP(2,1/(Y275:BT275&lt;&gt;""),Y275:BH275)</f>
        <v>1337</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45717</v>
      </c>
      <c r="BW275" s="211" t="e" cm="1">
        <f t="array" ref="BW275">(LOOKUP(2,1/(BH275:BT275&lt;&gt;""),BH275:BT275))/(INDEX(BH275:BT275,MATCH(TRUE,INDEX((BH275:BT275&lt;&gt;0),0),0)))-1</f>
        <v>#N/A</v>
      </c>
      <c r="BX275" s="212">
        <f t="shared" si="83"/>
        <v>1.337</v>
      </c>
      <c r="BY275" s="212">
        <f t="shared" si="82"/>
        <v>7.8883000000000001</v>
      </c>
      <c r="BZ275" s="212">
        <f ca="1">IF(L275="BR",'Impostos e Frete'!$F$6,IF(L275="EU",'Impostos e Frete'!$I$3,IF(L275="CN",'Impostos e Frete'!$I$4,IF(L275="JP",'Impostos e Frete'!$I$5,IF(L275="RU",'Impostos e Frete'!$I$7,"ERRO")))))</f>
        <v>1.11958</v>
      </c>
      <c r="CA275" s="212">
        <f>VLOOKUP(L275,'Impostos e Frete'!$A$3:$B$7,2,0)*'Preços e Condições'!BY275</f>
        <v>1.1043620000000001</v>
      </c>
      <c r="CB275" s="147">
        <f t="shared" si="84"/>
        <v>0</v>
      </c>
      <c r="CC275" s="147">
        <f>IF(X275="BRL",'Impostos e Frete'!$B$11,'Impostos e Frete'!$B$12)</f>
        <v>9.1999999999999998E-2</v>
      </c>
      <c r="CD275" s="213">
        <f t="shared" ca="1" si="85"/>
        <v>10.204242000000001</v>
      </c>
      <c r="CE275" s="214">
        <f t="shared" ca="1" si="86"/>
        <v>0.71429693999999999</v>
      </c>
      <c r="CF275" s="215">
        <f>VLOOKUP(L275,'Impostos e Frete'!$A$3:$C$7,3,0)</f>
        <v>120</v>
      </c>
      <c r="CG275" s="215">
        <f t="shared" si="87"/>
        <v>90</v>
      </c>
      <c r="CH275" s="215">
        <f t="shared" si="88"/>
        <v>-30</v>
      </c>
      <c r="CI275" s="216">
        <f t="shared" ca="1" si="89"/>
        <v>0.15306362999999834</v>
      </c>
      <c r="CJ275" s="217">
        <f t="shared" ca="1" si="90"/>
        <v>10.357305629999999</v>
      </c>
      <c r="CK275" s="218">
        <f t="shared" ca="1" si="91"/>
        <v>0.72501139409999993</v>
      </c>
    </row>
    <row r="276" spans="1:89">
      <c r="A276" s="176">
        <v>18433</v>
      </c>
      <c r="B276" s="177">
        <v>248</v>
      </c>
      <c r="C276" s="178">
        <v>65</v>
      </c>
      <c r="D276" s="178">
        <v>1870</v>
      </c>
      <c r="E276" s="178" t="s">
        <v>50</v>
      </c>
      <c r="F276" s="179" t="s">
        <v>0</v>
      </c>
      <c r="G276" s="180" t="s">
        <v>244</v>
      </c>
      <c r="H276" s="178" t="s">
        <v>63</v>
      </c>
      <c r="I276" s="178"/>
      <c r="J276" s="178"/>
      <c r="K276" s="178"/>
      <c r="L276" s="178" t="s">
        <v>60</v>
      </c>
      <c r="M276" s="178">
        <v>90</v>
      </c>
      <c r="N276" s="178">
        <v>400</v>
      </c>
      <c r="O276" s="178"/>
      <c r="P276" s="178"/>
      <c r="Q276" s="178"/>
      <c r="R276" s="178" t="s">
        <v>19</v>
      </c>
      <c r="S276" s="181"/>
      <c r="T276" s="181"/>
      <c r="U276" s="182"/>
      <c r="V276" s="182" t="s">
        <v>35</v>
      </c>
      <c r="W276" s="183">
        <v>100</v>
      </c>
      <c r="X276" s="182" t="s">
        <v>51</v>
      </c>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v>1800</v>
      </c>
      <c r="AX276" s="184">
        <v>1800</v>
      </c>
      <c r="AY276" s="184">
        <v>1800</v>
      </c>
      <c r="AZ276" s="184"/>
      <c r="BA276" s="184"/>
      <c r="BB276" s="184"/>
      <c r="BC276" s="184">
        <v>1800</v>
      </c>
      <c r="BD276" s="184">
        <v>1800</v>
      </c>
      <c r="BE276" s="184">
        <v>1800</v>
      </c>
      <c r="BF276" s="184"/>
      <c r="BG276" s="184"/>
      <c r="BH276" s="184"/>
      <c r="BI276" s="184"/>
      <c r="BJ276" s="184"/>
      <c r="BK276" s="184"/>
      <c r="BL276" s="184"/>
      <c r="BM276" s="184"/>
      <c r="BN276" s="184"/>
      <c r="BO276" s="184"/>
      <c r="BP276" s="184"/>
      <c r="BQ276" s="184"/>
      <c r="BR276" s="184"/>
      <c r="BS276" s="184"/>
      <c r="BT276" s="184"/>
      <c r="BU276" s="146" cm="1">
        <f t="array" ref="BU276">LOOKUP(2,1/(Y276:BT276&lt;&gt;""),Y276:BH276)</f>
        <v>1800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45901</v>
      </c>
      <c r="BW276" s="211" t="e" cm="1">
        <f t="array" ref="BW276">(LOOKUP(2,1/(BH276:BT276&lt;&gt;""),BH276:BT276))/(INDEX(BH276:BT276,MATCH(TRUE,INDEX((BH276:BT276&lt;&gt;0),0),0)))-1</f>
        <v>#N/A</v>
      </c>
      <c r="BX276" s="212">
        <f t="shared" si="83"/>
        <v>1.8</v>
      </c>
      <c r="BY276" s="212">
        <f t="shared" si="82"/>
        <v>10.620000000000001</v>
      </c>
      <c r="BZ276" s="212">
        <f ca="1">IF(L276="BR",'Impostos e Frete'!$F$6,IF(L276="EU",'Impostos e Frete'!$I$3,IF(L276="CN",'Impostos e Frete'!$I$4,IF(L276="JP",'Impostos e Frete'!$I$5,IF(L276="RU",'Impostos e Frete'!$I$7,"ERRO")))))</f>
        <v>1.11958</v>
      </c>
      <c r="CA276" s="212">
        <f>VLOOKUP(L276,'Impostos e Frete'!$A$3:$B$7,2,0)*'Preços e Condições'!BY276</f>
        <v>1.4868000000000003</v>
      </c>
      <c r="CB276" s="147">
        <f t="shared" si="84"/>
        <v>0</v>
      </c>
      <c r="CC276" s="147">
        <f>IF(X276="BRL",'Impostos e Frete'!$B$11,'Impostos e Frete'!$B$12)</f>
        <v>9.1999999999999998E-2</v>
      </c>
      <c r="CD276" s="213">
        <f t="shared" ca="1" si="85"/>
        <v>13.318380000000001</v>
      </c>
      <c r="CE276" s="214">
        <f t="shared" ca="1" si="86"/>
        <v>0.86569470000000004</v>
      </c>
      <c r="CF276" s="215">
        <f>VLOOKUP(L276,'Impostos e Frete'!$A$3:$C$7,3,0)</f>
        <v>120</v>
      </c>
      <c r="CG276" s="215">
        <f t="shared" si="87"/>
        <v>90</v>
      </c>
      <c r="CH276" s="215">
        <f t="shared" si="88"/>
        <v>-30</v>
      </c>
      <c r="CI276" s="216">
        <f t="shared" ca="1" si="89"/>
        <v>0.19977569999999822</v>
      </c>
      <c r="CJ276" s="217">
        <f t="shared" ca="1" si="90"/>
        <v>13.518155699999999</v>
      </c>
      <c r="CK276" s="218">
        <f t="shared" ca="1" si="91"/>
        <v>0.87868012049999999</v>
      </c>
    </row>
    <row r="277" spans="1:89">
      <c r="A277" s="176">
        <v>18434</v>
      </c>
      <c r="B277" s="186">
        <v>86</v>
      </c>
      <c r="C277" s="178">
        <v>70</v>
      </c>
      <c r="D277" s="178">
        <v>1870</v>
      </c>
      <c r="E277" s="178" t="s">
        <v>49</v>
      </c>
      <c r="F277" s="179" t="s">
        <v>0</v>
      </c>
      <c r="G277" s="180" t="s">
        <v>340</v>
      </c>
      <c r="H277" s="178" t="s">
        <v>43</v>
      </c>
      <c r="I277" s="178" t="s">
        <v>100</v>
      </c>
      <c r="J277" s="178"/>
      <c r="K277" s="178"/>
      <c r="L277" s="178" t="s">
        <v>60</v>
      </c>
      <c r="M277" s="178">
        <v>90</v>
      </c>
      <c r="N277" s="178">
        <v>3300</v>
      </c>
      <c r="O277" s="178"/>
      <c r="P277" s="178"/>
      <c r="Q277" s="178"/>
      <c r="R277" s="178" t="s">
        <v>19</v>
      </c>
      <c r="S277" s="181"/>
      <c r="T277" s="181"/>
      <c r="U277" s="182"/>
      <c r="V277" s="182" t="s">
        <v>35</v>
      </c>
      <c r="W277" s="183">
        <v>100</v>
      </c>
      <c r="X277" s="182" t="s">
        <v>267</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v>12100</v>
      </c>
      <c r="AW277" s="184">
        <v>12100</v>
      </c>
      <c r="AX277" s="184">
        <v>12100</v>
      </c>
      <c r="AY277" s="184">
        <v>12100</v>
      </c>
      <c r="AZ277" s="184">
        <v>12100</v>
      </c>
      <c r="BA277" s="184">
        <v>12100</v>
      </c>
      <c r="BB277" s="184">
        <v>12100</v>
      </c>
      <c r="BC277" s="184">
        <v>12100</v>
      </c>
      <c r="BD277" s="184">
        <v>11600</v>
      </c>
      <c r="BE277" s="184">
        <v>11600</v>
      </c>
      <c r="BF277" s="184">
        <v>11600</v>
      </c>
      <c r="BG277" s="184">
        <v>11600</v>
      </c>
      <c r="BH277" s="184">
        <v>11600</v>
      </c>
      <c r="BI277" s="184">
        <v>11600</v>
      </c>
      <c r="BJ277" s="184"/>
      <c r="BK277" s="184"/>
      <c r="BL277" s="184"/>
      <c r="BM277" s="184"/>
      <c r="BN277" s="184"/>
      <c r="BO277" s="184"/>
      <c r="BP277" s="184"/>
      <c r="BQ277" s="184"/>
      <c r="BR277" s="184"/>
      <c r="BS277" s="184"/>
      <c r="BT277" s="184"/>
      <c r="BU277" s="146" cm="1">
        <f t="array" ref="BU277">LOOKUP(2,1/(Y277:BT277&lt;&gt;""),Y277:BH277)</f>
        <v>11600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11" cm="1">
        <f t="array" ref="BW277">(LOOKUP(2,1/(BH277:BT277&lt;&gt;""),BH277:BT277))/(INDEX(BH277:BT277,MATCH(TRUE,INDEX((BH277:BT277&lt;&gt;0),0),0)))-1</f>
        <v>0</v>
      </c>
      <c r="BX277" s="212">
        <f t="shared" si="83"/>
        <v>11.6</v>
      </c>
      <c r="BY277" s="212">
        <f t="shared" si="82"/>
        <v>8.6999999999999993</v>
      </c>
      <c r="BZ277" s="212">
        <f ca="1">IF(L277="BR",'Impostos e Frete'!$F$6,IF(L277="EU",'Impostos e Frete'!$I$3,IF(L277="CN",'Impostos e Frete'!$I$4,IF(L277="JP",'Impostos e Frete'!$I$5,IF(L277="RU",'Impostos e Frete'!$I$7,"ERRO")))))</f>
        <v>1.11958</v>
      </c>
      <c r="CA277" s="212">
        <f>VLOOKUP(L277,'Impostos e Frete'!$A$3:$B$7,2,0)*'Preços e Condições'!BY277</f>
        <v>1.218</v>
      </c>
      <c r="CB277" s="147">
        <f t="shared" si="84"/>
        <v>0</v>
      </c>
      <c r="CC277" s="147">
        <f>IF(X277="BRL",'Impostos e Frete'!$B$11,'Impostos e Frete'!$B$12)</f>
        <v>9.1999999999999998E-2</v>
      </c>
      <c r="CD277" s="213">
        <f t="shared" ca="1" si="85"/>
        <v>11.129579999999999</v>
      </c>
      <c r="CE277" s="214">
        <f t="shared" ca="1" si="86"/>
        <v>0.77907059999999984</v>
      </c>
      <c r="CF277" s="215">
        <f>VLOOKUP(L277,'Impostos e Frete'!$A$3:$C$7,3,0)</f>
        <v>120</v>
      </c>
      <c r="CG277" s="215">
        <f t="shared" si="87"/>
        <v>90</v>
      </c>
      <c r="CH277" s="215">
        <f t="shared" si="88"/>
        <v>-30</v>
      </c>
      <c r="CI277" s="216">
        <f t="shared" ca="1" si="89"/>
        <v>0.16694369999999914</v>
      </c>
      <c r="CJ277" s="217">
        <f t="shared" ca="1" si="90"/>
        <v>11.296523699999998</v>
      </c>
      <c r="CK277" s="218">
        <f t="shared" ca="1" si="91"/>
        <v>0.79075665899999992</v>
      </c>
    </row>
    <row r="278" spans="1:89">
      <c r="A278" s="176">
        <v>18435</v>
      </c>
      <c r="B278" s="177" t="s">
        <v>374</v>
      </c>
      <c r="C278" s="178">
        <v>65</v>
      </c>
      <c r="D278" s="178">
        <v>1870</v>
      </c>
      <c r="E278" s="178" t="s">
        <v>50</v>
      </c>
      <c r="F278" s="179" t="s">
        <v>0</v>
      </c>
      <c r="G278" s="180" t="s">
        <v>307</v>
      </c>
      <c r="H278" s="178" t="s">
        <v>43</v>
      </c>
      <c r="I278" s="178"/>
      <c r="J278" s="178"/>
      <c r="K278" s="178"/>
      <c r="L278" s="178" t="s">
        <v>60</v>
      </c>
      <c r="M278" s="178">
        <v>90</v>
      </c>
      <c r="N278" s="178">
        <v>3300</v>
      </c>
      <c r="O278" s="178"/>
      <c r="P278" s="178"/>
      <c r="Q278" s="178"/>
      <c r="R278" s="178" t="s">
        <v>19</v>
      </c>
      <c r="S278" s="181"/>
      <c r="T278" s="181"/>
      <c r="U278" s="182"/>
      <c r="V278" s="182" t="s">
        <v>35</v>
      </c>
      <c r="W278" s="183">
        <v>100</v>
      </c>
      <c r="X278" s="182" t="s">
        <v>267</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c r="BC278" s="184">
        <v>12500</v>
      </c>
      <c r="BD278" s="184">
        <v>11900</v>
      </c>
      <c r="BE278" s="184">
        <v>11900</v>
      </c>
      <c r="BF278" s="184">
        <v>11900</v>
      </c>
      <c r="BG278" s="184">
        <v>10950</v>
      </c>
      <c r="BH278" s="184">
        <v>10950</v>
      </c>
      <c r="BI278" s="184">
        <v>10950</v>
      </c>
      <c r="BJ278" s="184"/>
      <c r="BK278" s="184"/>
      <c r="BL278" s="184"/>
      <c r="BM278" s="184"/>
      <c r="BN278" s="184"/>
      <c r="BO278" s="184"/>
      <c r="BP278" s="184"/>
      <c r="BQ278" s="184"/>
      <c r="BR278" s="184"/>
      <c r="BS278" s="184"/>
      <c r="BT278" s="184"/>
      <c r="BU278" s="146" cm="1">
        <f t="array" ref="BU278">LOOKUP(2,1/(Y278:BT278&lt;&gt;""),Y278:BH278)</f>
        <v>10950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11" cm="1">
        <f t="array" ref="BW278">(LOOKUP(2,1/(BH278:BT278&lt;&gt;""),BH278:BT278))/(INDEX(BH278:BT278,MATCH(TRUE,INDEX((BH278:BT278&lt;&gt;0),0),0)))-1</f>
        <v>0</v>
      </c>
      <c r="BX278" s="212">
        <f t="shared" si="83"/>
        <v>10.95</v>
      </c>
      <c r="BY278" s="212">
        <f t="shared" si="82"/>
        <v>8.2124999999999986</v>
      </c>
      <c r="BZ278" s="212">
        <f ca="1">IF(L278="BR",'Impostos e Frete'!$F$6,IF(L278="EU",'Impostos e Frete'!$I$3,IF(L278="CN",'Impostos e Frete'!$I$4,IF(L278="JP",'Impostos e Frete'!$I$5,IF(L278="RU",'Impostos e Frete'!$I$7,"ERRO")))))</f>
        <v>1.11958</v>
      </c>
      <c r="CA278" s="212">
        <f>VLOOKUP(L278,'Impostos e Frete'!$A$3:$B$7,2,0)*'Preços e Condições'!BY278</f>
        <v>1.1497499999999998</v>
      </c>
      <c r="CB278" s="147">
        <f t="shared" si="84"/>
        <v>0</v>
      </c>
      <c r="CC278" s="147">
        <f>IF(X278="BRL",'Impostos e Frete'!$B$11,'Impostos e Frete'!$B$12)</f>
        <v>9.1999999999999998E-2</v>
      </c>
      <c r="CD278" s="213">
        <f t="shared" ca="1" si="85"/>
        <v>10.573829999999997</v>
      </c>
      <c r="CE278" s="214">
        <f t="shared" ca="1" si="86"/>
        <v>0.68729894999999985</v>
      </c>
      <c r="CF278" s="215">
        <f>VLOOKUP(L278,'Impostos e Frete'!$A$3:$C$7,3,0)</f>
        <v>120</v>
      </c>
      <c r="CG278" s="215">
        <f t="shared" si="87"/>
        <v>90</v>
      </c>
      <c r="CH278" s="215">
        <f t="shared" si="88"/>
        <v>-30</v>
      </c>
      <c r="CI278" s="216">
        <f t="shared" ca="1" si="89"/>
        <v>0.1586074499999981</v>
      </c>
      <c r="CJ278" s="217">
        <f t="shared" ca="1" si="90"/>
        <v>10.732437449999995</v>
      </c>
      <c r="CK278" s="218">
        <f t="shared" ca="1" si="91"/>
        <v>0.69760843424999963</v>
      </c>
    </row>
    <row r="279" spans="1:89">
      <c r="A279" s="176">
        <v>18436</v>
      </c>
      <c r="B279" s="186">
        <v>2</v>
      </c>
      <c r="C279" s="178">
        <v>80</v>
      </c>
      <c r="D279" s="178">
        <v>1855</v>
      </c>
      <c r="E279" s="178" t="s">
        <v>49</v>
      </c>
      <c r="F279" s="179" t="s">
        <v>0</v>
      </c>
      <c r="G279" s="180" t="s">
        <v>96</v>
      </c>
      <c r="H279" s="178" t="s">
        <v>43</v>
      </c>
      <c r="I279" s="178" t="s">
        <v>99</v>
      </c>
      <c r="J279" s="178"/>
      <c r="K279" s="178"/>
      <c r="L279" s="178" t="s">
        <v>60</v>
      </c>
      <c r="M279" s="178">
        <v>90</v>
      </c>
      <c r="N279" s="178">
        <v>3300</v>
      </c>
      <c r="O279" s="178"/>
      <c r="P279" s="178"/>
      <c r="Q279" s="178"/>
      <c r="R279" s="178" t="s">
        <v>19</v>
      </c>
      <c r="S279" s="181"/>
      <c r="T279" s="181"/>
      <c r="U279" s="182"/>
      <c r="V279" s="182" t="s">
        <v>35</v>
      </c>
      <c r="W279" s="183">
        <v>100</v>
      </c>
      <c r="X279" s="182" t="s">
        <v>267</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v>15100</v>
      </c>
      <c r="AW279" s="184">
        <v>15100</v>
      </c>
      <c r="AX279" s="184">
        <v>15100</v>
      </c>
      <c r="AY279" s="184">
        <v>15100</v>
      </c>
      <c r="AZ279" s="184">
        <v>15100</v>
      </c>
      <c r="BA279" s="184">
        <v>15100</v>
      </c>
      <c r="BB279" s="184">
        <v>15100</v>
      </c>
      <c r="BC279" s="184">
        <v>15100</v>
      </c>
      <c r="BD279" s="184">
        <v>14500</v>
      </c>
      <c r="BE279" s="184"/>
      <c r="BF279" s="184"/>
      <c r="BG279" s="184">
        <v>14500</v>
      </c>
      <c r="BH279" s="184">
        <v>14500</v>
      </c>
      <c r="BI279" s="184">
        <v>14500</v>
      </c>
      <c r="BJ279" s="184"/>
      <c r="BK279" s="184"/>
      <c r="BL279" s="184"/>
      <c r="BM279" s="184"/>
      <c r="BN279" s="184"/>
      <c r="BO279" s="184"/>
      <c r="BP279" s="184"/>
      <c r="BQ279" s="184"/>
      <c r="BR279" s="184"/>
      <c r="BS279" s="184"/>
      <c r="BT279" s="184"/>
      <c r="BU279" s="146" cm="1">
        <f t="array" ref="BU279">LOOKUP(2,1/(Y279:BT279&lt;&gt;""),Y279:BH279)</f>
        <v>14500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11" cm="1">
        <f t="array" ref="BW279">(LOOKUP(2,1/(BH279:BT279&lt;&gt;""),BH279:BT279))/(INDEX(BH279:BT279,MATCH(TRUE,INDEX((BH279:BT279&lt;&gt;0),0),0)))-1</f>
        <v>0</v>
      </c>
      <c r="BX279" s="212">
        <f t="shared" si="83"/>
        <v>14.5</v>
      </c>
      <c r="BY279" s="212">
        <f t="shared" si="82"/>
        <v>10.875</v>
      </c>
      <c r="BZ279" s="212">
        <f ca="1">IF(L279="BR",'Impostos e Frete'!$F$6,IF(L279="EU",'Impostos e Frete'!$I$3,IF(L279="CN",'Impostos e Frete'!$I$4,IF(L279="JP",'Impostos e Frete'!$I$5,IF(L279="RU",'Impostos e Frete'!$I$7,"ERRO")))))</f>
        <v>1.11958</v>
      </c>
      <c r="CA279" s="212">
        <f>VLOOKUP(L279,'Impostos e Frete'!$A$3:$B$7,2,0)*'Preços e Condições'!BY279</f>
        <v>1.5225000000000002</v>
      </c>
      <c r="CB279" s="147">
        <f t="shared" si="84"/>
        <v>0</v>
      </c>
      <c r="CC279" s="147">
        <f>IF(X279="BRL",'Impostos e Frete'!$B$11,'Impostos e Frete'!$B$12)</f>
        <v>9.1999999999999998E-2</v>
      </c>
      <c r="CD279" s="213">
        <f t="shared" ca="1" si="85"/>
        <v>13.609080000000001</v>
      </c>
      <c r="CE279" s="214">
        <f t="shared" ca="1" si="86"/>
        <v>1.0887264000000001</v>
      </c>
      <c r="CF279" s="215">
        <f>VLOOKUP(L279,'Impostos e Frete'!$A$3:$C$7,3,0)</f>
        <v>120</v>
      </c>
      <c r="CG279" s="215">
        <f t="shared" si="87"/>
        <v>90</v>
      </c>
      <c r="CH279" s="215">
        <f t="shared" si="88"/>
        <v>-30</v>
      </c>
      <c r="CI279" s="216">
        <f t="shared" ca="1" si="89"/>
        <v>0.20413619999999888</v>
      </c>
      <c r="CJ279" s="217">
        <f t="shared" ca="1" si="90"/>
        <v>13.813216199999999</v>
      </c>
      <c r="CK279" s="218">
        <f t="shared" ca="1" si="91"/>
        <v>1.105057296</v>
      </c>
    </row>
    <row r="280" spans="1:89">
      <c r="A280" s="176"/>
      <c r="B280" s="177">
        <v>2638</v>
      </c>
      <c r="C280" s="178">
        <v>68</v>
      </c>
      <c r="D280" s="178">
        <v>1870</v>
      </c>
      <c r="E280" s="178" t="s">
        <v>50</v>
      </c>
      <c r="F280" s="179" t="s">
        <v>0</v>
      </c>
      <c r="G280" s="180" t="s">
        <v>478</v>
      </c>
      <c r="H280" s="178" t="s">
        <v>42</v>
      </c>
      <c r="I280" s="178">
        <v>752</v>
      </c>
      <c r="J280" s="178"/>
      <c r="K280" s="178"/>
      <c r="L280" s="178" t="s">
        <v>60</v>
      </c>
      <c r="M280" s="178">
        <v>90</v>
      </c>
      <c r="N280" s="178">
        <v>3300</v>
      </c>
      <c r="O280" s="178"/>
      <c r="P280" s="178"/>
      <c r="Q280" s="178"/>
      <c r="R280" s="178" t="s">
        <v>19</v>
      </c>
      <c r="S280" s="181"/>
      <c r="T280" s="181"/>
      <c r="U280" s="182"/>
      <c r="V280" s="182" t="s">
        <v>35</v>
      </c>
      <c r="W280" s="183">
        <v>100</v>
      </c>
      <c r="X280" s="182" t="s">
        <v>267</v>
      </c>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v>13900</v>
      </c>
      <c r="AW280" s="184">
        <v>13900</v>
      </c>
      <c r="AX280" s="184">
        <v>13900</v>
      </c>
      <c r="AY280" s="184">
        <v>13900</v>
      </c>
      <c r="AZ280" s="184">
        <v>13900</v>
      </c>
      <c r="BA280" s="184">
        <v>13900</v>
      </c>
      <c r="BB280" s="184">
        <v>13900</v>
      </c>
      <c r="BC280" s="184">
        <v>13900</v>
      </c>
      <c r="BD280" s="184">
        <v>13900</v>
      </c>
      <c r="BE280" s="184">
        <v>13900</v>
      </c>
      <c r="BF280" s="184">
        <v>13900</v>
      </c>
      <c r="BG280" s="184">
        <v>13900</v>
      </c>
      <c r="BH280" s="184">
        <v>13900</v>
      </c>
      <c r="BI280" s="184">
        <v>13900</v>
      </c>
      <c r="BJ280" s="184"/>
      <c r="BK280" s="184"/>
      <c r="BL280" s="184"/>
      <c r="BM280" s="184"/>
      <c r="BN280" s="184"/>
      <c r="BO280" s="184"/>
      <c r="BP280" s="184"/>
      <c r="BQ280" s="184"/>
      <c r="BR280" s="184"/>
      <c r="BS280" s="184"/>
      <c r="BT280" s="184"/>
      <c r="BU280" s="146" cm="1">
        <f t="array" ref="BU280">LOOKUP(2,1/(Y280:BT280&lt;&gt;""),Y280:BH280)</f>
        <v>13900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46023</v>
      </c>
      <c r="BW280" s="211" cm="1">
        <f t="array" ref="BW280">(LOOKUP(2,1/(BH280:BT280&lt;&gt;""),BH280:BT280))/(INDEX(BH280:BT280,MATCH(TRUE,INDEX((BH280:BT280&lt;&gt;0),0),0)))-1</f>
        <v>0</v>
      </c>
      <c r="BX280" s="212">
        <f t="shared" si="83"/>
        <v>13.9</v>
      </c>
      <c r="BY280" s="212">
        <f t="shared" si="82"/>
        <v>10.425000000000001</v>
      </c>
      <c r="BZ280" s="212">
        <f ca="1">IF(L280="BR",'Impostos e Frete'!$F$6,IF(L280="EU",'Impostos e Frete'!$I$3,IF(L280="CN",'Impostos e Frete'!$I$4,IF(L280="JP",'Impostos e Frete'!$I$5,IF(L280="RU",'Impostos e Frete'!$I$7,"ERRO")))))</f>
        <v>1.11958</v>
      </c>
      <c r="CA280" s="212">
        <f>VLOOKUP(L280,'Impostos e Frete'!$A$3:$B$7,2,0)*'Preços e Condições'!BY280</f>
        <v>1.4595000000000002</v>
      </c>
      <c r="CB280" s="147">
        <f t="shared" si="84"/>
        <v>0</v>
      </c>
      <c r="CC280" s="147">
        <f>IF(X280="BRL",'Impostos e Frete'!$B$11,'Impostos e Frete'!$B$12)</f>
        <v>9.1999999999999998E-2</v>
      </c>
      <c r="CD280" s="213">
        <f t="shared" ca="1" si="85"/>
        <v>13.096080000000001</v>
      </c>
      <c r="CE280" s="214">
        <f t="shared" ca="1" si="86"/>
        <v>0.89053344000000012</v>
      </c>
      <c r="CF280" s="215">
        <f>VLOOKUP(L280,'Impostos e Frete'!$A$3:$C$7,3,0)</f>
        <v>120</v>
      </c>
      <c r="CG280" s="215">
        <f t="shared" si="87"/>
        <v>90</v>
      </c>
      <c r="CH280" s="215">
        <f t="shared" si="88"/>
        <v>-30</v>
      </c>
      <c r="CI280" s="216">
        <f t="shared" ca="1" si="89"/>
        <v>0.19644119999999887</v>
      </c>
      <c r="CJ280" s="217">
        <f t="shared" ca="1" si="90"/>
        <v>13.292521199999999</v>
      </c>
      <c r="CK280" s="218">
        <f t="shared" ca="1" si="91"/>
        <v>0.9038914415999999</v>
      </c>
    </row>
    <row r="281" spans="1:89">
      <c r="A281" s="176"/>
      <c r="B281" s="177">
        <v>2638</v>
      </c>
      <c r="C281" s="178">
        <v>68</v>
      </c>
      <c r="D281" s="178">
        <v>1870</v>
      </c>
      <c r="E281" s="178" t="s">
        <v>50</v>
      </c>
      <c r="F281" s="179" t="s">
        <v>0</v>
      </c>
      <c r="G281" s="180" t="s">
        <v>478</v>
      </c>
      <c r="H281" s="178" t="s">
        <v>42</v>
      </c>
      <c r="I281" s="178">
        <v>752</v>
      </c>
      <c r="J281" s="178"/>
      <c r="K281" s="178"/>
      <c r="L281" s="178" t="s">
        <v>60</v>
      </c>
      <c r="M281" s="178">
        <v>90</v>
      </c>
      <c r="N281" s="178">
        <v>400</v>
      </c>
      <c r="O281" s="178"/>
      <c r="P281" s="178"/>
      <c r="Q281" s="178"/>
      <c r="R281" s="178" t="s">
        <v>19</v>
      </c>
      <c r="S281" s="181"/>
      <c r="T281" s="181"/>
      <c r="U281" s="182"/>
      <c r="V281" s="182" t="s">
        <v>35</v>
      </c>
      <c r="W281" s="183">
        <v>100</v>
      </c>
      <c r="X281" s="182" t="s">
        <v>51</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v>1797</v>
      </c>
      <c r="AX281" s="184">
        <v>1797</v>
      </c>
      <c r="AY281" s="184">
        <v>1797</v>
      </c>
      <c r="AZ281" s="184"/>
      <c r="BA281" s="184"/>
      <c r="BB281" s="184"/>
      <c r="BC281" s="184"/>
      <c r="BD281" s="184"/>
      <c r="BE281" s="184"/>
      <c r="BF281" s="184"/>
      <c r="BG281" s="184"/>
      <c r="BH281" s="184"/>
      <c r="BI281" s="184"/>
      <c r="BJ281" s="184"/>
      <c r="BK281" s="184"/>
      <c r="BL281" s="184"/>
      <c r="BM281" s="184"/>
      <c r="BN281" s="184"/>
      <c r="BO281" s="184"/>
      <c r="BP281" s="184"/>
      <c r="BQ281" s="184"/>
      <c r="BR281" s="184"/>
      <c r="BS281" s="184"/>
      <c r="BT281" s="184"/>
      <c r="BU281" s="146" cm="1">
        <f t="array" ref="BU281">LOOKUP(2,1/(Y281:BT281&lt;&gt;""),Y281:BH281)</f>
        <v>1797</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45717</v>
      </c>
      <c r="BW281" s="211" t="e" cm="1">
        <f t="array" ref="BW281">(LOOKUP(2,1/(BH281:BT281&lt;&gt;""),BH281:BT281))/(INDEX(BH281:BT281,MATCH(TRUE,INDEX((BH281:BT281&lt;&gt;0),0),0)))-1</f>
        <v>#N/A</v>
      </c>
      <c r="BX281" s="212">
        <f t="shared" si="83"/>
        <v>1.7969999999999999</v>
      </c>
      <c r="BY281" s="212">
        <f t="shared" si="82"/>
        <v>10.6023</v>
      </c>
      <c r="BZ281" s="212">
        <f ca="1">IF(L281="BR",'Impostos e Frete'!$F$6,IF(L281="EU",'Impostos e Frete'!$I$3,IF(L281="CN",'Impostos e Frete'!$I$4,IF(L281="JP",'Impostos e Frete'!$I$5,IF(L281="RU",'Impostos e Frete'!$I$7,"ERRO")))))</f>
        <v>1.11958</v>
      </c>
      <c r="CA281" s="212">
        <f>VLOOKUP(L281,'Impostos e Frete'!$A$3:$B$7,2,0)*'Preços e Condições'!BY281</f>
        <v>1.4843220000000001</v>
      </c>
      <c r="CB281" s="147">
        <f t="shared" si="84"/>
        <v>0</v>
      </c>
      <c r="CC281" s="147">
        <f>IF(X281="BRL",'Impostos e Frete'!$B$11,'Impostos e Frete'!$B$12)</f>
        <v>9.1999999999999998E-2</v>
      </c>
      <c r="CD281" s="213">
        <f t="shared" ca="1" si="85"/>
        <v>13.298202</v>
      </c>
      <c r="CE281" s="214">
        <f t="shared" ca="1" si="86"/>
        <v>0.90427773600000005</v>
      </c>
      <c r="CF281" s="215">
        <f>VLOOKUP(L281,'Impostos e Frete'!$A$3:$C$7,3,0)</f>
        <v>120</v>
      </c>
      <c r="CG281" s="215">
        <f t="shared" si="87"/>
        <v>90</v>
      </c>
      <c r="CH281" s="215">
        <f t="shared" si="88"/>
        <v>-30</v>
      </c>
      <c r="CI281" s="216">
        <f t="shared" ca="1" si="89"/>
        <v>0.19947302999999827</v>
      </c>
      <c r="CJ281" s="217">
        <f t="shared" ca="1" si="90"/>
        <v>13.497675029999998</v>
      </c>
      <c r="CK281" s="218">
        <f t="shared" ca="1" si="91"/>
        <v>0.91784190203999982</v>
      </c>
    </row>
    <row r="282" spans="1:89">
      <c r="A282" s="176"/>
      <c r="B282" s="177">
        <v>689</v>
      </c>
      <c r="C282" s="178">
        <v>68</v>
      </c>
      <c r="D282" s="178">
        <v>1870</v>
      </c>
      <c r="E282" s="178" t="s">
        <v>50</v>
      </c>
      <c r="F282" s="179" t="s">
        <v>0</v>
      </c>
      <c r="G282" s="189" t="s">
        <v>355</v>
      </c>
      <c r="H282" s="178" t="s">
        <v>63</v>
      </c>
      <c r="I282" s="178"/>
      <c r="J282" s="178"/>
      <c r="K282" s="178"/>
      <c r="L282" s="178" t="s">
        <v>60</v>
      </c>
      <c r="M282" s="178">
        <v>90</v>
      </c>
      <c r="N282" s="178">
        <v>3300</v>
      </c>
      <c r="O282" s="178"/>
      <c r="P282" s="178"/>
      <c r="Q282" s="178"/>
      <c r="R282" s="178" t="s">
        <v>19</v>
      </c>
      <c r="S282" s="181"/>
      <c r="T282" s="181"/>
      <c r="U282" s="182"/>
      <c r="V282" s="182" t="s">
        <v>35</v>
      </c>
      <c r="W282" s="183">
        <v>100</v>
      </c>
      <c r="X282" s="182" t="s">
        <v>267</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c r="BC282" s="184"/>
      <c r="BD282" s="184"/>
      <c r="BE282" s="184"/>
      <c r="BF282" s="184"/>
      <c r="BG282" s="184">
        <v>11900</v>
      </c>
      <c r="BH282" s="184">
        <v>11900</v>
      </c>
      <c r="BI282" s="184">
        <v>11900</v>
      </c>
      <c r="BJ282" s="184"/>
      <c r="BK282" s="184"/>
      <c r="BL282" s="184"/>
      <c r="BM282" s="184"/>
      <c r="BN282" s="184"/>
      <c r="BO282" s="184"/>
      <c r="BP282" s="184"/>
      <c r="BQ282" s="184"/>
      <c r="BR282" s="184"/>
      <c r="BS282" s="184"/>
      <c r="BT282" s="184"/>
      <c r="BU282" s="146" cm="1">
        <f t="array" ref="BU282">LOOKUP(2,1/(Y282:BT282&lt;&gt;""),Y282:BH282)</f>
        <v>11900</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46023</v>
      </c>
      <c r="BW282" s="211" cm="1">
        <f t="array" ref="BW282">(LOOKUP(2,1/(BH282:BT282&lt;&gt;""),BH282:BT282))/(INDEX(BH282:BT282,MATCH(TRUE,INDEX((BH282:BT282&lt;&gt;0),0),0)))-1</f>
        <v>0</v>
      </c>
      <c r="BX282" s="212">
        <f t="shared" si="83"/>
        <v>11.9</v>
      </c>
      <c r="BY282" s="212">
        <f t="shared" si="82"/>
        <v>8.9250000000000007</v>
      </c>
      <c r="BZ282" s="212">
        <f ca="1">IF(L282="BR",'Impostos e Frete'!$F$6,IF(L282="EU",'Impostos e Frete'!$I$3,IF(L282="CN",'Impostos e Frete'!$I$4,IF(L282="JP",'Impostos e Frete'!$I$5,IF(L282="RU",'Impostos e Frete'!$I$7,"ERRO")))))</f>
        <v>1.11958</v>
      </c>
      <c r="CA282" s="212">
        <f>VLOOKUP(L282,'Impostos e Frete'!$A$3:$B$7,2,0)*'Preços e Condições'!BY282</f>
        <v>1.2495000000000003</v>
      </c>
      <c r="CB282" s="147">
        <f t="shared" si="84"/>
        <v>0</v>
      </c>
      <c r="CC282" s="147">
        <f>IF(X282="BRL",'Impostos e Frete'!$B$11,'Impostos e Frete'!$B$12)</f>
        <v>9.1999999999999998E-2</v>
      </c>
      <c r="CD282" s="213">
        <f t="shared" ca="1" si="85"/>
        <v>11.386080000000002</v>
      </c>
      <c r="CE282" s="214">
        <f t="shared" ca="1" si="86"/>
        <v>0.77425344000000007</v>
      </c>
      <c r="CF282" s="215">
        <f>VLOOKUP(L282,'Impostos e Frete'!$A$3:$C$7,3,0)</f>
        <v>120</v>
      </c>
      <c r="CG282" s="215">
        <f t="shared" si="87"/>
        <v>90</v>
      </c>
      <c r="CH282" s="215">
        <f t="shared" si="88"/>
        <v>-30</v>
      </c>
      <c r="CI282" s="216">
        <f t="shared" ca="1" si="89"/>
        <v>0.17079119999999826</v>
      </c>
      <c r="CJ282" s="217">
        <f t="shared" ca="1" si="90"/>
        <v>11.5568712</v>
      </c>
      <c r="CK282" s="218">
        <f t="shared" ca="1" si="91"/>
        <v>0.78586724159999988</v>
      </c>
    </row>
    <row r="283" spans="1:89">
      <c r="A283" s="176">
        <v>18431</v>
      </c>
      <c r="B283" s="177">
        <v>483</v>
      </c>
      <c r="C283" s="178">
        <v>68</v>
      </c>
      <c r="D283" s="178">
        <v>1870</v>
      </c>
      <c r="E283" s="178" t="s">
        <v>50</v>
      </c>
      <c r="F283" s="179" t="s">
        <v>0</v>
      </c>
      <c r="G283" s="189" t="s">
        <v>230</v>
      </c>
      <c r="H283" s="178" t="s">
        <v>63</v>
      </c>
      <c r="I283" s="178">
        <v>483</v>
      </c>
      <c r="J283" s="178"/>
      <c r="K283" s="178"/>
      <c r="L283" s="178" t="s">
        <v>60</v>
      </c>
      <c r="M283" s="178">
        <v>90</v>
      </c>
      <c r="N283" s="178">
        <v>3300</v>
      </c>
      <c r="O283" s="178"/>
      <c r="P283" s="178"/>
      <c r="Q283" s="178"/>
      <c r="R283" s="178" t="s">
        <v>19</v>
      </c>
      <c r="S283" s="181"/>
      <c r="T283" s="181"/>
      <c r="U283" s="182"/>
      <c r="V283" s="182" t="s">
        <v>35</v>
      </c>
      <c r="W283" s="183">
        <v>100</v>
      </c>
      <c r="X283" s="182" t="s">
        <v>267</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v>12400</v>
      </c>
      <c r="AW283" s="184">
        <v>12400</v>
      </c>
      <c r="AX283" s="184">
        <v>12400</v>
      </c>
      <c r="AY283" s="184">
        <v>12400</v>
      </c>
      <c r="AZ283" s="184">
        <v>12400</v>
      </c>
      <c r="BA283" s="184">
        <v>12400</v>
      </c>
      <c r="BB283" s="184">
        <v>12400</v>
      </c>
      <c r="BC283" s="184">
        <v>12400</v>
      </c>
      <c r="BD283" s="184">
        <v>12400</v>
      </c>
      <c r="BE283" s="184">
        <v>12400</v>
      </c>
      <c r="BF283" s="184">
        <v>12400</v>
      </c>
      <c r="BG283" s="184">
        <v>11900</v>
      </c>
      <c r="BH283" s="184">
        <v>11900</v>
      </c>
      <c r="BI283" s="184">
        <v>11900</v>
      </c>
      <c r="BJ283" s="184"/>
      <c r="BK283" s="184"/>
      <c r="BL283" s="184"/>
      <c r="BM283" s="184"/>
      <c r="BN283" s="184"/>
      <c r="BO283" s="184"/>
      <c r="BP283" s="184"/>
      <c r="BQ283" s="184"/>
      <c r="BR283" s="184"/>
      <c r="BS283" s="184"/>
      <c r="BT283" s="184"/>
      <c r="BU283" s="146" cm="1">
        <f t="array" ref="BU283">LOOKUP(2,1/(Y283:BT283&lt;&gt;""),Y283:BH283)</f>
        <v>11900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46023</v>
      </c>
      <c r="BW283" s="211" cm="1">
        <f t="array" ref="BW283">(LOOKUP(2,1/(BH283:BT283&lt;&gt;""),BH283:BT283))/(INDEX(BH283:BT283,MATCH(TRUE,INDEX((BH283:BT283&lt;&gt;0),0),0)))-1</f>
        <v>0</v>
      </c>
      <c r="BX283" s="212">
        <f t="shared" si="83"/>
        <v>11.9</v>
      </c>
      <c r="BY283" s="212">
        <f t="shared" si="82"/>
        <v>8.9250000000000007</v>
      </c>
      <c r="BZ283" s="212">
        <f ca="1">IF(L283="BR",'Impostos e Frete'!$F$6,IF(L283="EU",'Impostos e Frete'!$I$3,IF(L283="CN",'Impostos e Frete'!$I$4,IF(L283="JP",'Impostos e Frete'!$I$5,IF(L283="RU",'Impostos e Frete'!$I$7,"ERRO")))))</f>
        <v>1.11958</v>
      </c>
      <c r="CA283" s="212">
        <f>VLOOKUP(L283,'Impostos e Frete'!$A$3:$B$7,2,0)*'Preços e Condições'!BY283</f>
        <v>1.2495000000000003</v>
      </c>
      <c r="CB283" s="147">
        <f t="shared" si="84"/>
        <v>0</v>
      </c>
      <c r="CC283" s="147">
        <f>IF(X283="BRL",'Impostos e Frete'!$B$11,'Impostos e Frete'!$B$12)</f>
        <v>9.1999999999999998E-2</v>
      </c>
      <c r="CD283" s="213">
        <f t="shared" ca="1" si="85"/>
        <v>11.386080000000002</v>
      </c>
      <c r="CE283" s="214">
        <f t="shared" ca="1" si="86"/>
        <v>0.77425344000000007</v>
      </c>
      <c r="CF283" s="215">
        <f>VLOOKUP(L283,'Impostos e Frete'!$A$3:$C$7,3,0)</f>
        <v>120</v>
      </c>
      <c r="CG283" s="215">
        <f t="shared" si="87"/>
        <v>90</v>
      </c>
      <c r="CH283" s="215">
        <f t="shared" si="88"/>
        <v>-30</v>
      </c>
      <c r="CI283" s="216">
        <f t="shared" ca="1" si="89"/>
        <v>0.17079119999999826</v>
      </c>
      <c r="CJ283" s="217">
        <f t="shared" ca="1" si="90"/>
        <v>11.5568712</v>
      </c>
      <c r="CK283" s="218">
        <f t="shared" ca="1" si="91"/>
        <v>0.78586724159999988</v>
      </c>
    </row>
    <row r="284" spans="1:89">
      <c r="A284" s="176">
        <v>18431</v>
      </c>
      <c r="B284" s="177">
        <v>483</v>
      </c>
      <c r="C284" s="178">
        <v>68</v>
      </c>
      <c r="D284" s="178">
        <v>1870</v>
      </c>
      <c r="E284" s="178" t="s">
        <v>50</v>
      </c>
      <c r="F284" s="179" t="s">
        <v>0</v>
      </c>
      <c r="G284" s="189" t="s">
        <v>230</v>
      </c>
      <c r="H284" s="178" t="s">
        <v>63</v>
      </c>
      <c r="I284" s="178">
        <v>483</v>
      </c>
      <c r="J284" s="178"/>
      <c r="K284" s="178"/>
      <c r="L284" s="178" t="s">
        <v>60</v>
      </c>
      <c r="M284" s="178">
        <v>90</v>
      </c>
      <c r="N284" s="178">
        <v>400</v>
      </c>
      <c r="O284" s="178"/>
      <c r="P284" s="178"/>
      <c r="Q284" s="178"/>
      <c r="R284" s="178" t="s">
        <v>19</v>
      </c>
      <c r="S284" s="181"/>
      <c r="T284" s="181"/>
      <c r="U284" s="182"/>
      <c r="V284" s="182" t="s">
        <v>35</v>
      </c>
      <c r="W284" s="183">
        <v>100</v>
      </c>
      <c r="X284" s="182" t="s">
        <v>51</v>
      </c>
      <c r="Y284" s="184"/>
      <c r="Z284" s="184"/>
      <c r="AA284" s="184"/>
      <c r="AB284" s="184"/>
      <c r="AC284" s="184"/>
      <c r="AD284" s="184"/>
      <c r="AE284" s="184"/>
      <c r="AF284" s="184"/>
      <c r="AG284" s="184"/>
      <c r="AH284" s="184"/>
      <c r="AI284" s="184"/>
      <c r="AJ284" s="184"/>
      <c r="AK284" s="184"/>
      <c r="AL284" s="184"/>
      <c r="AM284" s="184"/>
      <c r="AN284" s="184"/>
      <c r="AO284" s="184"/>
      <c r="AP284" s="184"/>
      <c r="AQ284" s="184"/>
      <c r="AR284" s="184"/>
      <c r="AS284" s="184"/>
      <c r="AT284" s="184"/>
      <c r="AU284" s="184"/>
      <c r="AV284" s="184"/>
      <c r="AW284" s="184">
        <v>1600</v>
      </c>
      <c r="AX284" s="184">
        <v>1600</v>
      </c>
      <c r="AY284" s="184">
        <v>1600</v>
      </c>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46" cm="1">
        <f t="array" ref="BU284">LOOKUP(2,1/(Y284:BT284&lt;&gt;""),Y284:BH284)</f>
        <v>1600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45717</v>
      </c>
      <c r="BW284" s="211" t="e" cm="1">
        <f t="array" ref="BW284">(LOOKUP(2,1/(BH284:BT284&lt;&gt;""),BH284:BT284))/(INDEX(BH284:BT284,MATCH(TRUE,INDEX((BH284:BT284&lt;&gt;0),0),0)))-1</f>
        <v>#N/A</v>
      </c>
      <c r="BX284" s="212">
        <f t="shared" si="83"/>
        <v>1.6</v>
      </c>
      <c r="BY284" s="212">
        <f t="shared" si="82"/>
        <v>9.4400000000000013</v>
      </c>
      <c r="BZ284" s="212">
        <f ca="1">IF(L284="BR",'Impostos e Frete'!$F$6,IF(L284="EU",'Impostos e Frete'!$I$3,IF(L284="CN",'Impostos e Frete'!$I$4,IF(L284="JP",'Impostos e Frete'!$I$5,IF(L284="RU",'Impostos e Frete'!$I$7,"ERRO")))))</f>
        <v>1.11958</v>
      </c>
      <c r="CA284" s="212">
        <f>VLOOKUP(L284,'Impostos e Frete'!$A$3:$B$7,2,0)*'Preços e Condições'!BY284</f>
        <v>1.3216000000000003</v>
      </c>
      <c r="CB284" s="147">
        <f t="shared" si="84"/>
        <v>0</v>
      </c>
      <c r="CC284" s="147">
        <f>IF(X284="BRL",'Impostos e Frete'!$B$11,'Impostos e Frete'!$B$12)</f>
        <v>9.1999999999999998E-2</v>
      </c>
      <c r="CD284" s="213">
        <f t="shared" ca="1" si="85"/>
        <v>11.973180000000001</v>
      </c>
      <c r="CE284" s="214">
        <f t="shared" ca="1" si="86"/>
        <v>0.81417624000000011</v>
      </c>
      <c r="CF284" s="215">
        <f>VLOOKUP(L284,'Impostos e Frete'!$A$3:$C$7,3,0)</f>
        <v>120</v>
      </c>
      <c r="CG284" s="215">
        <f t="shared" si="87"/>
        <v>90</v>
      </c>
      <c r="CH284" s="215">
        <f t="shared" si="88"/>
        <v>-30</v>
      </c>
      <c r="CI284" s="216">
        <f t="shared" ca="1" si="89"/>
        <v>0.17959769999999864</v>
      </c>
      <c r="CJ284" s="217">
        <f t="shared" ca="1" si="90"/>
        <v>12.1527777</v>
      </c>
      <c r="CK284" s="218">
        <f t="shared" ca="1" si="91"/>
        <v>0.82638888359999996</v>
      </c>
    </row>
    <row r="285" spans="1:89">
      <c r="A285" s="176">
        <v>18443</v>
      </c>
      <c r="B285" s="177">
        <v>244</v>
      </c>
      <c r="C285" s="178">
        <v>65</v>
      </c>
      <c r="D285" s="178">
        <v>1870</v>
      </c>
      <c r="E285" s="178" t="s">
        <v>50</v>
      </c>
      <c r="F285" s="179" t="s">
        <v>0</v>
      </c>
      <c r="G285" s="189" t="s">
        <v>334</v>
      </c>
      <c r="H285" s="178" t="s">
        <v>63</v>
      </c>
      <c r="I285" s="178"/>
      <c r="J285" s="178"/>
      <c r="K285" s="178"/>
      <c r="L285" s="178" t="s">
        <v>60</v>
      </c>
      <c r="M285" s="178">
        <v>90</v>
      </c>
      <c r="N285" s="178">
        <v>3300</v>
      </c>
      <c r="O285" s="178"/>
      <c r="P285" s="178"/>
      <c r="Q285" s="178"/>
      <c r="R285" s="178" t="s">
        <v>19</v>
      </c>
      <c r="S285" s="181"/>
      <c r="T285" s="181"/>
      <c r="U285" s="182"/>
      <c r="V285" s="182" t="s">
        <v>35</v>
      </c>
      <c r="W285" s="183">
        <v>100</v>
      </c>
      <c r="X285" s="182" t="s">
        <v>267</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c r="BA285" s="184"/>
      <c r="BB285" s="184">
        <v>13800</v>
      </c>
      <c r="BC285" s="184">
        <v>13800</v>
      </c>
      <c r="BD285" s="184">
        <v>13800</v>
      </c>
      <c r="BE285" s="184">
        <v>13800</v>
      </c>
      <c r="BF285" s="184"/>
      <c r="BG285" s="184">
        <v>13000</v>
      </c>
      <c r="BH285" s="184">
        <v>13000</v>
      </c>
      <c r="BI285" s="184"/>
      <c r="BJ285" s="184"/>
      <c r="BK285" s="184"/>
      <c r="BL285" s="184"/>
      <c r="BM285" s="184"/>
      <c r="BN285" s="184"/>
      <c r="BO285" s="184"/>
      <c r="BP285" s="184"/>
      <c r="BQ285" s="184"/>
      <c r="BR285" s="184"/>
      <c r="BS285" s="184"/>
      <c r="BT285" s="184"/>
      <c r="BU285" s="146" cm="1">
        <f t="array" ref="BU285">LOOKUP(2,1/(Y285:BT285&lt;&gt;""),Y285:BH285)</f>
        <v>13000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45992</v>
      </c>
      <c r="BW285" s="211" cm="1">
        <f t="array" ref="BW285">(LOOKUP(2,1/(BH285:BT285&lt;&gt;""),BH285:BT285))/(INDEX(BH285:BT285,MATCH(TRUE,INDEX((BH285:BT285&lt;&gt;0),0),0)))-1</f>
        <v>0</v>
      </c>
      <c r="BX285" s="212">
        <f t="shared" si="83"/>
        <v>13</v>
      </c>
      <c r="BY285" s="212">
        <f t="shared" si="82"/>
        <v>9.75</v>
      </c>
      <c r="BZ285" s="212">
        <f ca="1">IF(L285="BR",'Impostos e Frete'!$F$6,IF(L285="EU",'Impostos e Frete'!$I$3,IF(L285="CN",'Impostos e Frete'!$I$4,IF(L285="JP",'Impostos e Frete'!$I$5,IF(L285="RU",'Impostos e Frete'!$I$7,"ERRO")))))</f>
        <v>1.11958</v>
      </c>
      <c r="CA285" s="212">
        <f>VLOOKUP(L285,'Impostos e Frete'!$A$3:$B$7,2,0)*'Preços e Condições'!BY285</f>
        <v>1.3650000000000002</v>
      </c>
      <c r="CB285" s="147">
        <f t="shared" si="84"/>
        <v>0</v>
      </c>
      <c r="CC285" s="147">
        <f>IF(X285="BRL",'Impostos e Frete'!$B$11,'Impostos e Frete'!$B$12)</f>
        <v>9.1999999999999998E-2</v>
      </c>
      <c r="CD285" s="213">
        <f t="shared" ca="1" si="85"/>
        <v>12.32658</v>
      </c>
      <c r="CE285" s="214">
        <f t="shared" ca="1" si="86"/>
        <v>0.80122769999999999</v>
      </c>
      <c r="CF285" s="215">
        <f>VLOOKUP(L285,'Impostos e Frete'!$A$3:$C$7,3,0)</f>
        <v>120</v>
      </c>
      <c r="CG285" s="215">
        <f t="shared" si="87"/>
        <v>90</v>
      </c>
      <c r="CH285" s="215">
        <f t="shared" si="88"/>
        <v>-30</v>
      </c>
      <c r="CI285" s="216">
        <f t="shared" ca="1" si="89"/>
        <v>0.18489869999999797</v>
      </c>
      <c r="CJ285" s="217">
        <f t="shared" ca="1" si="90"/>
        <v>12.511478699999998</v>
      </c>
      <c r="CK285" s="218">
        <f t="shared" ca="1" si="91"/>
        <v>0.81324611549999992</v>
      </c>
    </row>
    <row r="286" spans="1:89">
      <c r="A286" s="176">
        <v>18444</v>
      </c>
      <c r="B286" s="177" t="s">
        <v>374</v>
      </c>
      <c r="C286" s="178">
        <v>65</v>
      </c>
      <c r="D286" s="178">
        <v>2175</v>
      </c>
      <c r="E286" s="178" t="s">
        <v>50</v>
      </c>
      <c r="F286" s="179" t="s">
        <v>0</v>
      </c>
      <c r="G286" s="180" t="s">
        <v>375</v>
      </c>
      <c r="H286" s="178" t="s">
        <v>43</v>
      </c>
      <c r="I286" s="178"/>
      <c r="J286" s="178"/>
      <c r="K286" s="178"/>
      <c r="L286" s="178" t="s">
        <v>60</v>
      </c>
      <c r="M286" s="178">
        <v>90</v>
      </c>
      <c r="N286" s="178">
        <v>3300</v>
      </c>
      <c r="O286" s="178"/>
      <c r="P286" s="178"/>
      <c r="Q286" s="178"/>
      <c r="R286" s="178" t="s">
        <v>19</v>
      </c>
      <c r="S286" s="181"/>
      <c r="T286" s="181"/>
      <c r="U286" s="182"/>
      <c r="V286" s="182" t="s">
        <v>35</v>
      </c>
      <c r="W286" s="183">
        <v>100</v>
      </c>
      <c r="X286" s="182" t="s">
        <v>267</v>
      </c>
      <c r="Y286" s="184"/>
      <c r="Z286" s="184"/>
      <c r="AA286" s="184"/>
      <c r="AB286" s="184"/>
      <c r="AC286" s="184"/>
      <c r="AD286" s="184"/>
      <c r="AE286" s="184"/>
      <c r="AF286" s="184"/>
      <c r="AG286" s="184"/>
      <c r="AH286" s="184"/>
      <c r="AI286" s="184"/>
      <c r="AJ286" s="184"/>
      <c r="AK286" s="184"/>
      <c r="AL286" s="184"/>
      <c r="AM286" s="184"/>
      <c r="AN286" s="184"/>
      <c r="AO286" s="184"/>
      <c r="AP286" s="184"/>
      <c r="AQ286" s="184"/>
      <c r="AR286" s="184"/>
      <c r="AS286" s="184"/>
      <c r="AT286" s="184"/>
      <c r="AU286" s="184"/>
      <c r="AV286" s="184"/>
      <c r="AW286" s="184"/>
      <c r="AX286" s="184"/>
      <c r="AY286" s="184"/>
      <c r="AZ286" s="184"/>
      <c r="BA286" s="184"/>
      <c r="BB286" s="184"/>
      <c r="BC286" s="184">
        <v>12500</v>
      </c>
      <c r="BD286" s="184">
        <v>11900</v>
      </c>
      <c r="BE286" s="184">
        <v>11900</v>
      </c>
      <c r="BF286" s="184">
        <v>11900</v>
      </c>
      <c r="BG286" s="184">
        <v>10950</v>
      </c>
      <c r="BH286" s="184">
        <v>10950</v>
      </c>
      <c r="BI286" s="184">
        <v>10950</v>
      </c>
      <c r="BJ286" s="184"/>
      <c r="BK286" s="184"/>
      <c r="BL286" s="184"/>
      <c r="BM286" s="184"/>
      <c r="BN286" s="184"/>
      <c r="BO286" s="184"/>
      <c r="BP286" s="184"/>
      <c r="BQ286" s="184"/>
      <c r="BR286" s="184"/>
      <c r="BS286" s="184"/>
      <c r="BT286" s="184"/>
      <c r="BU286" s="146" cm="1">
        <f t="array" ref="BU286">LOOKUP(2,1/(Y286:BT286&lt;&gt;""),Y286:BH286)</f>
        <v>10950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46023</v>
      </c>
      <c r="BW286" s="211" cm="1">
        <f t="array" ref="BW286">(LOOKUP(2,1/(BH286:BT286&lt;&gt;""),BH286:BT286))/(INDEX(BH286:BT286,MATCH(TRUE,INDEX((BH286:BT286&lt;&gt;0),0),0)))-1</f>
        <v>0</v>
      </c>
      <c r="BX286" s="212">
        <f t="shared" si="83"/>
        <v>10.95</v>
      </c>
      <c r="BY286" s="212">
        <f t="shared" si="82"/>
        <v>8.2124999999999986</v>
      </c>
      <c r="BZ286" s="212">
        <f ca="1">IF(L286="BR",'Impostos e Frete'!$F$6,IF(L286="EU",'Impostos e Frete'!$I$3,IF(L286="CN",'Impostos e Frete'!$I$4,IF(L286="JP",'Impostos e Frete'!$I$5,IF(L286="RU",'Impostos e Frete'!$I$7,"ERRO")))))</f>
        <v>1.11958</v>
      </c>
      <c r="CA286" s="212">
        <f>VLOOKUP(L286,'Impostos e Frete'!$A$3:$B$7,2,0)*'Preços e Condições'!BY286</f>
        <v>1.1497499999999998</v>
      </c>
      <c r="CB286" s="147">
        <f t="shared" si="84"/>
        <v>0</v>
      </c>
      <c r="CC286" s="147">
        <f>IF(X286="BRL",'Impostos e Frete'!$B$11,'Impostos e Frete'!$B$12)</f>
        <v>9.1999999999999998E-2</v>
      </c>
      <c r="CD286" s="213">
        <f t="shared" ca="1" si="85"/>
        <v>10.573829999999997</v>
      </c>
      <c r="CE286" s="214">
        <f t="shared" ca="1" si="86"/>
        <v>0.68729894999999985</v>
      </c>
      <c r="CF286" s="215">
        <f>VLOOKUP(L286,'Impostos e Frete'!$A$3:$C$7,3,0)</f>
        <v>120</v>
      </c>
      <c r="CG286" s="215">
        <f t="shared" si="87"/>
        <v>90</v>
      </c>
      <c r="CH286" s="215">
        <f t="shared" si="88"/>
        <v>-30</v>
      </c>
      <c r="CI286" s="216">
        <f t="shared" ca="1" si="89"/>
        <v>0.1586074499999981</v>
      </c>
      <c r="CJ286" s="217">
        <f t="shared" ca="1" si="90"/>
        <v>10.732437449999995</v>
      </c>
      <c r="CK286" s="218">
        <f t="shared" ca="1" si="91"/>
        <v>0.69760843424999963</v>
      </c>
    </row>
    <row r="287" spans="1:89">
      <c r="A287" s="176">
        <v>17011</v>
      </c>
      <c r="B287" s="177">
        <v>399</v>
      </c>
      <c r="C287" s="178">
        <v>68</v>
      </c>
      <c r="D287" s="178">
        <v>2175</v>
      </c>
      <c r="E287" s="178" t="s">
        <v>50</v>
      </c>
      <c r="F287" s="179" t="s">
        <v>47</v>
      </c>
      <c r="G287" s="179" t="s">
        <v>79</v>
      </c>
      <c r="H287" s="178" t="s">
        <v>42</v>
      </c>
      <c r="I287" s="178">
        <v>6656</v>
      </c>
      <c r="J287" s="178"/>
      <c r="K287" s="178"/>
      <c r="L287" s="178" t="s">
        <v>59</v>
      </c>
      <c r="M287" s="178">
        <v>120</v>
      </c>
      <c r="N287" s="178">
        <v>300</v>
      </c>
      <c r="O287" s="178"/>
      <c r="P287" s="178"/>
      <c r="Q287" s="178"/>
      <c r="R287" s="178" t="s">
        <v>19</v>
      </c>
      <c r="S287" s="181"/>
      <c r="T287" s="181"/>
      <c r="U287" s="182"/>
      <c r="V287" s="182" t="s">
        <v>35</v>
      </c>
      <c r="W287" s="183">
        <v>50</v>
      </c>
      <c r="X287" s="182" t="s">
        <v>51</v>
      </c>
      <c r="Y287" s="184">
        <v>2760</v>
      </c>
      <c r="Z287" s="184">
        <v>2760</v>
      </c>
      <c r="AA287" s="184">
        <v>2760</v>
      </c>
      <c r="AB287" s="184">
        <v>2760</v>
      </c>
      <c r="AC287" s="184">
        <v>2760</v>
      </c>
      <c r="AD287" s="184">
        <v>2760</v>
      </c>
      <c r="AE287" s="184">
        <v>2400</v>
      </c>
      <c r="AF287" s="184">
        <v>2400</v>
      </c>
      <c r="AG287" s="184">
        <v>2400</v>
      </c>
      <c r="AH287" s="184">
        <v>2250</v>
      </c>
      <c r="AI287" s="184">
        <v>2250</v>
      </c>
      <c r="AJ287" s="184">
        <v>2250</v>
      </c>
      <c r="AK287" s="184">
        <v>2310</v>
      </c>
      <c r="AL287" s="184">
        <v>2310</v>
      </c>
      <c r="AM287" s="184">
        <v>2310</v>
      </c>
      <c r="AN287" s="184">
        <v>2440</v>
      </c>
      <c r="AO287" s="184">
        <v>2440</v>
      </c>
      <c r="AP287" s="184">
        <v>2440</v>
      </c>
      <c r="AQ287" s="184">
        <v>2590</v>
      </c>
      <c r="AR287" s="184">
        <v>2590</v>
      </c>
      <c r="AS287" s="184">
        <v>2590</v>
      </c>
      <c r="AT287" s="184">
        <v>2590</v>
      </c>
      <c r="AU287" s="184">
        <v>2590</v>
      </c>
      <c r="AV287" s="184">
        <v>2590</v>
      </c>
      <c r="AW287" s="184">
        <v>2510</v>
      </c>
      <c r="AX287" s="184">
        <v>2510</v>
      </c>
      <c r="AY287" s="184">
        <v>2510</v>
      </c>
      <c r="AZ287" s="184">
        <v>2290</v>
      </c>
      <c r="BA287" s="184">
        <v>2290</v>
      </c>
      <c r="BB287" s="184">
        <v>2590</v>
      </c>
      <c r="BC287" s="184">
        <v>2590</v>
      </c>
      <c r="BD287" s="184">
        <v>2590</v>
      </c>
      <c r="BE287" s="184">
        <v>2590</v>
      </c>
      <c r="BF287" s="184">
        <v>2510</v>
      </c>
      <c r="BG287" s="184">
        <v>2510</v>
      </c>
      <c r="BH287" s="184">
        <v>2510</v>
      </c>
      <c r="BI287" s="184">
        <v>2540</v>
      </c>
      <c r="BJ287" s="184">
        <v>2540</v>
      </c>
      <c r="BK287" s="184">
        <v>2540</v>
      </c>
      <c r="BL287" s="203">
        <v>2640</v>
      </c>
      <c r="BM287" s="203">
        <v>2640</v>
      </c>
      <c r="BN287" s="203">
        <v>2640</v>
      </c>
      <c r="BO287" s="184"/>
      <c r="BP287" s="184"/>
      <c r="BQ287" s="184"/>
      <c r="BR287" s="184"/>
      <c r="BS287" s="184"/>
      <c r="BT287" s="184"/>
      <c r="BU287" s="146" cm="1">
        <f t="array" ref="BU287">LOOKUP(2,1/(Y287:BT287&lt;&gt;""),Y287:BH287)</f>
        <v>2640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46174</v>
      </c>
      <c r="BW287" s="211" cm="1">
        <f t="array" ref="BW287">(LOOKUP(2,1/(BH287:BT287&lt;&gt;""),BH287:BT287))/(INDEX(BH287:BT287,MATCH(TRUE,INDEX((BH287:BT287&lt;&gt;0),0),0)))-1</f>
        <v>5.1792828685258918E-2</v>
      </c>
      <c r="BX287" s="212">
        <f t="shared" si="83"/>
        <v>2.64</v>
      </c>
      <c r="BY287" s="212">
        <f t="shared" si="82"/>
        <v>15.576000000000002</v>
      </c>
      <c r="BZ287" s="212">
        <f ca="1">IF(L287="BR",'Impostos e Frete'!$F$6,IF(L287="EU",'Impostos e Frete'!$I$3,IF(L287="CN",'Impostos e Frete'!$I$4,IF(L287="JP",'Impostos e Frete'!$I$5,IF(L287="RU",'Impostos e Frete'!$I$7,"ERRO")))))</f>
        <v>0.14176320000000001</v>
      </c>
      <c r="CA287" s="212">
        <f>VLOOKUP(L287,'Impostos e Frete'!$A$3:$B$7,2,0)*'Preços e Condições'!BY287</f>
        <v>2.0248800000000005</v>
      </c>
      <c r="CB287" s="147">
        <f t="shared" si="84"/>
        <v>0</v>
      </c>
      <c r="CC287" s="147">
        <f>IF(X287="BRL",'Impostos e Frete'!$B$11,'Impostos e Frete'!$B$12)</f>
        <v>9.1999999999999998E-2</v>
      </c>
      <c r="CD287" s="213">
        <f t="shared" ca="1" si="85"/>
        <v>17.834643200000002</v>
      </c>
      <c r="CE287" s="214">
        <f t="shared" ca="1" si="86"/>
        <v>1.2127557376000002</v>
      </c>
      <c r="CF287" s="215">
        <f>VLOOKUP(L287,'Impostos e Frete'!$A$3:$C$7,3,0)</f>
        <v>105</v>
      </c>
      <c r="CG287" s="215">
        <f t="shared" si="87"/>
        <v>120</v>
      </c>
      <c r="CH287" s="215">
        <f t="shared" si="88"/>
        <v>15</v>
      </c>
      <c r="CI287" s="216">
        <f t="shared" ca="1" si="89"/>
        <v>-0.13227359236201863</v>
      </c>
      <c r="CJ287" s="217">
        <f t="shared" ca="1" si="90"/>
        <v>17.702369607637984</v>
      </c>
      <c r="CK287" s="218">
        <f t="shared" ca="1" si="91"/>
        <v>1.2037611333193829</v>
      </c>
    </row>
    <row r="288" spans="1:89">
      <c r="A288" s="176">
        <v>17011</v>
      </c>
      <c r="B288" s="177">
        <v>399</v>
      </c>
      <c r="C288" s="178">
        <v>68</v>
      </c>
      <c r="D288" s="178">
        <v>2175</v>
      </c>
      <c r="E288" s="178" t="s">
        <v>50</v>
      </c>
      <c r="F288" s="179" t="s">
        <v>47</v>
      </c>
      <c r="G288" s="179" t="s">
        <v>79</v>
      </c>
      <c r="H288" s="178" t="s">
        <v>42</v>
      </c>
      <c r="I288" s="178">
        <v>6656</v>
      </c>
      <c r="J288" s="178"/>
      <c r="K288" s="178"/>
      <c r="L288" s="178" t="s">
        <v>59</v>
      </c>
      <c r="M288" s="178">
        <v>120</v>
      </c>
      <c r="N288" s="178">
        <v>300</v>
      </c>
      <c r="O288" s="178"/>
      <c r="P288" s="178"/>
      <c r="Q288" s="178"/>
      <c r="R288" s="178" t="s">
        <v>19</v>
      </c>
      <c r="S288" s="181"/>
      <c r="T288" s="181"/>
      <c r="U288" s="182"/>
      <c r="V288" s="182" t="s">
        <v>35</v>
      </c>
      <c r="W288" s="183">
        <v>30</v>
      </c>
      <c r="X288" s="182" t="s">
        <v>51</v>
      </c>
      <c r="Y288" s="184">
        <v>2810</v>
      </c>
      <c r="Z288" s="184">
        <v>2810</v>
      </c>
      <c r="AA288" s="184">
        <v>2810</v>
      </c>
      <c r="AB288" s="184">
        <v>2810</v>
      </c>
      <c r="AC288" s="184">
        <v>2810</v>
      </c>
      <c r="AD288" s="184">
        <v>2810</v>
      </c>
      <c r="AE288" s="184">
        <v>2450</v>
      </c>
      <c r="AF288" s="184">
        <v>2450</v>
      </c>
      <c r="AG288" s="184">
        <v>2450</v>
      </c>
      <c r="AH288" s="184">
        <v>2300</v>
      </c>
      <c r="AI288" s="184">
        <v>2300</v>
      </c>
      <c r="AJ288" s="184">
        <v>2300</v>
      </c>
      <c r="AK288" s="184">
        <v>2360</v>
      </c>
      <c r="AL288" s="184">
        <v>2360</v>
      </c>
      <c r="AM288" s="184">
        <v>2360</v>
      </c>
      <c r="AN288" s="184">
        <v>2490</v>
      </c>
      <c r="AO288" s="184">
        <v>2490</v>
      </c>
      <c r="AP288" s="184">
        <v>2490</v>
      </c>
      <c r="AQ288" s="184">
        <v>2640</v>
      </c>
      <c r="AR288" s="184">
        <v>2640</v>
      </c>
      <c r="AS288" s="184">
        <v>2640</v>
      </c>
      <c r="AT288" s="184">
        <v>2640</v>
      </c>
      <c r="AU288" s="184">
        <v>2640</v>
      </c>
      <c r="AV288" s="184">
        <v>2640</v>
      </c>
      <c r="AW288" s="184">
        <v>2560</v>
      </c>
      <c r="AX288" s="184">
        <v>2560</v>
      </c>
      <c r="AY288" s="184">
        <v>2560</v>
      </c>
      <c r="AZ288" s="184">
        <v>2340</v>
      </c>
      <c r="BA288" s="184">
        <v>2340</v>
      </c>
      <c r="BB288" s="184">
        <v>2640</v>
      </c>
      <c r="BC288" s="184">
        <v>2640</v>
      </c>
      <c r="BD288" s="184">
        <v>2640</v>
      </c>
      <c r="BE288" s="184">
        <v>2640</v>
      </c>
      <c r="BF288" s="184">
        <v>2560</v>
      </c>
      <c r="BG288" s="184">
        <v>2560</v>
      </c>
      <c r="BH288" s="184">
        <v>2560</v>
      </c>
      <c r="BI288" s="184">
        <v>2590</v>
      </c>
      <c r="BJ288" s="184">
        <v>2590</v>
      </c>
      <c r="BK288" s="184">
        <v>2590</v>
      </c>
      <c r="BL288" s="203">
        <v>2690</v>
      </c>
      <c r="BM288" s="203">
        <v>2690</v>
      </c>
      <c r="BN288" s="203">
        <v>2690</v>
      </c>
      <c r="BO288" s="184"/>
      <c r="BP288" s="184"/>
      <c r="BQ288" s="184"/>
      <c r="BR288" s="184"/>
      <c r="BS288" s="184"/>
      <c r="BT288" s="184"/>
      <c r="BU288" s="146" cm="1">
        <f t="array" ref="BU288">LOOKUP(2,1/(Y288:BT288&lt;&gt;""),Y288:BH288)</f>
        <v>2690</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46174</v>
      </c>
      <c r="BW288" s="211" cm="1">
        <f t="array" ref="BW288">(LOOKUP(2,1/(BH288:BT288&lt;&gt;""),BH288:BT288))/(INDEX(BH288:BT288,MATCH(TRUE,INDEX((BH288:BT288&lt;&gt;0),0),0)))-1</f>
        <v>5.078125E-2</v>
      </c>
      <c r="BX288" s="212">
        <f t="shared" si="83"/>
        <v>2.69</v>
      </c>
      <c r="BY288" s="212">
        <f t="shared" si="82"/>
        <v>15.871</v>
      </c>
      <c r="BZ288" s="212">
        <f ca="1">IF(L288="BR",'Impostos e Frete'!$F$6,IF(L288="EU",'Impostos e Frete'!$I$3,IF(L288="CN",'Impostos e Frete'!$I$4,IF(L288="JP",'Impostos e Frete'!$I$5,IF(L288="RU",'Impostos e Frete'!$I$7,"ERRO")))))</f>
        <v>0.14176320000000001</v>
      </c>
      <c r="CA288" s="212">
        <f>VLOOKUP(L288,'Impostos e Frete'!$A$3:$B$7,2,0)*'Preços e Condições'!BY288</f>
        <v>2.0632300000000003</v>
      </c>
      <c r="CB288" s="147">
        <f t="shared" si="84"/>
        <v>0</v>
      </c>
      <c r="CC288" s="147">
        <f>IF(X288="BRL",'Impostos e Frete'!$B$11,'Impostos e Frete'!$B$12)</f>
        <v>9.1999999999999998E-2</v>
      </c>
      <c r="CD288" s="213">
        <f t="shared" ca="1" si="85"/>
        <v>18.167993200000002</v>
      </c>
      <c r="CE288" s="214">
        <f t="shared" ca="1" si="86"/>
        <v>1.2354235376000002</v>
      </c>
      <c r="CF288" s="215">
        <f>VLOOKUP(L288,'Impostos e Frete'!$A$3:$C$7,3,0)</f>
        <v>105</v>
      </c>
      <c r="CG288" s="215">
        <f t="shared" si="87"/>
        <v>120</v>
      </c>
      <c r="CH288" s="215">
        <f t="shared" si="88"/>
        <v>15</v>
      </c>
      <c r="CI288" s="216">
        <f t="shared" ca="1" si="89"/>
        <v>-0.1347459379828102</v>
      </c>
      <c r="CJ288" s="217">
        <f t="shared" ca="1" si="90"/>
        <v>18.033247262017191</v>
      </c>
      <c r="CK288" s="218">
        <f t="shared" ca="1" si="91"/>
        <v>1.2262608138171691</v>
      </c>
    </row>
    <row r="289" spans="1:89">
      <c r="A289" s="176">
        <v>17011</v>
      </c>
      <c r="B289" s="177">
        <v>399</v>
      </c>
      <c r="C289" s="178">
        <v>68</v>
      </c>
      <c r="D289" s="178">
        <v>2175</v>
      </c>
      <c r="E289" s="178" t="s">
        <v>50</v>
      </c>
      <c r="F289" s="179" t="s">
        <v>47</v>
      </c>
      <c r="G289" s="179" t="s">
        <v>79</v>
      </c>
      <c r="H289" s="178" t="s">
        <v>42</v>
      </c>
      <c r="I289" s="178">
        <v>6656</v>
      </c>
      <c r="J289" s="178"/>
      <c r="K289" s="178"/>
      <c r="L289" s="178" t="s">
        <v>59</v>
      </c>
      <c r="M289" s="178">
        <v>120</v>
      </c>
      <c r="N289" s="178">
        <v>300</v>
      </c>
      <c r="O289" s="178"/>
      <c r="P289" s="178"/>
      <c r="Q289" s="178"/>
      <c r="R289" s="178" t="s">
        <v>19</v>
      </c>
      <c r="S289" s="181"/>
      <c r="T289" s="181"/>
      <c r="U289" s="182"/>
      <c r="V289" s="182" t="s">
        <v>35</v>
      </c>
      <c r="W289" s="183">
        <v>20</v>
      </c>
      <c r="X289" s="182" t="s">
        <v>51</v>
      </c>
      <c r="Y289" s="184">
        <v>2860</v>
      </c>
      <c r="Z289" s="184">
        <v>2860</v>
      </c>
      <c r="AA289" s="184">
        <v>2860</v>
      </c>
      <c r="AB289" s="184">
        <v>2860</v>
      </c>
      <c r="AC289" s="184">
        <v>2860</v>
      </c>
      <c r="AD289" s="184">
        <v>2860</v>
      </c>
      <c r="AE289" s="184">
        <v>2500</v>
      </c>
      <c r="AF289" s="184">
        <v>2500</v>
      </c>
      <c r="AG289" s="184">
        <v>2500</v>
      </c>
      <c r="AH289" s="184">
        <v>2350</v>
      </c>
      <c r="AI289" s="184">
        <v>2350</v>
      </c>
      <c r="AJ289" s="184">
        <v>2350</v>
      </c>
      <c r="AK289" s="184">
        <v>2410</v>
      </c>
      <c r="AL289" s="184">
        <v>2410</v>
      </c>
      <c r="AM289" s="184">
        <v>2410</v>
      </c>
      <c r="AN289" s="184">
        <v>2540</v>
      </c>
      <c r="AO289" s="184">
        <v>2540</v>
      </c>
      <c r="AP289" s="184">
        <v>2540</v>
      </c>
      <c r="AQ289" s="184">
        <v>2690</v>
      </c>
      <c r="AR289" s="184">
        <v>2690</v>
      </c>
      <c r="AS289" s="184">
        <v>2690</v>
      </c>
      <c r="AT289" s="184">
        <v>2690</v>
      </c>
      <c r="AU289" s="184">
        <v>2690</v>
      </c>
      <c r="AV289" s="184">
        <v>2690</v>
      </c>
      <c r="AW289" s="184">
        <v>2610</v>
      </c>
      <c r="AX289" s="184">
        <v>2610</v>
      </c>
      <c r="AY289" s="184">
        <v>2610</v>
      </c>
      <c r="AZ289" s="184">
        <v>2390</v>
      </c>
      <c r="BA289" s="184">
        <v>2390</v>
      </c>
      <c r="BB289" s="184">
        <v>2690</v>
      </c>
      <c r="BC289" s="184">
        <v>2690</v>
      </c>
      <c r="BD289" s="184">
        <v>2690</v>
      </c>
      <c r="BE289" s="184">
        <v>2690</v>
      </c>
      <c r="BF289" s="184">
        <v>2610</v>
      </c>
      <c r="BG289" s="184">
        <v>2610</v>
      </c>
      <c r="BH289" s="184">
        <v>2610</v>
      </c>
      <c r="BI289" s="184">
        <v>2640</v>
      </c>
      <c r="BJ289" s="184">
        <v>2640</v>
      </c>
      <c r="BK289" s="184">
        <v>2640</v>
      </c>
      <c r="BL289" s="203">
        <v>2740</v>
      </c>
      <c r="BM289" s="203">
        <v>2740</v>
      </c>
      <c r="BN289" s="203">
        <v>2740</v>
      </c>
      <c r="BO289" s="184"/>
      <c r="BP289" s="184"/>
      <c r="BQ289" s="184"/>
      <c r="BR289" s="184"/>
      <c r="BS289" s="184"/>
      <c r="BT289" s="184"/>
      <c r="BU289" s="146" cm="1">
        <f t="array" ref="BU289">LOOKUP(2,1/(Y289:BT289&lt;&gt;""),Y289:BH289)</f>
        <v>2740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46174</v>
      </c>
      <c r="BW289" s="211" cm="1">
        <f t="array" ref="BW289">(LOOKUP(2,1/(BH289:BT289&lt;&gt;""),BH289:BT289))/(INDEX(BH289:BT289,MATCH(TRUE,INDEX((BH289:BT289&lt;&gt;0),0),0)))-1</f>
        <v>4.9808429118773923E-2</v>
      </c>
      <c r="BX289" s="212">
        <f t="shared" si="83"/>
        <v>2.74</v>
      </c>
      <c r="BY289" s="212">
        <f t="shared" si="82"/>
        <v>16.166000000000004</v>
      </c>
      <c r="BZ289" s="212">
        <f ca="1">IF(L289="BR",'Impostos e Frete'!$F$6,IF(L289="EU",'Impostos e Frete'!$I$3,IF(L289="CN",'Impostos e Frete'!$I$4,IF(L289="JP",'Impostos e Frete'!$I$5,IF(L289="RU",'Impostos e Frete'!$I$7,"ERRO")))))</f>
        <v>0.14176320000000001</v>
      </c>
      <c r="CA289" s="212">
        <f>VLOOKUP(L289,'Impostos e Frete'!$A$3:$B$7,2,0)*'Preços e Condições'!BY289</f>
        <v>2.1015800000000007</v>
      </c>
      <c r="CB289" s="147">
        <f t="shared" si="84"/>
        <v>0</v>
      </c>
      <c r="CC289" s="147">
        <f>IF(X289="BRL",'Impostos e Frete'!$B$11,'Impostos e Frete'!$B$12)</f>
        <v>9.1999999999999998E-2</v>
      </c>
      <c r="CD289" s="213">
        <f t="shared" ca="1" si="85"/>
        <v>18.501343200000004</v>
      </c>
      <c r="CE289" s="214">
        <f t="shared" ca="1" si="86"/>
        <v>1.2580913376000005</v>
      </c>
      <c r="CF289" s="215">
        <f>VLOOKUP(L289,'Impostos e Frete'!$A$3:$C$7,3,0)</f>
        <v>105</v>
      </c>
      <c r="CG289" s="215">
        <f t="shared" si="87"/>
        <v>120</v>
      </c>
      <c r="CH289" s="215">
        <f t="shared" si="88"/>
        <v>15</v>
      </c>
      <c r="CI289" s="216">
        <f t="shared" ca="1" si="89"/>
        <v>-0.13721828360360178</v>
      </c>
      <c r="CJ289" s="217">
        <f t="shared" ca="1" si="90"/>
        <v>18.364124916396403</v>
      </c>
      <c r="CK289" s="218">
        <f t="shared" ca="1" si="91"/>
        <v>1.2487604943149553</v>
      </c>
    </row>
    <row r="290" spans="1:89">
      <c r="A290" s="176">
        <v>17011</v>
      </c>
      <c r="B290" s="177">
        <v>399</v>
      </c>
      <c r="C290" s="178">
        <v>68</v>
      </c>
      <c r="D290" s="178">
        <v>2175</v>
      </c>
      <c r="E290" s="178" t="s">
        <v>50</v>
      </c>
      <c r="F290" s="179" t="s">
        <v>47</v>
      </c>
      <c r="G290" s="179" t="s">
        <v>79</v>
      </c>
      <c r="H290" s="178" t="s">
        <v>42</v>
      </c>
      <c r="I290" s="178">
        <v>6656</v>
      </c>
      <c r="J290" s="178"/>
      <c r="K290" s="178"/>
      <c r="L290" s="178" t="s">
        <v>59</v>
      </c>
      <c r="M290" s="178">
        <v>120</v>
      </c>
      <c r="N290" s="178">
        <v>300</v>
      </c>
      <c r="O290" s="178"/>
      <c r="P290" s="178"/>
      <c r="Q290" s="178"/>
      <c r="R290" s="178" t="s">
        <v>19</v>
      </c>
      <c r="S290" s="181"/>
      <c r="T290" s="181"/>
      <c r="U290" s="182"/>
      <c r="V290" s="182" t="s">
        <v>35</v>
      </c>
      <c r="W290" s="183">
        <v>10</v>
      </c>
      <c r="X290" s="182" t="s">
        <v>51</v>
      </c>
      <c r="Y290" s="184">
        <v>2940</v>
      </c>
      <c r="Z290" s="184">
        <v>2940</v>
      </c>
      <c r="AA290" s="184">
        <v>2940</v>
      </c>
      <c r="AB290" s="184">
        <v>2940</v>
      </c>
      <c r="AC290" s="184">
        <v>2940</v>
      </c>
      <c r="AD290" s="184">
        <v>2940</v>
      </c>
      <c r="AE290" s="184">
        <v>2580</v>
      </c>
      <c r="AF290" s="184">
        <v>2580</v>
      </c>
      <c r="AG290" s="184">
        <v>2580</v>
      </c>
      <c r="AH290" s="184">
        <v>2430</v>
      </c>
      <c r="AI290" s="184">
        <v>2430</v>
      </c>
      <c r="AJ290" s="184">
        <v>2430</v>
      </c>
      <c r="AK290" s="184">
        <v>2490</v>
      </c>
      <c r="AL290" s="184">
        <v>2490</v>
      </c>
      <c r="AM290" s="184">
        <v>2490</v>
      </c>
      <c r="AN290" s="184">
        <v>2620</v>
      </c>
      <c r="AO290" s="184">
        <v>2620</v>
      </c>
      <c r="AP290" s="184">
        <v>2620</v>
      </c>
      <c r="AQ290" s="184">
        <v>2770</v>
      </c>
      <c r="AR290" s="184">
        <v>2770</v>
      </c>
      <c r="AS290" s="184">
        <v>2770</v>
      </c>
      <c r="AT290" s="184">
        <v>2770</v>
      </c>
      <c r="AU290" s="184">
        <v>2770</v>
      </c>
      <c r="AV290" s="184">
        <v>2770</v>
      </c>
      <c r="AW290" s="184">
        <v>2690</v>
      </c>
      <c r="AX290" s="184">
        <v>2690</v>
      </c>
      <c r="AY290" s="184">
        <v>2690</v>
      </c>
      <c r="AZ290" s="184">
        <v>2470</v>
      </c>
      <c r="BA290" s="184">
        <v>2470</v>
      </c>
      <c r="BB290" s="184">
        <v>2770</v>
      </c>
      <c r="BC290" s="184">
        <v>2770</v>
      </c>
      <c r="BD290" s="184">
        <v>2770</v>
      </c>
      <c r="BE290" s="184">
        <v>2770</v>
      </c>
      <c r="BF290" s="184">
        <v>2690</v>
      </c>
      <c r="BG290" s="184">
        <v>2690</v>
      </c>
      <c r="BH290" s="184">
        <v>2690</v>
      </c>
      <c r="BI290" s="184">
        <v>2720</v>
      </c>
      <c r="BJ290" s="184">
        <v>2720</v>
      </c>
      <c r="BK290" s="184">
        <v>2720</v>
      </c>
      <c r="BL290" s="203">
        <v>2820</v>
      </c>
      <c r="BM290" s="203">
        <v>2820</v>
      </c>
      <c r="BN290" s="203">
        <v>2820</v>
      </c>
      <c r="BO290" s="184"/>
      <c r="BP290" s="184"/>
      <c r="BQ290" s="184"/>
      <c r="BR290" s="184"/>
      <c r="BS290" s="184"/>
      <c r="BT290" s="184"/>
      <c r="BU290" s="146" cm="1">
        <f t="array" ref="BU290">LOOKUP(2,1/(Y290:BT290&lt;&gt;""),Y290:BH290)</f>
        <v>2820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46174</v>
      </c>
      <c r="BW290" s="211" cm="1">
        <f t="array" ref="BW290">(LOOKUP(2,1/(BH290:BT290&lt;&gt;""),BH290:BT290))/(INDEX(BH290:BT290,MATCH(TRUE,INDEX((BH290:BT290&lt;&gt;0),0),0)))-1</f>
        <v>4.8327137546468446E-2</v>
      </c>
      <c r="BX290" s="212">
        <f t="shared" si="83"/>
        <v>2.82</v>
      </c>
      <c r="BY290" s="212">
        <f t="shared" si="82"/>
        <v>16.638000000000002</v>
      </c>
      <c r="BZ290" s="212">
        <f ca="1">IF(L290="BR",'Impostos e Frete'!$F$6,IF(L290="EU",'Impostos e Frete'!$I$3,IF(L290="CN",'Impostos e Frete'!$I$4,IF(L290="JP",'Impostos e Frete'!$I$5,IF(L290="RU",'Impostos e Frete'!$I$7,"ERRO")))))</f>
        <v>0.14176320000000001</v>
      </c>
      <c r="CA290" s="212">
        <f>VLOOKUP(L290,'Impostos e Frete'!$A$3:$B$7,2,0)*'Preços e Condições'!BY290</f>
        <v>2.1629400000000003</v>
      </c>
      <c r="CB290" s="147">
        <f t="shared" si="84"/>
        <v>0</v>
      </c>
      <c r="CC290" s="147">
        <f>IF(X290="BRL",'Impostos e Frete'!$B$11,'Impostos e Frete'!$B$12)</f>
        <v>9.1999999999999998E-2</v>
      </c>
      <c r="CD290" s="213">
        <f t="shared" ca="1" si="85"/>
        <v>19.034703199999999</v>
      </c>
      <c r="CE290" s="214">
        <f t="shared" ca="1" si="86"/>
        <v>1.2943598176</v>
      </c>
      <c r="CF290" s="215">
        <f>VLOOKUP(L290,'Impostos e Frete'!$A$3:$C$7,3,0)</f>
        <v>105</v>
      </c>
      <c r="CG290" s="215">
        <f t="shared" si="87"/>
        <v>120</v>
      </c>
      <c r="CH290" s="215">
        <f t="shared" si="88"/>
        <v>15</v>
      </c>
      <c r="CI290" s="216">
        <f t="shared" ca="1" si="89"/>
        <v>-0.14117403659686545</v>
      </c>
      <c r="CJ290" s="217">
        <f t="shared" ca="1" si="90"/>
        <v>18.893529163403134</v>
      </c>
      <c r="CK290" s="218">
        <f t="shared" ca="1" si="91"/>
        <v>1.2847599831114132</v>
      </c>
    </row>
    <row r="291" spans="1:89">
      <c r="A291" s="176">
        <v>17024</v>
      </c>
      <c r="B291" s="177">
        <v>399</v>
      </c>
      <c r="C291" s="178">
        <v>68</v>
      </c>
      <c r="D291" s="178">
        <v>1870</v>
      </c>
      <c r="E291" s="178" t="s">
        <v>50</v>
      </c>
      <c r="F291" s="179" t="s">
        <v>47</v>
      </c>
      <c r="G291" s="179" t="s">
        <v>79</v>
      </c>
      <c r="H291" s="178" t="s">
        <v>42</v>
      </c>
      <c r="I291" s="178">
        <v>6656</v>
      </c>
      <c r="J291" s="178"/>
      <c r="K291" s="178"/>
      <c r="L291" s="178" t="s">
        <v>59</v>
      </c>
      <c r="M291" s="178">
        <v>120</v>
      </c>
      <c r="N291" s="178">
        <v>300</v>
      </c>
      <c r="O291" s="178"/>
      <c r="P291" s="178"/>
      <c r="Q291" s="178"/>
      <c r="R291" s="178" t="s">
        <v>19</v>
      </c>
      <c r="S291" s="181"/>
      <c r="T291" s="181"/>
      <c r="U291" s="182"/>
      <c r="V291" s="182" t="s">
        <v>35</v>
      </c>
      <c r="W291" s="183">
        <v>50</v>
      </c>
      <c r="X291" s="182" t="s">
        <v>51</v>
      </c>
      <c r="Y291" s="184">
        <v>2760</v>
      </c>
      <c r="Z291" s="184">
        <v>2760</v>
      </c>
      <c r="AA291" s="184">
        <v>2760</v>
      </c>
      <c r="AB291" s="184">
        <v>2760</v>
      </c>
      <c r="AC291" s="184">
        <v>2760</v>
      </c>
      <c r="AD291" s="184">
        <v>2760</v>
      </c>
      <c r="AE291" s="184">
        <v>2400</v>
      </c>
      <c r="AF291" s="184">
        <v>2400</v>
      </c>
      <c r="AG291" s="184">
        <v>2400</v>
      </c>
      <c r="AH291" s="184">
        <v>2250</v>
      </c>
      <c r="AI291" s="184">
        <v>2250</v>
      </c>
      <c r="AJ291" s="184">
        <v>2250</v>
      </c>
      <c r="AK291" s="184">
        <v>2310</v>
      </c>
      <c r="AL291" s="184">
        <v>2310</v>
      </c>
      <c r="AM291" s="184">
        <v>2310</v>
      </c>
      <c r="AN291" s="184">
        <v>2440</v>
      </c>
      <c r="AO291" s="184">
        <v>2440</v>
      </c>
      <c r="AP291" s="184">
        <v>2440</v>
      </c>
      <c r="AQ291" s="184">
        <v>2590</v>
      </c>
      <c r="AR291" s="184">
        <v>2590</v>
      </c>
      <c r="AS291" s="184">
        <v>2590</v>
      </c>
      <c r="AT291" s="184">
        <v>2590</v>
      </c>
      <c r="AU291" s="184">
        <v>2590</v>
      </c>
      <c r="AV291" s="184">
        <v>2590</v>
      </c>
      <c r="AW291" s="184">
        <v>2510</v>
      </c>
      <c r="AX291" s="184">
        <v>2510</v>
      </c>
      <c r="AY291" s="184">
        <v>2510</v>
      </c>
      <c r="AZ291" s="184">
        <v>2290</v>
      </c>
      <c r="BA291" s="184">
        <v>2290</v>
      </c>
      <c r="BB291" s="184">
        <v>2590</v>
      </c>
      <c r="BC291" s="184">
        <v>2590</v>
      </c>
      <c r="BD291" s="184">
        <v>2590</v>
      </c>
      <c r="BE291" s="184">
        <v>2590</v>
      </c>
      <c r="BF291" s="184">
        <v>2510</v>
      </c>
      <c r="BG291" s="184">
        <v>2510</v>
      </c>
      <c r="BH291" s="184">
        <v>2510</v>
      </c>
      <c r="BI291" s="184">
        <v>2540</v>
      </c>
      <c r="BJ291" s="184">
        <v>2540</v>
      </c>
      <c r="BK291" s="184">
        <v>2540</v>
      </c>
      <c r="BL291" s="203">
        <v>2640</v>
      </c>
      <c r="BM291" s="203">
        <v>2640</v>
      </c>
      <c r="BN291" s="203">
        <v>2640</v>
      </c>
      <c r="BO291" s="184"/>
      <c r="BP291" s="184"/>
      <c r="BQ291" s="184"/>
      <c r="BR291" s="184"/>
      <c r="BS291" s="184"/>
      <c r="BT291" s="184"/>
      <c r="BU291" s="146" cm="1">
        <f t="array" ref="BU291">LOOKUP(2,1/(Y291:BT291&lt;&gt;""),Y291:BH291)</f>
        <v>2640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46174</v>
      </c>
      <c r="BW291" s="211" cm="1">
        <f t="array" ref="BW291">(LOOKUP(2,1/(BH291:BT291&lt;&gt;""),BH291:BT291))/(INDEX(BH291:BT291,MATCH(TRUE,INDEX((BH291:BT291&lt;&gt;0),0),0)))-1</f>
        <v>5.1792828685258918E-2</v>
      </c>
      <c r="BX291" s="212">
        <f t="shared" si="83"/>
        <v>2.64</v>
      </c>
      <c r="BY291" s="212">
        <f t="shared" si="82"/>
        <v>15.576000000000002</v>
      </c>
      <c r="BZ291" s="212">
        <f ca="1">IF(L291="BR",'Impostos e Frete'!$F$6,IF(L291="EU",'Impostos e Frete'!$I$3,IF(L291="CN",'Impostos e Frete'!$I$4,IF(L291="JP",'Impostos e Frete'!$I$5,IF(L291="RU",'Impostos e Frete'!$I$7,"ERRO")))))</f>
        <v>0.14176320000000001</v>
      </c>
      <c r="CA291" s="212">
        <f>VLOOKUP(L291,'Impostos e Frete'!$A$3:$B$7,2,0)*'Preços e Condições'!BY291</f>
        <v>2.0248800000000005</v>
      </c>
      <c r="CB291" s="147">
        <f t="shared" si="84"/>
        <v>0</v>
      </c>
      <c r="CC291" s="147">
        <f>IF(X291="BRL",'Impostos e Frete'!$B$11,'Impostos e Frete'!$B$12)</f>
        <v>9.1999999999999998E-2</v>
      </c>
      <c r="CD291" s="213">
        <f t="shared" ca="1" si="85"/>
        <v>17.834643200000002</v>
      </c>
      <c r="CE291" s="214">
        <f t="shared" ca="1" si="86"/>
        <v>1.2127557376000002</v>
      </c>
      <c r="CF291" s="215">
        <f>VLOOKUP(L291,'Impostos e Frete'!$A$3:$C$7,3,0)</f>
        <v>105</v>
      </c>
      <c r="CG291" s="215">
        <f t="shared" si="87"/>
        <v>120</v>
      </c>
      <c r="CH291" s="215">
        <f t="shared" si="88"/>
        <v>15</v>
      </c>
      <c r="CI291" s="216">
        <f t="shared" ca="1" si="89"/>
        <v>-0.13227359236201863</v>
      </c>
      <c r="CJ291" s="217">
        <f t="shared" ca="1" si="90"/>
        <v>17.702369607637984</v>
      </c>
      <c r="CK291" s="218">
        <f t="shared" ca="1" si="91"/>
        <v>1.2037611333193829</v>
      </c>
    </row>
    <row r="292" spans="1:89">
      <c r="A292" s="176">
        <v>17024</v>
      </c>
      <c r="B292" s="177">
        <v>399</v>
      </c>
      <c r="C292" s="178">
        <v>68</v>
      </c>
      <c r="D292" s="178">
        <v>1870</v>
      </c>
      <c r="E292" s="178" t="s">
        <v>50</v>
      </c>
      <c r="F292" s="179" t="s">
        <v>47</v>
      </c>
      <c r="G292" s="179" t="s">
        <v>79</v>
      </c>
      <c r="H292" s="178" t="s">
        <v>42</v>
      </c>
      <c r="I292" s="178">
        <v>6656</v>
      </c>
      <c r="J292" s="178"/>
      <c r="K292" s="178"/>
      <c r="L292" s="178" t="s">
        <v>59</v>
      </c>
      <c r="M292" s="178">
        <v>120</v>
      </c>
      <c r="N292" s="178">
        <v>300</v>
      </c>
      <c r="O292" s="178"/>
      <c r="P292" s="178"/>
      <c r="Q292" s="178"/>
      <c r="R292" s="178" t="s">
        <v>19</v>
      </c>
      <c r="S292" s="181"/>
      <c r="T292" s="181"/>
      <c r="U292" s="182"/>
      <c r="V292" s="182" t="s">
        <v>35</v>
      </c>
      <c r="W292" s="183">
        <v>30</v>
      </c>
      <c r="X292" s="182" t="s">
        <v>51</v>
      </c>
      <c r="Y292" s="184">
        <v>2810</v>
      </c>
      <c r="Z292" s="184">
        <v>2810</v>
      </c>
      <c r="AA292" s="184">
        <v>2810</v>
      </c>
      <c r="AB292" s="184">
        <v>2810</v>
      </c>
      <c r="AC292" s="184">
        <v>2810</v>
      </c>
      <c r="AD292" s="184">
        <v>2810</v>
      </c>
      <c r="AE292" s="184">
        <v>2450</v>
      </c>
      <c r="AF292" s="184">
        <v>2450</v>
      </c>
      <c r="AG292" s="184">
        <v>2450</v>
      </c>
      <c r="AH292" s="184">
        <v>2300</v>
      </c>
      <c r="AI292" s="184">
        <v>2300</v>
      </c>
      <c r="AJ292" s="184">
        <v>2300</v>
      </c>
      <c r="AK292" s="184">
        <v>2360</v>
      </c>
      <c r="AL292" s="184">
        <v>2360</v>
      </c>
      <c r="AM292" s="184">
        <v>2360</v>
      </c>
      <c r="AN292" s="184">
        <v>2490</v>
      </c>
      <c r="AO292" s="184">
        <v>2490</v>
      </c>
      <c r="AP292" s="184">
        <v>2490</v>
      </c>
      <c r="AQ292" s="184">
        <v>2640</v>
      </c>
      <c r="AR292" s="184">
        <v>2640</v>
      </c>
      <c r="AS292" s="184">
        <v>2640</v>
      </c>
      <c r="AT292" s="184">
        <v>2640</v>
      </c>
      <c r="AU292" s="184">
        <v>2640</v>
      </c>
      <c r="AV292" s="184">
        <v>2640</v>
      </c>
      <c r="AW292" s="184">
        <v>2560</v>
      </c>
      <c r="AX292" s="184">
        <v>2560</v>
      </c>
      <c r="AY292" s="184">
        <v>2560</v>
      </c>
      <c r="AZ292" s="184">
        <v>2340</v>
      </c>
      <c r="BA292" s="184">
        <v>2340</v>
      </c>
      <c r="BB292" s="184">
        <v>2640</v>
      </c>
      <c r="BC292" s="184">
        <v>2640</v>
      </c>
      <c r="BD292" s="184">
        <v>2640</v>
      </c>
      <c r="BE292" s="184">
        <v>2640</v>
      </c>
      <c r="BF292" s="184">
        <v>2560</v>
      </c>
      <c r="BG292" s="184">
        <v>2560</v>
      </c>
      <c r="BH292" s="184">
        <v>2560</v>
      </c>
      <c r="BI292" s="184">
        <v>2590</v>
      </c>
      <c r="BJ292" s="184">
        <v>2590</v>
      </c>
      <c r="BK292" s="184">
        <v>2590</v>
      </c>
      <c r="BL292" s="203">
        <v>2690</v>
      </c>
      <c r="BM292" s="203">
        <v>2690</v>
      </c>
      <c r="BN292" s="203">
        <v>2690</v>
      </c>
      <c r="BO292" s="184"/>
      <c r="BP292" s="184"/>
      <c r="BQ292" s="184"/>
      <c r="BR292" s="184"/>
      <c r="BS292" s="184"/>
      <c r="BT292" s="184"/>
      <c r="BU292" s="146" cm="1">
        <f t="array" ref="BU292">LOOKUP(2,1/(Y292:BT292&lt;&gt;""),Y292:BH292)</f>
        <v>2690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46174</v>
      </c>
      <c r="BW292" s="211" cm="1">
        <f t="array" ref="BW292">(LOOKUP(2,1/(BH292:BT292&lt;&gt;""),BH292:BT292))/(INDEX(BH292:BT292,MATCH(TRUE,INDEX((BH292:BT292&lt;&gt;0),0),0)))-1</f>
        <v>5.078125E-2</v>
      </c>
      <c r="BX292" s="212">
        <f t="shared" si="83"/>
        <v>2.69</v>
      </c>
      <c r="BY292" s="212">
        <f t="shared" si="82"/>
        <v>15.871</v>
      </c>
      <c r="BZ292" s="212">
        <f ca="1">IF(L292="BR",'Impostos e Frete'!$F$6,IF(L292="EU",'Impostos e Frete'!$I$3,IF(L292="CN",'Impostos e Frete'!$I$4,IF(L292="JP",'Impostos e Frete'!$I$5,IF(L292="RU",'Impostos e Frete'!$I$7,"ERRO")))))</f>
        <v>0.14176320000000001</v>
      </c>
      <c r="CA292" s="212">
        <f>VLOOKUP(L292,'Impostos e Frete'!$A$3:$B$7,2,0)*'Preços e Condições'!BY292</f>
        <v>2.0632300000000003</v>
      </c>
      <c r="CB292" s="147">
        <f t="shared" si="84"/>
        <v>0</v>
      </c>
      <c r="CC292" s="147">
        <f>IF(X292="BRL",'Impostos e Frete'!$B$11,'Impostos e Frete'!$B$12)</f>
        <v>9.1999999999999998E-2</v>
      </c>
      <c r="CD292" s="213">
        <f t="shared" ca="1" si="85"/>
        <v>18.167993200000002</v>
      </c>
      <c r="CE292" s="214">
        <f t="shared" ca="1" si="86"/>
        <v>1.2354235376000002</v>
      </c>
      <c r="CF292" s="215">
        <f>VLOOKUP(L292,'Impostos e Frete'!$A$3:$C$7,3,0)</f>
        <v>105</v>
      </c>
      <c r="CG292" s="215">
        <f t="shared" si="87"/>
        <v>120</v>
      </c>
      <c r="CH292" s="215">
        <f t="shared" si="88"/>
        <v>15</v>
      </c>
      <c r="CI292" s="216">
        <f t="shared" ca="1" si="89"/>
        <v>-0.1347459379828102</v>
      </c>
      <c r="CJ292" s="217">
        <f t="shared" ca="1" si="90"/>
        <v>18.033247262017191</v>
      </c>
      <c r="CK292" s="218">
        <f t="shared" ca="1" si="91"/>
        <v>1.2262608138171691</v>
      </c>
    </row>
    <row r="293" spans="1:89">
      <c r="A293" s="176">
        <v>17024</v>
      </c>
      <c r="B293" s="177">
        <v>399</v>
      </c>
      <c r="C293" s="178">
        <v>68</v>
      </c>
      <c r="D293" s="178">
        <v>1870</v>
      </c>
      <c r="E293" s="178" t="s">
        <v>50</v>
      </c>
      <c r="F293" s="179" t="s">
        <v>47</v>
      </c>
      <c r="G293" s="179" t="s">
        <v>79</v>
      </c>
      <c r="H293" s="178" t="s">
        <v>42</v>
      </c>
      <c r="I293" s="178">
        <v>6656</v>
      </c>
      <c r="J293" s="178"/>
      <c r="K293" s="178"/>
      <c r="L293" s="178" t="s">
        <v>59</v>
      </c>
      <c r="M293" s="178">
        <v>120</v>
      </c>
      <c r="N293" s="178">
        <v>300</v>
      </c>
      <c r="O293" s="178"/>
      <c r="P293" s="178"/>
      <c r="Q293" s="178"/>
      <c r="R293" s="178" t="s">
        <v>19</v>
      </c>
      <c r="S293" s="181"/>
      <c r="T293" s="181"/>
      <c r="U293" s="182"/>
      <c r="V293" s="182" t="s">
        <v>35</v>
      </c>
      <c r="W293" s="183">
        <v>20</v>
      </c>
      <c r="X293" s="182" t="s">
        <v>51</v>
      </c>
      <c r="Y293" s="184">
        <v>2860</v>
      </c>
      <c r="Z293" s="184">
        <v>2860</v>
      </c>
      <c r="AA293" s="184">
        <v>2860</v>
      </c>
      <c r="AB293" s="184">
        <v>2860</v>
      </c>
      <c r="AC293" s="184">
        <v>2860</v>
      </c>
      <c r="AD293" s="184">
        <v>2860</v>
      </c>
      <c r="AE293" s="184">
        <v>2500</v>
      </c>
      <c r="AF293" s="184">
        <v>2500</v>
      </c>
      <c r="AG293" s="184">
        <v>2500</v>
      </c>
      <c r="AH293" s="184">
        <v>2350</v>
      </c>
      <c r="AI293" s="184">
        <v>2350</v>
      </c>
      <c r="AJ293" s="184">
        <v>2350</v>
      </c>
      <c r="AK293" s="184">
        <v>2410</v>
      </c>
      <c r="AL293" s="184">
        <v>2410</v>
      </c>
      <c r="AM293" s="184">
        <v>2410</v>
      </c>
      <c r="AN293" s="184">
        <v>2540</v>
      </c>
      <c r="AO293" s="184">
        <v>2540</v>
      </c>
      <c r="AP293" s="184">
        <v>2540</v>
      </c>
      <c r="AQ293" s="184">
        <v>2690</v>
      </c>
      <c r="AR293" s="184">
        <v>2690</v>
      </c>
      <c r="AS293" s="184">
        <v>2690</v>
      </c>
      <c r="AT293" s="184">
        <v>2690</v>
      </c>
      <c r="AU293" s="184">
        <v>2690</v>
      </c>
      <c r="AV293" s="184">
        <v>2690</v>
      </c>
      <c r="AW293" s="184">
        <v>2610</v>
      </c>
      <c r="AX293" s="184">
        <v>2610</v>
      </c>
      <c r="AY293" s="184">
        <v>2610</v>
      </c>
      <c r="AZ293" s="184">
        <v>2390</v>
      </c>
      <c r="BA293" s="184">
        <v>2390</v>
      </c>
      <c r="BB293" s="184">
        <v>2690</v>
      </c>
      <c r="BC293" s="184">
        <v>2690</v>
      </c>
      <c r="BD293" s="184">
        <v>2690</v>
      </c>
      <c r="BE293" s="184">
        <v>2690</v>
      </c>
      <c r="BF293" s="184">
        <v>2610</v>
      </c>
      <c r="BG293" s="184">
        <v>2610</v>
      </c>
      <c r="BH293" s="184">
        <v>2610</v>
      </c>
      <c r="BI293" s="184">
        <v>2640</v>
      </c>
      <c r="BJ293" s="184">
        <v>2640</v>
      </c>
      <c r="BK293" s="184">
        <v>2640</v>
      </c>
      <c r="BL293" s="203">
        <v>2740</v>
      </c>
      <c r="BM293" s="203">
        <v>2740</v>
      </c>
      <c r="BN293" s="203">
        <v>2740</v>
      </c>
      <c r="BO293" s="184"/>
      <c r="BP293" s="184"/>
      <c r="BQ293" s="184"/>
      <c r="BR293" s="184"/>
      <c r="BS293" s="184"/>
      <c r="BT293" s="184"/>
      <c r="BU293" s="146" cm="1">
        <f t="array" ref="BU293">LOOKUP(2,1/(Y293:BT293&lt;&gt;""),Y293:BH293)</f>
        <v>2740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46174</v>
      </c>
      <c r="BW293" s="211" cm="1">
        <f t="array" ref="BW293">(LOOKUP(2,1/(BH293:BT293&lt;&gt;""),BH293:BT293))/(INDEX(BH293:BT293,MATCH(TRUE,INDEX((BH293:BT293&lt;&gt;0),0),0)))-1</f>
        <v>4.9808429118773923E-2</v>
      </c>
      <c r="BX293" s="212">
        <f t="shared" si="83"/>
        <v>2.74</v>
      </c>
      <c r="BY293" s="212">
        <f t="shared" si="82"/>
        <v>16.166000000000004</v>
      </c>
      <c r="BZ293" s="212">
        <f ca="1">IF(L293="BR",'Impostos e Frete'!$F$6,IF(L293="EU",'Impostos e Frete'!$I$3,IF(L293="CN",'Impostos e Frete'!$I$4,IF(L293="JP",'Impostos e Frete'!$I$5,IF(L293="RU",'Impostos e Frete'!$I$7,"ERRO")))))</f>
        <v>0.14176320000000001</v>
      </c>
      <c r="CA293" s="212">
        <f>VLOOKUP(L293,'Impostos e Frete'!$A$3:$B$7,2,0)*'Preços e Condições'!BY293</f>
        <v>2.1015800000000007</v>
      </c>
      <c r="CB293" s="147">
        <f t="shared" si="84"/>
        <v>0</v>
      </c>
      <c r="CC293" s="147">
        <f>IF(X293="BRL",'Impostos e Frete'!$B$11,'Impostos e Frete'!$B$12)</f>
        <v>9.1999999999999998E-2</v>
      </c>
      <c r="CD293" s="213">
        <f t="shared" ca="1" si="85"/>
        <v>18.501343200000004</v>
      </c>
      <c r="CE293" s="214">
        <f t="shared" ca="1" si="86"/>
        <v>1.2580913376000005</v>
      </c>
      <c r="CF293" s="215">
        <f>VLOOKUP(L293,'Impostos e Frete'!$A$3:$C$7,3,0)</f>
        <v>105</v>
      </c>
      <c r="CG293" s="215">
        <f t="shared" si="87"/>
        <v>120</v>
      </c>
      <c r="CH293" s="215">
        <f t="shared" si="88"/>
        <v>15</v>
      </c>
      <c r="CI293" s="216">
        <f t="shared" ca="1" si="89"/>
        <v>-0.13721828360360178</v>
      </c>
      <c r="CJ293" s="217">
        <f t="shared" ca="1" si="90"/>
        <v>18.364124916396403</v>
      </c>
      <c r="CK293" s="218">
        <f t="shared" ca="1" si="91"/>
        <v>1.2487604943149553</v>
      </c>
    </row>
    <row r="294" spans="1:89">
      <c r="A294" s="176">
        <v>17024</v>
      </c>
      <c r="B294" s="177">
        <v>399</v>
      </c>
      <c r="C294" s="178">
        <v>68</v>
      </c>
      <c r="D294" s="178">
        <v>1870</v>
      </c>
      <c r="E294" s="178" t="s">
        <v>50</v>
      </c>
      <c r="F294" s="179" t="s">
        <v>47</v>
      </c>
      <c r="G294" s="179" t="s">
        <v>79</v>
      </c>
      <c r="H294" s="178" t="s">
        <v>42</v>
      </c>
      <c r="I294" s="178">
        <v>6656</v>
      </c>
      <c r="J294" s="178"/>
      <c r="K294" s="178"/>
      <c r="L294" s="178" t="s">
        <v>59</v>
      </c>
      <c r="M294" s="178">
        <v>120</v>
      </c>
      <c r="N294" s="178">
        <v>300</v>
      </c>
      <c r="O294" s="178"/>
      <c r="P294" s="178"/>
      <c r="Q294" s="178"/>
      <c r="R294" s="178" t="s">
        <v>19</v>
      </c>
      <c r="S294" s="181"/>
      <c r="T294" s="181"/>
      <c r="U294" s="182"/>
      <c r="V294" s="182" t="s">
        <v>35</v>
      </c>
      <c r="W294" s="183">
        <v>10</v>
      </c>
      <c r="X294" s="182" t="s">
        <v>51</v>
      </c>
      <c r="Y294" s="184">
        <v>2940</v>
      </c>
      <c r="Z294" s="184">
        <v>2940</v>
      </c>
      <c r="AA294" s="184">
        <v>2940</v>
      </c>
      <c r="AB294" s="184">
        <v>2940</v>
      </c>
      <c r="AC294" s="184">
        <v>2940</v>
      </c>
      <c r="AD294" s="184">
        <v>2940</v>
      </c>
      <c r="AE294" s="184">
        <v>2580</v>
      </c>
      <c r="AF294" s="184">
        <v>2580</v>
      </c>
      <c r="AG294" s="184">
        <v>2580</v>
      </c>
      <c r="AH294" s="184">
        <v>2430</v>
      </c>
      <c r="AI294" s="184">
        <v>2430</v>
      </c>
      <c r="AJ294" s="184">
        <v>2430</v>
      </c>
      <c r="AK294" s="184">
        <v>2490</v>
      </c>
      <c r="AL294" s="184">
        <v>2490</v>
      </c>
      <c r="AM294" s="184">
        <v>2490</v>
      </c>
      <c r="AN294" s="184">
        <v>2620</v>
      </c>
      <c r="AO294" s="184">
        <v>2620</v>
      </c>
      <c r="AP294" s="184">
        <v>2620</v>
      </c>
      <c r="AQ294" s="184">
        <v>2770</v>
      </c>
      <c r="AR294" s="184">
        <v>2770</v>
      </c>
      <c r="AS294" s="184">
        <v>2770</v>
      </c>
      <c r="AT294" s="184">
        <v>2770</v>
      </c>
      <c r="AU294" s="184">
        <v>2770</v>
      </c>
      <c r="AV294" s="184">
        <v>2770</v>
      </c>
      <c r="AW294" s="184">
        <v>2690</v>
      </c>
      <c r="AX294" s="184">
        <v>2690</v>
      </c>
      <c r="AY294" s="184">
        <v>2690</v>
      </c>
      <c r="AZ294" s="184">
        <v>2470</v>
      </c>
      <c r="BA294" s="184">
        <v>2470</v>
      </c>
      <c r="BB294" s="184">
        <v>2770</v>
      </c>
      <c r="BC294" s="184">
        <v>2770</v>
      </c>
      <c r="BD294" s="184">
        <v>2770</v>
      </c>
      <c r="BE294" s="184">
        <v>2770</v>
      </c>
      <c r="BF294" s="184">
        <v>2690</v>
      </c>
      <c r="BG294" s="184">
        <v>2690</v>
      </c>
      <c r="BH294" s="184">
        <v>2690</v>
      </c>
      <c r="BI294" s="184">
        <v>2720</v>
      </c>
      <c r="BJ294" s="184">
        <v>2720</v>
      </c>
      <c r="BK294" s="184">
        <v>2720</v>
      </c>
      <c r="BL294" s="203">
        <v>2820</v>
      </c>
      <c r="BM294" s="203">
        <v>2820</v>
      </c>
      <c r="BN294" s="203">
        <v>2820</v>
      </c>
      <c r="BO294" s="184"/>
      <c r="BP294" s="184"/>
      <c r="BQ294" s="184"/>
      <c r="BR294" s="184"/>
      <c r="BS294" s="184"/>
      <c r="BT294" s="184"/>
      <c r="BU294" s="146" cm="1">
        <f t="array" ref="BU294">LOOKUP(2,1/(Y294:BT294&lt;&gt;""),Y294:BH294)</f>
        <v>2820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46174</v>
      </c>
      <c r="BW294" s="211" cm="1">
        <f t="array" ref="BW294">(LOOKUP(2,1/(BH294:BT294&lt;&gt;""),BH294:BT294))/(INDEX(BH294:BT294,MATCH(TRUE,INDEX((BH294:BT294&lt;&gt;0),0),0)))-1</f>
        <v>4.8327137546468446E-2</v>
      </c>
      <c r="BX294" s="212">
        <f t="shared" si="83"/>
        <v>2.82</v>
      </c>
      <c r="BY294" s="212">
        <f t="shared" si="82"/>
        <v>16.638000000000002</v>
      </c>
      <c r="BZ294" s="212">
        <f ca="1">IF(L294="BR",'Impostos e Frete'!$F$6,IF(L294="EU",'Impostos e Frete'!$I$3,IF(L294="CN",'Impostos e Frete'!$I$4,IF(L294="JP",'Impostos e Frete'!$I$5,IF(L294="RU",'Impostos e Frete'!$I$7,"ERRO")))))</f>
        <v>0.14176320000000001</v>
      </c>
      <c r="CA294" s="212">
        <f>VLOOKUP(L294,'Impostos e Frete'!$A$3:$B$7,2,0)*'Preços e Condições'!BY294</f>
        <v>2.1629400000000003</v>
      </c>
      <c r="CB294" s="147">
        <f t="shared" si="84"/>
        <v>0</v>
      </c>
      <c r="CC294" s="147">
        <f>IF(X294="BRL",'Impostos e Frete'!$B$11,'Impostos e Frete'!$B$12)</f>
        <v>9.1999999999999998E-2</v>
      </c>
      <c r="CD294" s="213">
        <f t="shared" ca="1" si="85"/>
        <v>19.034703199999999</v>
      </c>
      <c r="CE294" s="214">
        <f t="shared" ca="1" si="86"/>
        <v>1.2943598176</v>
      </c>
      <c r="CF294" s="215">
        <f>VLOOKUP(L294,'Impostos e Frete'!$A$3:$C$7,3,0)</f>
        <v>105</v>
      </c>
      <c r="CG294" s="215">
        <f t="shared" si="87"/>
        <v>120</v>
      </c>
      <c r="CH294" s="215">
        <f t="shared" si="88"/>
        <v>15</v>
      </c>
      <c r="CI294" s="216">
        <f t="shared" ca="1" si="89"/>
        <v>-0.14117403659686545</v>
      </c>
      <c r="CJ294" s="217">
        <f t="shared" ca="1" si="90"/>
        <v>18.893529163403134</v>
      </c>
      <c r="CK294" s="218">
        <f t="shared" ca="1" si="91"/>
        <v>1.2847599831114132</v>
      </c>
    </row>
    <row r="295" spans="1:89">
      <c r="A295" s="176">
        <v>17050</v>
      </c>
      <c r="B295" s="177">
        <v>399</v>
      </c>
      <c r="C295" s="178">
        <v>68</v>
      </c>
      <c r="D295" s="178">
        <v>1270</v>
      </c>
      <c r="E295" s="178" t="s">
        <v>50</v>
      </c>
      <c r="F295" s="179" t="s">
        <v>47</v>
      </c>
      <c r="G295" s="179" t="s">
        <v>79</v>
      </c>
      <c r="H295" s="178" t="s">
        <v>42</v>
      </c>
      <c r="I295" s="178">
        <v>6656</v>
      </c>
      <c r="J295" s="178"/>
      <c r="K295" s="178"/>
      <c r="L295" s="178" t="s">
        <v>59</v>
      </c>
      <c r="M295" s="178">
        <v>120</v>
      </c>
      <c r="N295" s="178">
        <v>300</v>
      </c>
      <c r="O295" s="178"/>
      <c r="P295" s="178"/>
      <c r="Q295" s="178"/>
      <c r="R295" s="178" t="s">
        <v>19</v>
      </c>
      <c r="S295" s="181"/>
      <c r="T295" s="181"/>
      <c r="U295" s="182"/>
      <c r="V295" s="182" t="s">
        <v>35</v>
      </c>
      <c r="W295" s="183">
        <v>50</v>
      </c>
      <c r="X295" s="182" t="s">
        <v>51</v>
      </c>
      <c r="Y295" s="184">
        <v>2760</v>
      </c>
      <c r="Z295" s="184">
        <v>2760</v>
      </c>
      <c r="AA295" s="184">
        <v>2760</v>
      </c>
      <c r="AB295" s="184">
        <v>2760</v>
      </c>
      <c r="AC295" s="184">
        <v>2760</v>
      </c>
      <c r="AD295" s="184">
        <v>2760</v>
      </c>
      <c r="AE295" s="184">
        <v>2400</v>
      </c>
      <c r="AF295" s="184">
        <v>2400</v>
      </c>
      <c r="AG295" s="184">
        <v>2400</v>
      </c>
      <c r="AH295" s="184">
        <v>2250</v>
      </c>
      <c r="AI295" s="184">
        <v>2250</v>
      </c>
      <c r="AJ295" s="184">
        <v>2250</v>
      </c>
      <c r="AK295" s="184">
        <v>2310</v>
      </c>
      <c r="AL295" s="184">
        <v>2310</v>
      </c>
      <c r="AM295" s="184">
        <v>2310</v>
      </c>
      <c r="AN295" s="184">
        <v>2440</v>
      </c>
      <c r="AO295" s="184">
        <v>2440</v>
      </c>
      <c r="AP295" s="184">
        <v>2440</v>
      </c>
      <c r="AQ295" s="184">
        <v>2590</v>
      </c>
      <c r="AR295" s="184">
        <v>2590</v>
      </c>
      <c r="AS295" s="184">
        <v>2590</v>
      </c>
      <c r="AT295" s="184">
        <v>2590</v>
      </c>
      <c r="AU295" s="184">
        <v>2590</v>
      </c>
      <c r="AV295" s="184">
        <v>2590</v>
      </c>
      <c r="AW295" s="184">
        <v>2510</v>
      </c>
      <c r="AX295" s="184">
        <v>2510</v>
      </c>
      <c r="AY295" s="184">
        <v>2510</v>
      </c>
      <c r="AZ295" s="184">
        <v>2290</v>
      </c>
      <c r="BA295" s="184">
        <v>2290</v>
      </c>
      <c r="BB295" s="184">
        <v>2590</v>
      </c>
      <c r="BC295" s="184">
        <v>2590</v>
      </c>
      <c r="BD295" s="184">
        <v>2590</v>
      </c>
      <c r="BE295" s="184">
        <v>2590</v>
      </c>
      <c r="BF295" s="184">
        <v>2510</v>
      </c>
      <c r="BG295" s="184">
        <v>2510</v>
      </c>
      <c r="BH295" s="184">
        <v>2510</v>
      </c>
      <c r="BI295" s="184">
        <v>2540</v>
      </c>
      <c r="BJ295" s="184">
        <v>2540</v>
      </c>
      <c r="BK295" s="184">
        <v>2540</v>
      </c>
      <c r="BL295" s="203">
        <v>2640</v>
      </c>
      <c r="BM295" s="203">
        <v>2640</v>
      </c>
      <c r="BN295" s="203">
        <v>2640</v>
      </c>
      <c r="BO295" s="184"/>
      <c r="BP295" s="184"/>
      <c r="BQ295" s="184"/>
      <c r="BR295" s="184"/>
      <c r="BS295" s="184"/>
      <c r="BT295" s="184"/>
      <c r="BU295" s="146" cm="1">
        <f t="array" ref="BU295">LOOKUP(2,1/(Y295:BT295&lt;&gt;""),Y295:BH295)</f>
        <v>2640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46174</v>
      </c>
      <c r="BW295" s="211" cm="1">
        <f t="array" ref="BW295">(LOOKUP(2,1/(BH295:BT295&lt;&gt;""),BH295:BT295))/(INDEX(BH295:BT295,MATCH(TRUE,INDEX((BH295:BT295&lt;&gt;0),0),0)))-1</f>
        <v>5.1792828685258918E-2</v>
      </c>
      <c r="BX295" s="212">
        <f t="shared" si="83"/>
        <v>2.64</v>
      </c>
      <c r="BY295" s="212">
        <f t="shared" si="82"/>
        <v>15.576000000000002</v>
      </c>
      <c r="BZ295" s="212">
        <f ca="1">IF(L295="BR",'Impostos e Frete'!$F$6,IF(L295="EU",'Impostos e Frete'!$I$3,IF(L295="CN",'Impostos e Frete'!$I$4,IF(L295="JP",'Impostos e Frete'!$I$5,IF(L295="RU",'Impostos e Frete'!$I$7,"ERRO")))))</f>
        <v>0.14176320000000001</v>
      </c>
      <c r="CA295" s="212">
        <f>VLOOKUP(L295,'Impostos e Frete'!$A$3:$B$7,2,0)*'Preços e Condições'!BY295</f>
        <v>2.0248800000000005</v>
      </c>
      <c r="CB295" s="147">
        <f t="shared" si="84"/>
        <v>0</v>
      </c>
      <c r="CC295" s="147">
        <f>IF(X295="BRL",'Impostos e Frete'!$B$11,'Impostos e Frete'!$B$12)</f>
        <v>9.1999999999999998E-2</v>
      </c>
      <c r="CD295" s="213">
        <f t="shared" ca="1" si="85"/>
        <v>17.834643200000002</v>
      </c>
      <c r="CE295" s="214">
        <f t="shared" ca="1" si="86"/>
        <v>1.2127557376000002</v>
      </c>
      <c r="CF295" s="215">
        <f>VLOOKUP(L295,'Impostos e Frete'!$A$3:$C$7,3,0)</f>
        <v>105</v>
      </c>
      <c r="CG295" s="215">
        <f t="shared" si="87"/>
        <v>120</v>
      </c>
      <c r="CH295" s="215">
        <f t="shared" si="88"/>
        <v>15</v>
      </c>
      <c r="CI295" s="216">
        <f t="shared" ca="1" si="89"/>
        <v>-0.13227359236201863</v>
      </c>
      <c r="CJ295" s="217">
        <f t="shared" ca="1" si="90"/>
        <v>17.702369607637984</v>
      </c>
      <c r="CK295" s="218">
        <f t="shared" ca="1" si="91"/>
        <v>1.2037611333193829</v>
      </c>
    </row>
    <row r="296" spans="1:89">
      <c r="A296" s="176">
        <v>17050</v>
      </c>
      <c r="B296" s="177">
        <v>399</v>
      </c>
      <c r="C296" s="178">
        <v>68</v>
      </c>
      <c r="D296" s="178">
        <v>1270</v>
      </c>
      <c r="E296" s="178" t="s">
        <v>50</v>
      </c>
      <c r="F296" s="179" t="s">
        <v>47</v>
      </c>
      <c r="G296" s="179" t="s">
        <v>79</v>
      </c>
      <c r="H296" s="178" t="s">
        <v>42</v>
      </c>
      <c r="I296" s="178">
        <v>6656</v>
      </c>
      <c r="J296" s="178"/>
      <c r="K296" s="178"/>
      <c r="L296" s="178" t="s">
        <v>59</v>
      </c>
      <c r="M296" s="178">
        <v>120</v>
      </c>
      <c r="N296" s="178">
        <v>300</v>
      </c>
      <c r="O296" s="178"/>
      <c r="P296" s="178"/>
      <c r="Q296" s="178"/>
      <c r="R296" s="178" t="s">
        <v>19</v>
      </c>
      <c r="S296" s="181"/>
      <c r="T296" s="181"/>
      <c r="U296" s="182"/>
      <c r="V296" s="182" t="s">
        <v>35</v>
      </c>
      <c r="W296" s="183">
        <v>30</v>
      </c>
      <c r="X296" s="182" t="s">
        <v>51</v>
      </c>
      <c r="Y296" s="184">
        <v>2810</v>
      </c>
      <c r="Z296" s="184">
        <v>2810</v>
      </c>
      <c r="AA296" s="184">
        <v>2810</v>
      </c>
      <c r="AB296" s="184">
        <v>2810</v>
      </c>
      <c r="AC296" s="184">
        <v>2810</v>
      </c>
      <c r="AD296" s="184">
        <v>2810</v>
      </c>
      <c r="AE296" s="184">
        <v>2450</v>
      </c>
      <c r="AF296" s="184">
        <v>2450</v>
      </c>
      <c r="AG296" s="184">
        <v>2450</v>
      </c>
      <c r="AH296" s="184">
        <v>2300</v>
      </c>
      <c r="AI296" s="184">
        <v>2300</v>
      </c>
      <c r="AJ296" s="184">
        <v>2300</v>
      </c>
      <c r="AK296" s="184">
        <v>2360</v>
      </c>
      <c r="AL296" s="184">
        <v>2360</v>
      </c>
      <c r="AM296" s="184">
        <v>2360</v>
      </c>
      <c r="AN296" s="184">
        <v>2490</v>
      </c>
      <c r="AO296" s="184">
        <v>2490</v>
      </c>
      <c r="AP296" s="184">
        <v>2490</v>
      </c>
      <c r="AQ296" s="184">
        <v>2640</v>
      </c>
      <c r="AR296" s="184">
        <v>2640</v>
      </c>
      <c r="AS296" s="184">
        <v>2640</v>
      </c>
      <c r="AT296" s="184">
        <v>2640</v>
      </c>
      <c r="AU296" s="184">
        <v>2640</v>
      </c>
      <c r="AV296" s="184">
        <v>2640</v>
      </c>
      <c r="AW296" s="184">
        <v>2560</v>
      </c>
      <c r="AX296" s="184">
        <v>2560</v>
      </c>
      <c r="AY296" s="184">
        <v>2560</v>
      </c>
      <c r="AZ296" s="184">
        <v>2340</v>
      </c>
      <c r="BA296" s="184">
        <v>2340</v>
      </c>
      <c r="BB296" s="184">
        <v>2640</v>
      </c>
      <c r="BC296" s="184">
        <v>2640</v>
      </c>
      <c r="BD296" s="184">
        <v>2640</v>
      </c>
      <c r="BE296" s="184">
        <v>2640</v>
      </c>
      <c r="BF296" s="184">
        <v>2560</v>
      </c>
      <c r="BG296" s="184">
        <v>2560</v>
      </c>
      <c r="BH296" s="184">
        <v>2560</v>
      </c>
      <c r="BI296" s="184">
        <v>2590</v>
      </c>
      <c r="BJ296" s="184">
        <v>2590</v>
      </c>
      <c r="BK296" s="184">
        <v>2590</v>
      </c>
      <c r="BL296" s="203">
        <v>2690</v>
      </c>
      <c r="BM296" s="203">
        <v>2690</v>
      </c>
      <c r="BN296" s="203">
        <v>2690</v>
      </c>
      <c r="BO296" s="184"/>
      <c r="BP296" s="184"/>
      <c r="BQ296" s="184"/>
      <c r="BR296" s="184"/>
      <c r="BS296" s="184"/>
      <c r="BT296" s="184"/>
      <c r="BU296" s="146" cm="1">
        <f t="array" ref="BU296">LOOKUP(2,1/(Y296:BT296&lt;&gt;""),Y296:BH296)</f>
        <v>2690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46174</v>
      </c>
      <c r="BW296" s="211" cm="1">
        <f t="array" ref="BW296">(LOOKUP(2,1/(BH296:BT296&lt;&gt;""),BH296:BT296))/(INDEX(BH296:BT296,MATCH(TRUE,INDEX((BH296:BT296&lt;&gt;0),0),0)))-1</f>
        <v>5.078125E-2</v>
      </c>
      <c r="BX296" s="212">
        <f t="shared" si="83"/>
        <v>2.69</v>
      </c>
      <c r="BY296" s="212">
        <f t="shared" si="82"/>
        <v>15.871</v>
      </c>
      <c r="BZ296" s="212">
        <f ca="1">IF(L296="BR",'Impostos e Frete'!$F$6,IF(L296="EU",'Impostos e Frete'!$I$3,IF(L296="CN",'Impostos e Frete'!$I$4,IF(L296="JP",'Impostos e Frete'!$I$5,IF(L296="RU",'Impostos e Frete'!$I$7,"ERRO")))))</f>
        <v>0.14176320000000001</v>
      </c>
      <c r="CA296" s="212">
        <f>VLOOKUP(L296,'Impostos e Frete'!$A$3:$B$7,2,0)*'Preços e Condições'!BY296</f>
        <v>2.0632300000000003</v>
      </c>
      <c r="CB296" s="147">
        <f t="shared" si="84"/>
        <v>0</v>
      </c>
      <c r="CC296" s="147">
        <f>IF(X296="BRL",'Impostos e Frete'!$B$11,'Impostos e Frete'!$B$12)</f>
        <v>9.1999999999999998E-2</v>
      </c>
      <c r="CD296" s="213">
        <f t="shared" ca="1" si="85"/>
        <v>18.167993200000002</v>
      </c>
      <c r="CE296" s="214">
        <f t="shared" ca="1" si="86"/>
        <v>1.2354235376000002</v>
      </c>
      <c r="CF296" s="215">
        <f>VLOOKUP(L296,'Impostos e Frete'!$A$3:$C$7,3,0)</f>
        <v>105</v>
      </c>
      <c r="CG296" s="215">
        <f t="shared" si="87"/>
        <v>120</v>
      </c>
      <c r="CH296" s="215">
        <f t="shared" si="88"/>
        <v>15</v>
      </c>
      <c r="CI296" s="216">
        <f t="shared" ca="1" si="89"/>
        <v>-0.1347459379828102</v>
      </c>
      <c r="CJ296" s="217">
        <f t="shared" ca="1" si="90"/>
        <v>18.033247262017191</v>
      </c>
      <c r="CK296" s="218">
        <f t="shared" ca="1" si="91"/>
        <v>1.2262608138171691</v>
      </c>
    </row>
    <row r="297" spans="1:89">
      <c r="A297" s="176">
        <v>17050</v>
      </c>
      <c r="B297" s="177">
        <v>399</v>
      </c>
      <c r="C297" s="178">
        <v>68</v>
      </c>
      <c r="D297" s="178">
        <v>1270</v>
      </c>
      <c r="E297" s="178" t="s">
        <v>50</v>
      </c>
      <c r="F297" s="179" t="s">
        <v>47</v>
      </c>
      <c r="G297" s="179" t="s">
        <v>79</v>
      </c>
      <c r="H297" s="178" t="s">
        <v>42</v>
      </c>
      <c r="I297" s="178">
        <v>6656</v>
      </c>
      <c r="J297" s="178"/>
      <c r="K297" s="178"/>
      <c r="L297" s="178" t="s">
        <v>59</v>
      </c>
      <c r="M297" s="178">
        <v>120</v>
      </c>
      <c r="N297" s="178">
        <v>300</v>
      </c>
      <c r="O297" s="178"/>
      <c r="P297" s="178"/>
      <c r="Q297" s="178"/>
      <c r="R297" s="178" t="s">
        <v>19</v>
      </c>
      <c r="S297" s="181"/>
      <c r="T297" s="181"/>
      <c r="U297" s="182"/>
      <c r="V297" s="182" t="s">
        <v>35</v>
      </c>
      <c r="W297" s="183">
        <v>20</v>
      </c>
      <c r="X297" s="182" t="s">
        <v>51</v>
      </c>
      <c r="Y297" s="184">
        <v>2860</v>
      </c>
      <c r="Z297" s="184">
        <v>2860</v>
      </c>
      <c r="AA297" s="184">
        <v>2860</v>
      </c>
      <c r="AB297" s="184">
        <v>2860</v>
      </c>
      <c r="AC297" s="184">
        <v>2860</v>
      </c>
      <c r="AD297" s="184">
        <v>2860</v>
      </c>
      <c r="AE297" s="184">
        <v>2500</v>
      </c>
      <c r="AF297" s="184">
        <v>2500</v>
      </c>
      <c r="AG297" s="184">
        <v>2500</v>
      </c>
      <c r="AH297" s="184">
        <v>2350</v>
      </c>
      <c r="AI297" s="184">
        <v>2350</v>
      </c>
      <c r="AJ297" s="184">
        <v>2350</v>
      </c>
      <c r="AK297" s="184">
        <v>2410</v>
      </c>
      <c r="AL297" s="184">
        <v>2410</v>
      </c>
      <c r="AM297" s="184">
        <v>2410</v>
      </c>
      <c r="AN297" s="184">
        <v>2540</v>
      </c>
      <c r="AO297" s="184">
        <v>2540</v>
      </c>
      <c r="AP297" s="184">
        <v>2540</v>
      </c>
      <c r="AQ297" s="184">
        <v>2690</v>
      </c>
      <c r="AR297" s="184">
        <v>2690</v>
      </c>
      <c r="AS297" s="184">
        <v>2690</v>
      </c>
      <c r="AT297" s="184">
        <v>2690</v>
      </c>
      <c r="AU297" s="184">
        <v>2690</v>
      </c>
      <c r="AV297" s="184">
        <v>2690</v>
      </c>
      <c r="AW297" s="184">
        <v>2610</v>
      </c>
      <c r="AX297" s="184">
        <v>2610</v>
      </c>
      <c r="AY297" s="184">
        <v>2610</v>
      </c>
      <c r="AZ297" s="184">
        <v>2390</v>
      </c>
      <c r="BA297" s="184">
        <v>2390</v>
      </c>
      <c r="BB297" s="184">
        <v>2690</v>
      </c>
      <c r="BC297" s="184">
        <v>2690</v>
      </c>
      <c r="BD297" s="184">
        <v>2690</v>
      </c>
      <c r="BE297" s="184">
        <v>2690</v>
      </c>
      <c r="BF297" s="184">
        <v>2610</v>
      </c>
      <c r="BG297" s="184">
        <v>2610</v>
      </c>
      <c r="BH297" s="184">
        <v>2610</v>
      </c>
      <c r="BI297" s="184">
        <v>2640</v>
      </c>
      <c r="BJ297" s="184">
        <v>2640</v>
      </c>
      <c r="BK297" s="184">
        <v>2640</v>
      </c>
      <c r="BL297" s="203">
        <v>2740</v>
      </c>
      <c r="BM297" s="203">
        <v>2740</v>
      </c>
      <c r="BN297" s="203">
        <v>2740</v>
      </c>
      <c r="BO297" s="184"/>
      <c r="BP297" s="184"/>
      <c r="BQ297" s="184"/>
      <c r="BR297" s="184"/>
      <c r="BS297" s="184"/>
      <c r="BT297" s="184"/>
      <c r="BU297" s="146" cm="1">
        <f t="array" ref="BU297">LOOKUP(2,1/(Y297:BT297&lt;&gt;""),Y297:BH297)</f>
        <v>2740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46174</v>
      </c>
      <c r="BW297" s="211" cm="1">
        <f t="array" ref="BW297">(LOOKUP(2,1/(BH297:BT297&lt;&gt;""),BH297:BT297))/(INDEX(BH297:BT297,MATCH(TRUE,INDEX((BH297:BT297&lt;&gt;0),0),0)))-1</f>
        <v>4.9808429118773923E-2</v>
      </c>
      <c r="BX297" s="212">
        <f t="shared" si="83"/>
        <v>2.74</v>
      </c>
      <c r="BY297" s="212">
        <f t="shared" si="82"/>
        <v>16.166000000000004</v>
      </c>
      <c r="BZ297" s="212">
        <f ca="1">IF(L297="BR",'Impostos e Frete'!$F$6,IF(L297="EU",'Impostos e Frete'!$I$3,IF(L297="CN",'Impostos e Frete'!$I$4,IF(L297="JP",'Impostos e Frete'!$I$5,IF(L297="RU",'Impostos e Frete'!$I$7,"ERRO")))))</f>
        <v>0.14176320000000001</v>
      </c>
      <c r="CA297" s="212">
        <f>VLOOKUP(L297,'Impostos e Frete'!$A$3:$B$7,2,0)*'Preços e Condições'!BY297</f>
        <v>2.1015800000000007</v>
      </c>
      <c r="CB297" s="147">
        <f t="shared" si="84"/>
        <v>0</v>
      </c>
      <c r="CC297" s="147">
        <f>IF(X297="BRL",'Impostos e Frete'!$B$11,'Impostos e Frete'!$B$12)</f>
        <v>9.1999999999999998E-2</v>
      </c>
      <c r="CD297" s="213">
        <f t="shared" ca="1" si="85"/>
        <v>18.501343200000004</v>
      </c>
      <c r="CE297" s="214">
        <f t="shared" ca="1" si="86"/>
        <v>1.2580913376000005</v>
      </c>
      <c r="CF297" s="215">
        <f>VLOOKUP(L297,'Impostos e Frete'!$A$3:$C$7,3,0)</f>
        <v>105</v>
      </c>
      <c r="CG297" s="215">
        <f t="shared" si="87"/>
        <v>120</v>
      </c>
      <c r="CH297" s="215">
        <f t="shared" si="88"/>
        <v>15</v>
      </c>
      <c r="CI297" s="216">
        <f t="shared" ca="1" si="89"/>
        <v>-0.13721828360360178</v>
      </c>
      <c r="CJ297" s="217">
        <f t="shared" ca="1" si="90"/>
        <v>18.364124916396403</v>
      </c>
      <c r="CK297" s="218">
        <f t="shared" ca="1" si="91"/>
        <v>1.2487604943149553</v>
      </c>
    </row>
    <row r="298" spans="1:89">
      <c r="A298" s="176">
        <v>17050</v>
      </c>
      <c r="B298" s="177">
        <v>399</v>
      </c>
      <c r="C298" s="178">
        <v>68</v>
      </c>
      <c r="D298" s="178">
        <v>1270</v>
      </c>
      <c r="E298" s="178" t="s">
        <v>50</v>
      </c>
      <c r="F298" s="179" t="s">
        <v>47</v>
      </c>
      <c r="G298" s="179" t="s">
        <v>79</v>
      </c>
      <c r="H298" s="178" t="s">
        <v>42</v>
      </c>
      <c r="I298" s="178">
        <v>6656</v>
      </c>
      <c r="J298" s="178"/>
      <c r="K298" s="178"/>
      <c r="L298" s="178" t="s">
        <v>59</v>
      </c>
      <c r="M298" s="178">
        <v>120</v>
      </c>
      <c r="N298" s="178">
        <v>300</v>
      </c>
      <c r="O298" s="178"/>
      <c r="P298" s="178"/>
      <c r="Q298" s="178"/>
      <c r="R298" s="178" t="s">
        <v>19</v>
      </c>
      <c r="S298" s="181"/>
      <c r="T298" s="181"/>
      <c r="U298" s="182"/>
      <c r="V298" s="182" t="s">
        <v>35</v>
      </c>
      <c r="W298" s="183">
        <v>10</v>
      </c>
      <c r="X298" s="182" t="s">
        <v>51</v>
      </c>
      <c r="Y298" s="184">
        <v>2940</v>
      </c>
      <c r="Z298" s="184">
        <v>2940</v>
      </c>
      <c r="AA298" s="184">
        <v>2940</v>
      </c>
      <c r="AB298" s="184">
        <v>2940</v>
      </c>
      <c r="AC298" s="184">
        <v>2940</v>
      </c>
      <c r="AD298" s="184">
        <v>2940</v>
      </c>
      <c r="AE298" s="184">
        <v>2580</v>
      </c>
      <c r="AF298" s="184">
        <v>2580</v>
      </c>
      <c r="AG298" s="184">
        <v>2580</v>
      </c>
      <c r="AH298" s="184">
        <v>2430</v>
      </c>
      <c r="AI298" s="184">
        <v>2430</v>
      </c>
      <c r="AJ298" s="184">
        <v>2430</v>
      </c>
      <c r="AK298" s="184">
        <v>2490</v>
      </c>
      <c r="AL298" s="184">
        <v>2490</v>
      </c>
      <c r="AM298" s="184">
        <v>2490</v>
      </c>
      <c r="AN298" s="184">
        <v>2620</v>
      </c>
      <c r="AO298" s="184">
        <v>2620</v>
      </c>
      <c r="AP298" s="184">
        <v>2620</v>
      </c>
      <c r="AQ298" s="184">
        <v>2770</v>
      </c>
      <c r="AR298" s="184">
        <v>2770</v>
      </c>
      <c r="AS298" s="184">
        <v>2770</v>
      </c>
      <c r="AT298" s="184">
        <v>2770</v>
      </c>
      <c r="AU298" s="184">
        <v>2770</v>
      </c>
      <c r="AV298" s="184">
        <v>2770</v>
      </c>
      <c r="AW298" s="184">
        <v>2690</v>
      </c>
      <c r="AX298" s="184">
        <v>2690</v>
      </c>
      <c r="AY298" s="184">
        <v>2690</v>
      </c>
      <c r="AZ298" s="184">
        <v>2470</v>
      </c>
      <c r="BA298" s="184">
        <v>2470</v>
      </c>
      <c r="BB298" s="184">
        <v>2770</v>
      </c>
      <c r="BC298" s="184">
        <v>2770</v>
      </c>
      <c r="BD298" s="184">
        <v>2770</v>
      </c>
      <c r="BE298" s="184">
        <v>2770</v>
      </c>
      <c r="BF298" s="184">
        <v>2690</v>
      </c>
      <c r="BG298" s="184">
        <v>2690</v>
      </c>
      <c r="BH298" s="184">
        <v>2690</v>
      </c>
      <c r="BI298" s="184">
        <v>2720</v>
      </c>
      <c r="BJ298" s="184">
        <v>2720</v>
      </c>
      <c r="BK298" s="184">
        <v>2720</v>
      </c>
      <c r="BL298" s="203">
        <v>2820</v>
      </c>
      <c r="BM298" s="203">
        <v>2820</v>
      </c>
      <c r="BN298" s="203">
        <v>2820</v>
      </c>
      <c r="BO298" s="184"/>
      <c r="BP298" s="184"/>
      <c r="BQ298" s="184"/>
      <c r="BR298" s="184"/>
      <c r="BS298" s="184"/>
      <c r="BT298" s="184"/>
      <c r="BU298" s="146" cm="1">
        <f t="array" ref="BU298">LOOKUP(2,1/(Y298:BT298&lt;&gt;""),Y298:BH298)</f>
        <v>2820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46174</v>
      </c>
      <c r="BW298" s="211" cm="1">
        <f t="array" ref="BW298">(LOOKUP(2,1/(BH298:BT298&lt;&gt;""),BH298:BT298))/(INDEX(BH298:BT298,MATCH(TRUE,INDEX((BH298:BT298&lt;&gt;0),0),0)))-1</f>
        <v>4.8327137546468446E-2</v>
      </c>
      <c r="BX298" s="212">
        <f t="shared" si="83"/>
        <v>2.82</v>
      </c>
      <c r="BY298" s="212">
        <f t="shared" si="82"/>
        <v>16.638000000000002</v>
      </c>
      <c r="BZ298" s="212">
        <f ca="1">IF(L298="BR",'Impostos e Frete'!$F$6,IF(L298="EU",'Impostos e Frete'!$I$3,IF(L298="CN",'Impostos e Frete'!$I$4,IF(L298="JP",'Impostos e Frete'!$I$5,IF(L298="RU",'Impostos e Frete'!$I$7,"ERRO")))))</f>
        <v>0.14176320000000001</v>
      </c>
      <c r="CA298" s="212">
        <f>VLOOKUP(L298,'Impostos e Frete'!$A$3:$B$7,2,0)*'Preços e Condições'!BY298</f>
        <v>2.1629400000000003</v>
      </c>
      <c r="CB298" s="147">
        <f t="shared" si="84"/>
        <v>0</v>
      </c>
      <c r="CC298" s="147">
        <f>IF(X298="BRL",'Impostos e Frete'!$B$11,'Impostos e Frete'!$B$12)</f>
        <v>9.1999999999999998E-2</v>
      </c>
      <c r="CD298" s="213">
        <f t="shared" ca="1" si="85"/>
        <v>19.034703199999999</v>
      </c>
      <c r="CE298" s="214">
        <f t="shared" ca="1" si="86"/>
        <v>1.2943598176</v>
      </c>
      <c r="CF298" s="215">
        <f>VLOOKUP(L298,'Impostos e Frete'!$A$3:$C$7,3,0)</f>
        <v>105</v>
      </c>
      <c r="CG298" s="215">
        <f t="shared" si="87"/>
        <v>120</v>
      </c>
      <c r="CH298" s="215">
        <f t="shared" si="88"/>
        <v>15</v>
      </c>
      <c r="CI298" s="216">
        <f t="shared" ca="1" si="89"/>
        <v>-0.14117403659686545</v>
      </c>
      <c r="CJ298" s="217">
        <f t="shared" ca="1" si="90"/>
        <v>18.893529163403134</v>
      </c>
      <c r="CK298" s="218">
        <f t="shared" ca="1" si="91"/>
        <v>1.2847599831114132</v>
      </c>
    </row>
    <row r="299" spans="1:89">
      <c r="A299" s="176"/>
      <c r="B299" s="177">
        <v>8686</v>
      </c>
      <c r="C299" s="178">
        <v>105</v>
      </c>
      <c r="D299" s="178"/>
      <c r="E299" s="178"/>
      <c r="F299" s="179" t="s">
        <v>47</v>
      </c>
      <c r="G299" s="179" t="s">
        <v>218</v>
      </c>
      <c r="H299" s="178" t="s">
        <v>43</v>
      </c>
      <c r="I299" s="178">
        <v>6424</v>
      </c>
      <c r="J299" s="178"/>
      <c r="K299" s="178"/>
      <c r="L299" s="178" t="s">
        <v>59</v>
      </c>
      <c r="M299" s="178">
        <v>120</v>
      </c>
      <c r="N299" s="178">
        <v>300</v>
      </c>
      <c r="O299" s="178"/>
      <c r="P299" s="178"/>
      <c r="Q299" s="178"/>
      <c r="R299" s="178" t="s">
        <v>19</v>
      </c>
      <c r="S299" s="181"/>
      <c r="T299" s="181"/>
      <c r="U299" s="182"/>
      <c r="V299" s="182" t="s">
        <v>35</v>
      </c>
      <c r="W299" s="183">
        <v>50</v>
      </c>
      <c r="X299" s="182" t="s">
        <v>51</v>
      </c>
      <c r="Y299" s="184">
        <v>3040</v>
      </c>
      <c r="Z299" s="184">
        <v>3040</v>
      </c>
      <c r="AA299" s="184">
        <v>3040</v>
      </c>
      <c r="AB299" s="184">
        <v>3040</v>
      </c>
      <c r="AC299" s="184">
        <v>3040</v>
      </c>
      <c r="AD299" s="184">
        <v>3040</v>
      </c>
      <c r="AE299" s="184">
        <v>2700</v>
      </c>
      <c r="AF299" s="184">
        <v>2700</v>
      </c>
      <c r="AG299" s="184">
        <v>2700</v>
      </c>
      <c r="AH299" s="184">
        <v>2550</v>
      </c>
      <c r="AI299" s="184">
        <v>2550</v>
      </c>
      <c r="AJ299" s="184">
        <v>2550</v>
      </c>
      <c r="AK299" s="184">
        <v>2610</v>
      </c>
      <c r="AL299" s="184">
        <v>2610</v>
      </c>
      <c r="AM299" s="184">
        <v>2610</v>
      </c>
      <c r="AN299" s="184">
        <v>2740</v>
      </c>
      <c r="AO299" s="184">
        <v>2740</v>
      </c>
      <c r="AP299" s="184">
        <v>2740</v>
      </c>
      <c r="AQ299" s="184">
        <v>2890</v>
      </c>
      <c r="AR299" s="184">
        <v>2890</v>
      </c>
      <c r="AS299" s="184">
        <v>2890</v>
      </c>
      <c r="AT299" s="184">
        <v>2890</v>
      </c>
      <c r="AU299" s="184">
        <v>2890</v>
      </c>
      <c r="AV299" s="184">
        <v>2890</v>
      </c>
      <c r="AW299" s="184">
        <v>2810</v>
      </c>
      <c r="AX299" s="184">
        <v>2810</v>
      </c>
      <c r="AY299" s="184">
        <v>2810</v>
      </c>
      <c r="AZ299" s="184">
        <v>2590</v>
      </c>
      <c r="BA299" s="184">
        <v>2590</v>
      </c>
      <c r="BB299" s="184">
        <v>2890</v>
      </c>
      <c r="BC299" s="184">
        <v>2890</v>
      </c>
      <c r="BD299" s="184">
        <v>2890</v>
      </c>
      <c r="BE299" s="184">
        <v>2890</v>
      </c>
      <c r="BF299" s="184">
        <v>2810</v>
      </c>
      <c r="BG299" s="184">
        <v>2810</v>
      </c>
      <c r="BH299" s="184">
        <v>2810</v>
      </c>
      <c r="BI299" s="184">
        <v>2840</v>
      </c>
      <c r="BJ299" s="184">
        <v>2840</v>
      </c>
      <c r="BK299" s="184">
        <v>2840</v>
      </c>
      <c r="BL299" s="184">
        <v>2940</v>
      </c>
      <c r="BM299" s="184">
        <v>2940</v>
      </c>
      <c r="BN299" s="184">
        <v>2940</v>
      </c>
      <c r="BO299" s="184"/>
      <c r="BP299" s="184"/>
      <c r="BQ299" s="184"/>
      <c r="BR299" s="184"/>
      <c r="BS299" s="184"/>
      <c r="BT299" s="184"/>
      <c r="BU299" s="146" cm="1">
        <f t="array" ref="BU299">LOOKUP(2,1/(Y299:BT299&lt;&gt;""),Y299:BH299)</f>
        <v>2940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46174</v>
      </c>
      <c r="BW299" s="211" cm="1">
        <f t="array" ref="BW299">(LOOKUP(2,1/(BH299:BT299&lt;&gt;""),BH299:BT299))/(INDEX(BH299:BT299,MATCH(TRUE,INDEX((BH299:BT299&lt;&gt;0),0),0)))-1</f>
        <v>4.6263345195729499E-2</v>
      </c>
      <c r="BX299" s="212">
        <f t="shared" si="83"/>
        <v>2.94</v>
      </c>
      <c r="BY299" s="212">
        <f t="shared" si="82"/>
        <v>17.346</v>
      </c>
      <c r="BZ299" s="212">
        <f ca="1">IF(L299="BR",'Impostos e Frete'!$F$6,IF(L299="EU",'Impostos e Frete'!$I$3,IF(L299="CN",'Impostos e Frete'!$I$4,IF(L299="JP",'Impostos e Frete'!$I$5,IF(L299="RU",'Impostos e Frete'!$I$7,"ERRO")))))</f>
        <v>0.14176320000000001</v>
      </c>
      <c r="CA299" s="212">
        <f>VLOOKUP(L299,'Impostos e Frete'!$A$3:$B$7,2,0)*'Preços e Condições'!BY299</f>
        <v>2.2549800000000002</v>
      </c>
      <c r="CB299" s="147">
        <f t="shared" si="84"/>
        <v>0</v>
      </c>
      <c r="CC299" s="147">
        <f>IF(X299="BRL",'Impostos e Frete'!$B$11,'Impostos e Frete'!$B$12)</f>
        <v>9.1999999999999998E-2</v>
      </c>
      <c r="CD299" s="213">
        <f t="shared" ca="1" si="85"/>
        <v>19.834743199999998</v>
      </c>
      <c r="CE299" s="214">
        <f t="shared" ca="1" si="86"/>
        <v>2.0826480359999997</v>
      </c>
      <c r="CF299" s="215">
        <f>VLOOKUP(L299,'Impostos e Frete'!$A$3:$C$7,3,0)</f>
        <v>105</v>
      </c>
      <c r="CG299" s="215">
        <f t="shared" si="87"/>
        <v>120</v>
      </c>
      <c r="CH299" s="215">
        <f t="shared" si="88"/>
        <v>15</v>
      </c>
      <c r="CI299" s="216">
        <f t="shared" ca="1" si="89"/>
        <v>-0.14710766608676096</v>
      </c>
      <c r="CJ299" s="217">
        <f t="shared" ca="1" si="90"/>
        <v>19.687635533913237</v>
      </c>
      <c r="CK299" s="218">
        <f t="shared" ca="1" si="91"/>
        <v>2.0672017310608899</v>
      </c>
    </row>
    <row r="300" spans="1:89">
      <c r="A300" s="176"/>
      <c r="B300" s="177">
        <v>8686</v>
      </c>
      <c r="C300" s="178">
        <v>105</v>
      </c>
      <c r="D300" s="178"/>
      <c r="E300" s="178"/>
      <c r="F300" s="179" t="s">
        <v>47</v>
      </c>
      <c r="G300" s="179" t="s">
        <v>218</v>
      </c>
      <c r="H300" s="178" t="s">
        <v>43</v>
      </c>
      <c r="I300" s="178">
        <v>6424</v>
      </c>
      <c r="J300" s="178"/>
      <c r="K300" s="178"/>
      <c r="L300" s="178" t="s">
        <v>59</v>
      </c>
      <c r="M300" s="178">
        <v>120</v>
      </c>
      <c r="N300" s="178">
        <v>300</v>
      </c>
      <c r="O300" s="178"/>
      <c r="P300" s="178"/>
      <c r="Q300" s="178"/>
      <c r="R300" s="178" t="s">
        <v>19</v>
      </c>
      <c r="S300" s="181"/>
      <c r="T300" s="181"/>
      <c r="U300" s="182"/>
      <c r="V300" s="182" t="s">
        <v>35</v>
      </c>
      <c r="W300" s="183">
        <v>30</v>
      </c>
      <c r="X300" s="182" t="s">
        <v>51</v>
      </c>
      <c r="Y300" s="184">
        <v>3090</v>
      </c>
      <c r="Z300" s="184">
        <v>3090</v>
      </c>
      <c r="AA300" s="184">
        <v>3090</v>
      </c>
      <c r="AB300" s="184">
        <v>3090</v>
      </c>
      <c r="AC300" s="184">
        <v>3090</v>
      </c>
      <c r="AD300" s="184">
        <v>3090</v>
      </c>
      <c r="AE300" s="184">
        <v>2750</v>
      </c>
      <c r="AF300" s="184">
        <v>2750</v>
      </c>
      <c r="AG300" s="184">
        <v>2750</v>
      </c>
      <c r="AH300" s="184">
        <v>2600</v>
      </c>
      <c r="AI300" s="184">
        <v>2600</v>
      </c>
      <c r="AJ300" s="184">
        <v>2600</v>
      </c>
      <c r="AK300" s="184">
        <v>2660</v>
      </c>
      <c r="AL300" s="184">
        <v>2660</v>
      </c>
      <c r="AM300" s="184">
        <v>2660</v>
      </c>
      <c r="AN300" s="184">
        <v>2790</v>
      </c>
      <c r="AO300" s="184">
        <v>2790</v>
      </c>
      <c r="AP300" s="184">
        <v>2790</v>
      </c>
      <c r="AQ300" s="184">
        <v>2940</v>
      </c>
      <c r="AR300" s="184">
        <v>2940</v>
      </c>
      <c r="AS300" s="184">
        <v>2940</v>
      </c>
      <c r="AT300" s="184">
        <v>2940</v>
      </c>
      <c r="AU300" s="184">
        <v>2940</v>
      </c>
      <c r="AV300" s="184">
        <v>2940</v>
      </c>
      <c r="AW300" s="184">
        <v>2860</v>
      </c>
      <c r="AX300" s="184">
        <v>2860</v>
      </c>
      <c r="AY300" s="184">
        <v>2860</v>
      </c>
      <c r="AZ300" s="184">
        <v>2640</v>
      </c>
      <c r="BA300" s="184">
        <v>2640</v>
      </c>
      <c r="BB300" s="184">
        <v>2940</v>
      </c>
      <c r="BC300" s="184">
        <v>2940</v>
      </c>
      <c r="BD300" s="184">
        <v>2940</v>
      </c>
      <c r="BE300" s="184">
        <v>2940</v>
      </c>
      <c r="BF300" s="184">
        <v>2860</v>
      </c>
      <c r="BG300" s="184">
        <v>2860</v>
      </c>
      <c r="BH300" s="184">
        <v>2860</v>
      </c>
      <c r="BI300" s="184">
        <v>2890</v>
      </c>
      <c r="BJ300" s="184">
        <v>2890</v>
      </c>
      <c r="BK300" s="184">
        <v>2890</v>
      </c>
      <c r="BL300" s="184">
        <v>2990</v>
      </c>
      <c r="BM300" s="184">
        <v>2990</v>
      </c>
      <c r="BN300" s="184">
        <v>2990</v>
      </c>
      <c r="BO300" s="184"/>
      <c r="BP300" s="184"/>
      <c r="BQ300" s="184"/>
      <c r="BR300" s="184"/>
      <c r="BS300" s="184"/>
      <c r="BT300" s="184"/>
      <c r="BU300" s="146" cm="1">
        <f t="array" ref="BU300">LOOKUP(2,1/(Y300:BT300&lt;&gt;""),Y300:BH300)</f>
        <v>2990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46174</v>
      </c>
      <c r="BW300" s="211" cm="1">
        <f t="array" ref="BW300">(LOOKUP(2,1/(BH300:BT300&lt;&gt;""),BH300:BT300))/(INDEX(BH300:BT300,MATCH(TRUE,INDEX((BH300:BT300&lt;&gt;0),0),0)))-1</f>
        <v>4.5454545454545414E-2</v>
      </c>
      <c r="BX300" s="212">
        <f t="shared" si="83"/>
        <v>2.99</v>
      </c>
      <c r="BY300" s="212">
        <f t="shared" si="82"/>
        <v>17.641000000000002</v>
      </c>
      <c r="BZ300" s="212">
        <f ca="1">IF(L300="BR",'Impostos e Frete'!$F$6,IF(L300="EU",'Impostos e Frete'!$I$3,IF(L300="CN",'Impostos e Frete'!$I$4,IF(L300="JP",'Impostos e Frete'!$I$5,IF(L300="RU",'Impostos e Frete'!$I$7,"ERRO")))))</f>
        <v>0.14176320000000001</v>
      </c>
      <c r="CA300" s="212">
        <f>VLOOKUP(L300,'Impostos e Frete'!$A$3:$B$7,2,0)*'Preços e Condições'!BY300</f>
        <v>2.2933300000000001</v>
      </c>
      <c r="CB300" s="147">
        <f t="shared" si="84"/>
        <v>0</v>
      </c>
      <c r="CC300" s="147">
        <f>IF(X300="BRL",'Impostos e Frete'!$B$11,'Impostos e Frete'!$B$12)</f>
        <v>9.1999999999999998E-2</v>
      </c>
      <c r="CD300" s="213">
        <f t="shared" ca="1" si="85"/>
        <v>20.168093200000001</v>
      </c>
      <c r="CE300" s="214">
        <f t="shared" ca="1" si="86"/>
        <v>2.1176497859999999</v>
      </c>
      <c r="CF300" s="215">
        <f>VLOOKUP(L300,'Impostos e Frete'!$A$3:$C$7,3,0)</f>
        <v>105</v>
      </c>
      <c r="CG300" s="215">
        <f t="shared" si="87"/>
        <v>120</v>
      </c>
      <c r="CH300" s="215">
        <f t="shared" si="88"/>
        <v>15</v>
      </c>
      <c r="CI300" s="216">
        <f t="shared" ca="1" si="89"/>
        <v>-0.14958001170755253</v>
      </c>
      <c r="CJ300" s="217">
        <f t="shared" ca="1" si="90"/>
        <v>20.018513188292449</v>
      </c>
      <c r="CK300" s="218">
        <f t="shared" ca="1" si="91"/>
        <v>2.1019438847707073</v>
      </c>
    </row>
    <row r="301" spans="1:89">
      <c r="A301" s="176"/>
      <c r="B301" s="177">
        <v>8686</v>
      </c>
      <c r="C301" s="178">
        <v>105</v>
      </c>
      <c r="D301" s="178"/>
      <c r="E301" s="178"/>
      <c r="F301" s="179" t="s">
        <v>47</v>
      </c>
      <c r="G301" s="179" t="s">
        <v>218</v>
      </c>
      <c r="H301" s="178" t="s">
        <v>43</v>
      </c>
      <c r="I301" s="178">
        <v>6424</v>
      </c>
      <c r="J301" s="178"/>
      <c r="K301" s="178"/>
      <c r="L301" s="178" t="s">
        <v>59</v>
      </c>
      <c r="M301" s="178">
        <v>120</v>
      </c>
      <c r="N301" s="178">
        <v>300</v>
      </c>
      <c r="O301" s="178"/>
      <c r="P301" s="178"/>
      <c r="Q301" s="178"/>
      <c r="R301" s="178" t="s">
        <v>19</v>
      </c>
      <c r="S301" s="181"/>
      <c r="T301" s="181"/>
      <c r="U301" s="182"/>
      <c r="V301" s="182" t="s">
        <v>35</v>
      </c>
      <c r="W301" s="183">
        <v>20</v>
      </c>
      <c r="X301" s="182" t="s">
        <v>51</v>
      </c>
      <c r="Y301" s="184">
        <v>3140</v>
      </c>
      <c r="Z301" s="184">
        <v>3140</v>
      </c>
      <c r="AA301" s="184">
        <v>3140</v>
      </c>
      <c r="AB301" s="184">
        <v>3140</v>
      </c>
      <c r="AC301" s="184">
        <v>3140</v>
      </c>
      <c r="AD301" s="184">
        <v>3140</v>
      </c>
      <c r="AE301" s="184">
        <v>2800</v>
      </c>
      <c r="AF301" s="184">
        <v>2800</v>
      </c>
      <c r="AG301" s="184">
        <v>2800</v>
      </c>
      <c r="AH301" s="184">
        <v>2650</v>
      </c>
      <c r="AI301" s="184">
        <v>2650</v>
      </c>
      <c r="AJ301" s="184">
        <v>2650</v>
      </c>
      <c r="AK301" s="184">
        <v>2710</v>
      </c>
      <c r="AL301" s="184">
        <v>2710</v>
      </c>
      <c r="AM301" s="184">
        <v>2710</v>
      </c>
      <c r="AN301" s="184">
        <v>2840</v>
      </c>
      <c r="AO301" s="184">
        <v>2840</v>
      </c>
      <c r="AP301" s="184">
        <v>2840</v>
      </c>
      <c r="AQ301" s="184">
        <v>2990</v>
      </c>
      <c r="AR301" s="184">
        <v>2990</v>
      </c>
      <c r="AS301" s="184">
        <v>2990</v>
      </c>
      <c r="AT301" s="184">
        <v>2990</v>
      </c>
      <c r="AU301" s="184">
        <v>2990</v>
      </c>
      <c r="AV301" s="184">
        <v>2990</v>
      </c>
      <c r="AW301" s="184">
        <v>2910</v>
      </c>
      <c r="AX301" s="184">
        <v>2910</v>
      </c>
      <c r="AY301" s="184">
        <v>2910</v>
      </c>
      <c r="AZ301" s="184">
        <v>2690</v>
      </c>
      <c r="BA301" s="184">
        <v>2690</v>
      </c>
      <c r="BB301" s="184">
        <v>2990</v>
      </c>
      <c r="BC301" s="184">
        <v>2990</v>
      </c>
      <c r="BD301" s="184">
        <v>2990</v>
      </c>
      <c r="BE301" s="184">
        <v>2990</v>
      </c>
      <c r="BF301" s="184">
        <v>2910</v>
      </c>
      <c r="BG301" s="184">
        <v>2910</v>
      </c>
      <c r="BH301" s="184">
        <v>2910</v>
      </c>
      <c r="BI301" s="184">
        <v>2940</v>
      </c>
      <c r="BJ301" s="184">
        <v>2940</v>
      </c>
      <c r="BK301" s="184">
        <v>2940</v>
      </c>
      <c r="BL301" s="184">
        <v>3040</v>
      </c>
      <c r="BM301" s="184">
        <v>3040</v>
      </c>
      <c r="BN301" s="184">
        <v>3040</v>
      </c>
      <c r="BO301" s="184"/>
      <c r="BP301" s="184"/>
      <c r="BQ301" s="184"/>
      <c r="BR301" s="184"/>
      <c r="BS301" s="184"/>
      <c r="BT301" s="184"/>
      <c r="BU301" s="146" cm="1">
        <f t="array" ref="BU301">LOOKUP(2,1/(Y301:BT301&lt;&gt;""),Y301:BH301)</f>
        <v>3040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46174</v>
      </c>
      <c r="BW301" s="211" cm="1">
        <f t="array" ref="BW301">(LOOKUP(2,1/(BH301:BT301&lt;&gt;""),BH301:BT301))/(INDEX(BH301:BT301,MATCH(TRUE,INDEX((BH301:BT301&lt;&gt;0),0),0)))-1</f>
        <v>4.4673539518900407E-2</v>
      </c>
      <c r="BX301" s="212">
        <f t="shared" si="83"/>
        <v>3.04</v>
      </c>
      <c r="BY301" s="212">
        <f t="shared" si="82"/>
        <v>17.936</v>
      </c>
      <c r="BZ301" s="212">
        <f ca="1">IF(L301="BR",'Impostos e Frete'!$F$6,IF(L301="EU",'Impostos e Frete'!$I$3,IF(L301="CN",'Impostos e Frete'!$I$4,IF(L301="JP",'Impostos e Frete'!$I$5,IF(L301="RU",'Impostos e Frete'!$I$7,"ERRO")))))</f>
        <v>0.14176320000000001</v>
      </c>
      <c r="CA301" s="212">
        <f>VLOOKUP(L301,'Impostos e Frete'!$A$3:$B$7,2,0)*'Preços e Condições'!BY301</f>
        <v>2.33168</v>
      </c>
      <c r="CB301" s="147">
        <f t="shared" si="84"/>
        <v>0</v>
      </c>
      <c r="CC301" s="147">
        <f>IF(X301="BRL",'Impostos e Frete'!$B$11,'Impostos e Frete'!$B$12)</f>
        <v>9.1999999999999998E-2</v>
      </c>
      <c r="CD301" s="213">
        <f t="shared" ca="1" si="85"/>
        <v>20.501443199999997</v>
      </c>
      <c r="CE301" s="214">
        <f t="shared" ca="1" si="86"/>
        <v>2.1526515359999996</v>
      </c>
      <c r="CF301" s="215">
        <f>VLOOKUP(L301,'Impostos e Frete'!$A$3:$C$7,3,0)</f>
        <v>105</v>
      </c>
      <c r="CG301" s="215">
        <f t="shared" si="87"/>
        <v>120</v>
      </c>
      <c r="CH301" s="215">
        <f t="shared" si="88"/>
        <v>15</v>
      </c>
      <c r="CI301" s="216">
        <f t="shared" ca="1" si="89"/>
        <v>-0.1520523573283441</v>
      </c>
      <c r="CJ301" s="217">
        <f t="shared" ca="1" si="90"/>
        <v>20.349390842671653</v>
      </c>
      <c r="CK301" s="218">
        <f t="shared" ca="1" si="91"/>
        <v>2.1366860384805237</v>
      </c>
    </row>
    <row r="302" spans="1:89">
      <c r="A302" s="176"/>
      <c r="B302" s="177">
        <v>8686</v>
      </c>
      <c r="C302" s="178">
        <v>105</v>
      </c>
      <c r="D302" s="178"/>
      <c r="E302" s="178"/>
      <c r="F302" s="179" t="s">
        <v>47</v>
      </c>
      <c r="G302" s="179" t="s">
        <v>218</v>
      </c>
      <c r="H302" s="178" t="s">
        <v>43</v>
      </c>
      <c r="I302" s="178">
        <v>6424</v>
      </c>
      <c r="J302" s="178"/>
      <c r="K302" s="178"/>
      <c r="L302" s="178" t="s">
        <v>59</v>
      </c>
      <c r="M302" s="178">
        <v>120</v>
      </c>
      <c r="N302" s="178">
        <v>300</v>
      </c>
      <c r="O302" s="178"/>
      <c r="P302" s="178"/>
      <c r="Q302" s="178"/>
      <c r="R302" s="178" t="s">
        <v>19</v>
      </c>
      <c r="S302" s="181"/>
      <c r="T302" s="181"/>
      <c r="U302" s="182"/>
      <c r="V302" s="182" t="s">
        <v>35</v>
      </c>
      <c r="W302" s="183">
        <v>10</v>
      </c>
      <c r="X302" s="182" t="s">
        <v>51</v>
      </c>
      <c r="Y302" s="184">
        <v>3220</v>
      </c>
      <c r="Z302" s="184">
        <v>3220</v>
      </c>
      <c r="AA302" s="184">
        <v>3220</v>
      </c>
      <c r="AB302" s="184">
        <v>3220</v>
      </c>
      <c r="AC302" s="184">
        <v>3220</v>
      </c>
      <c r="AD302" s="184">
        <v>3220</v>
      </c>
      <c r="AE302" s="184">
        <v>2880</v>
      </c>
      <c r="AF302" s="184">
        <v>2880</v>
      </c>
      <c r="AG302" s="184">
        <v>2880</v>
      </c>
      <c r="AH302" s="184">
        <v>2730</v>
      </c>
      <c r="AI302" s="184">
        <v>2730</v>
      </c>
      <c r="AJ302" s="184">
        <v>2730</v>
      </c>
      <c r="AK302" s="184">
        <v>2790</v>
      </c>
      <c r="AL302" s="184">
        <v>2790</v>
      </c>
      <c r="AM302" s="184">
        <v>2790</v>
      </c>
      <c r="AN302" s="184">
        <v>2920</v>
      </c>
      <c r="AO302" s="184">
        <v>2920</v>
      </c>
      <c r="AP302" s="184">
        <v>2920</v>
      </c>
      <c r="AQ302" s="184">
        <v>3070</v>
      </c>
      <c r="AR302" s="184">
        <v>3070</v>
      </c>
      <c r="AS302" s="184">
        <v>3070</v>
      </c>
      <c r="AT302" s="184">
        <v>3070</v>
      </c>
      <c r="AU302" s="184">
        <v>3070</v>
      </c>
      <c r="AV302" s="184">
        <v>3070</v>
      </c>
      <c r="AW302" s="184">
        <v>2990</v>
      </c>
      <c r="AX302" s="184">
        <v>2990</v>
      </c>
      <c r="AY302" s="184">
        <v>2990</v>
      </c>
      <c r="AZ302" s="184">
        <v>2770</v>
      </c>
      <c r="BA302" s="184">
        <v>2770</v>
      </c>
      <c r="BB302" s="184">
        <v>3070</v>
      </c>
      <c r="BC302" s="184">
        <v>3070</v>
      </c>
      <c r="BD302" s="184">
        <v>3070</v>
      </c>
      <c r="BE302" s="184">
        <v>3070</v>
      </c>
      <c r="BF302" s="184">
        <v>2990</v>
      </c>
      <c r="BG302" s="184">
        <v>2990</v>
      </c>
      <c r="BH302" s="184">
        <v>2990</v>
      </c>
      <c r="BI302" s="184">
        <v>3020</v>
      </c>
      <c r="BJ302" s="184">
        <v>3020</v>
      </c>
      <c r="BK302" s="184">
        <v>3020</v>
      </c>
      <c r="BL302" s="184">
        <v>3120</v>
      </c>
      <c r="BM302" s="184">
        <v>3120</v>
      </c>
      <c r="BN302" s="184">
        <v>3120</v>
      </c>
      <c r="BO302" s="184"/>
      <c r="BP302" s="184"/>
      <c r="BQ302" s="184"/>
      <c r="BR302" s="184"/>
      <c r="BS302" s="184"/>
      <c r="BT302" s="184"/>
      <c r="BU302" s="146" cm="1">
        <f t="array" ref="BU302">LOOKUP(2,1/(Y302:BT302&lt;&gt;""),Y302:BH302)</f>
        <v>3120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46174</v>
      </c>
      <c r="BW302" s="211" cm="1">
        <f t="array" ref="BW302">(LOOKUP(2,1/(BH302:BT302&lt;&gt;""),BH302:BT302))/(INDEX(BH302:BT302,MATCH(TRUE,INDEX((BH302:BT302&lt;&gt;0),0),0)))-1</f>
        <v>4.3478260869565188E-2</v>
      </c>
      <c r="BX302" s="212">
        <f t="shared" si="83"/>
        <v>3.12</v>
      </c>
      <c r="BY302" s="212">
        <f t="shared" si="82"/>
        <v>18.408000000000001</v>
      </c>
      <c r="BZ302" s="212">
        <f ca="1">IF(L302="BR",'Impostos e Frete'!$F$6,IF(L302="EU",'Impostos e Frete'!$I$3,IF(L302="CN",'Impostos e Frete'!$I$4,IF(L302="JP",'Impostos e Frete'!$I$5,IF(L302="RU",'Impostos e Frete'!$I$7,"ERRO")))))</f>
        <v>0.14176320000000001</v>
      </c>
      <c r="CA302" s="212">
        <f>VLOOKUP(L302,'Impostos e Frete'!$A$3:$B$7,2,0)*'Preços e Condições'!BY302</f>
        <v>2.3930400000000001</v>
      </c>
      <c r="CB302" s="147">
        <f t="shared" si="84"/>
        <v>0</v>
      </c>
      <c r="CC302" s="147">
        <f>IF(X302="BRL",'Impostos e Frete'!$B$11,'Impostos e Frete'!$B$12)</f>
        <v>9.1999999999999998E-2</v>
      </c>
      <c r="CD302" s="213">
        <f t="shared" ca="1" si="85"/>
        <v>21.034803199999999</v>
      </c>
      <c r="CE302" s="214">
        <f t="shared" ca="1" si="86"/>
        <v>2.2086543359999999</v>
      </c>
      <c r="CF302" s="215">
        <f>VLOOKUP(L302,'Impostos e Frete'!$A$3:$C$7,3,0)</f>
        <v>105</v>
      </c>
      <c r="CG302" s="215">
        <f t="shared" si="87"/>
        <v>120</v>
      </c>
      <c r="CH302" s="215">
        <f t="shared" si="88"/>
        <v>15</v>
      </c>
      <c r="CI302" s="216">
        <f t="shared" ca="1" si="89"/>
        <v>-0.15600811032160777</v>
      </c>
      <c r="CJ302" s="217">
        <f t="shared" ca="1" si="90"/>
        <v>20.878795089678391</v>
      </c>
      <c r="CK302" s="218">
        <f t="shared" ca="1" si="91"/>
        <v>2.1922734844162313</v>
      </c>
    </row>
    <row r="303" spans="1:89">
      <c r="A303" s="176">
        <v>17027</v>
      </c>
      <c r="B303" s="177">
        <v>8269</v>
      </c>
      <c r="C303" s="178">
        <v>70</v>
      </c>
      <c r="D303" s="178">
        <v>2120</v>
      </c>
      <c r="E303" s="178" t="s">
        <v>50</v>
      </c>
      <c r="F303" s="179" t="s">
        <v>47</v>
      </c>
      <c r="G303" s="185" t="s">
        <v>91</v>
      </c>
      <c r="H303" s="178" t="s">
        <v>42</v>
      </c>
      <c r="I303" s="178">
        <v>6552</v>
      </c>
      <c r="J303" s="178"/>
      <c r="K303" s="178"/>
      <c r="L303" s="178" t="s">
        <v>59</v>
      </c>
      <c r="M303" s="178">
        <v>120</v>
      </c>
      <c r="N303" s="178">
        <v>300</v>
      </c>
      <c r="O303" s="178"/>
      <c r="P303" s="178"/>
      <c r="Q303" s="178"/>
      <c r="R303" s="178" t="s">
        <v>19</v>
      </c>
      <c r="S303" s="181"/>
      <c r="T303" s="181"/>
      <c r="U303" s="182"/>
      <c r="V303" s="182" t="s">
        <v>35</v>
      </c>
      <c r="W303" s="183">
        <v>50</v>
      </c>
      <c r="X303" s="182" t="s">
        <v>51</v>
      </c>
      <c r="Y303" s="184">
        <v>2910</v>
      </c>
      <c r="Z303" s="184">
        <v>2910</v>
      </c>
      <c r="AA303" s="184">
        <v>2910</v>
      </c>
      <c r="AB303" s="184">
        <v>2910</v>
      </c>
      <c r="AC303" s="184">
        <v>2910</v>
      </c>
      <c r="AD303" s="184">
        <v>2910</v>
      </c>
      <c r="AE303" s="184">
        <v>2300</v>
      </c>
      <c r="AF303" s="184">
        <v>2300</v>
      </c>
      <c r="AG303" s="184">
        <v>2300</v>
      </c>
      <c r="AH303" s="184">
        <v>2150</v>
      </c>
      <c r="AI303" s="184">
        <v>2150</v>
      </c>
      <c r="AJ303" s="184">
        <v>2120</v>
      </c>
      <c r="AK303" s="184">
        <v>2210</v>
      </c>
      <c r="AL303" s="184">
        <v>2210</v>
      </c>
      <c r="AM303" s="184">
        <v>2210</v>
      </c>
      <c r="AN303" s="184">
        <v>2340</v>
      </c>
      <c r="AO303" s="184">
        <v>2340</v>
      </c>
      <c r="AP303" s="184">
        <v>2340</v>
      </c>
      <c r="AQ303" s="184">
        <v>2490</v>
      </c>
      <c r="AR303" s="184">
        <v>2490</v>
      </c>
      <c r="AS303" s="184">
        <v>2490</v>
      </c>
      <c r="AT303" s="184">
        <v>2490</v>
      </c>
      <c r="AU303" s="184">
        <v>2490</v>
      </c>
      <c r="AV303" s="184">
        <v>2490</v>
      </c>
      <c r="AW303" s="184">
        <v>2410</v>
      </c>
      <c r="AX303" s="184">
        <v>2410</v>
      </c>
      <c r="AY303" s="184">
        <v>2410</v>
      </c>
      <c r="AZ303" s="184">
        <v>2170</v>
      </c>
      <c r="BA303" s="184">
        <v>2170</v>
      </c>
      <c r="BB303" s="184">
        <v>2300</v>
      </c>
      <c r="BC303" s="184">
        <v>2300</v>
      </c>
      <c r="BD303" s="184">
        <v>2300</v>
      </c>
      <c r="BE303" s="184">
        <v>2300</v>
      </c>
      <c r="BF303" s="184">
        <v>2200</v>
      </c>
      <c r="BG303" s="184">
        <v>2200</v>
      </c>
      <c r="BH303" s="184">
        <v>2200</v>
      </c>
      <c r="BI303" s="184">
        <v>2230</v>
      </c>
      <c r="BJ303" s="184">
        <v>2230</v>
      </c>
      <c r="BK303" s="184">
        <v>2230</v>
      </c>
      <c r="BL303" s="184">
        <v>2330</v>
      </c>
      <c r="BM303" s="184">
        <v>2330</v>
      </c>
      <c r="BN303" s="184">
        <v>2330</v>
      </c>
      <c r="BO303" s="184"/>
      <c r="BP303" s="184"/>
      <c r="BQ303" s="184"/>
      <c r="BR303" s="184"/>
      <c r="BS303" s="184"/>
      <c r="BT303" s="184"/>
      <c r="BU303" s="146" cm="1">
        <f t="array" ref="BU303">LOOKUP(2,1/(Y303:BT303&lt;&gt;""),Y303:BH303)</f>
        <v>2330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46174</v>
      </c>
      <c r="BW303" s="211" cm="1">
        <f t="array" ref="BW303">(LOOKUP(2,1/(BH303:BT303&lt;&gt;""),BH303:BT303))/(INDEX(BH303:BT303,MATCH(TRUE,INDEX((BH303:BT303&lt;&gt;0),0),0)))-1</f>
        <v>5.9090909090909083E-2</v>
      </c>
      <c r="BX303" s="212">
        <f t="shared" si="83"/>
        <v>2.33</v>
      </c>
      <c r="BY303" s="212">
        <f t="shared" si="82"/>
        <v>13.747000000000002</v>
      </c>
      <c r="BZ303" s="212">
        <f ca="1">IF(L303="BR",'Impostos e Frete'!$F$6,IF(L303="EU",'Impostos e Frete'!$I$3,IF(L303="CN",'Impostos e Frete'!$I$4,IF(L303="JP",'Impostos e Frete'!$I$5,IF(L303="RU",'Impostos e Frete'!$I$7,"ERRO")))))</f>
        <v>0.14176320000000001</v>
      </c>
      <c r="CA303" s="212">
        <f>VLOOKUP(L303,'Impostos e Frete'!$A$3:$B$7,2,0)*'Preços e Condições'!BY303</f>
        <v>1.7871100000000002</v>
      </c>
      <c r="CB303" s="147">
        <f t="shared" si="84"/>
        <v>0</v>
      </c>
      <c r="CC303" s="147">
        <f>IF(X303="BRL",'Impostos e Frete'!$B$11,'Impostos e Frete'!$B$12)</f>
        <v>9.1999999999999998E-2</v>
      </c>
      <c r="CD303" s="213">
        <f t="shared" ca="1" si="85"/>
        <v>15.767873200000002</v>
      </c>
      <c r="CE303" s="214">
        <f t="shared" ca="1" si="86"/>
        <v>1.103751124</v>
      </c>
      <c r="CF303" s="215">
        <f>VLOOKUP(L303,'Impostos e Frete'!$A$3:$C$7,3,0)</f>
        <v>105</v>
      </c>
      <c r="CG303" s="215">
        <f t="shared" si="87"/>
        <v>120</v>
      </c>
      <c r="CH303" s="215">
        <f t="shared" si="88"/>
        <v>15</v>
      </c>
      <c r="CI303" s="216">
        <f t="shared" ca="1" si="89"/>
        <v>-0.11694504951312013</v>
      </c>
      <c r="CJ303" s="217">
        <f t="shared" ca="1" si="90"/>
        <v>15.650928150486882</v>
      </c>
      <c r="CK303" s="218">
        <f t="shared" ca="1" si="91"/>
        <v>1.0955649705340818</v>
      </c>
    </row>
    <row r="304" spans="1:89">
      <c r="A304" s="176">
        <v>17027</v>
      </c>
      <c r="B304" s="177">
        <v>8269</v>
      </c>
      <c r="C304" s="178">
        <v>70</v>
      </c>
      <c r="D304" s="178">
        <v>2120</v>
      </c>
      <c r="E304" s="178" t="s">
        <v>50</v>
      </c>
      <c r="F304" s="179" t="s">
        <v>47</v>
      </c>
      <c r="G304" s="185" t="s">
        <v>91</v>
      </c>
      <c r="H304" s="178" t="s">
        <v>42</v>
      </c>
      <c r="I304" s="178">
        <v>6552</v>
      </c>
      <c r="J304" s="178"/>
      <c r="K304" s="178"/>
      <c r="L304" s="178" t="s">
        <v>59</v>
      </c>
      <c r="M304" s="178">
        <v>120</v>
      </c>
      <c r="N304" s="178">
        <v>300</v>
      </c>
      <c r="O304" s="178"/>
      <c r="P304" s="178"/>
      <c r="Q304" s="178"/>
      <c r="R304" s="178" t="s">
        <v>19</v>
      </c>
      <c r="S304" s="181"/>
      <c r="T304" s="181"/>
      <c r="U304" s="182"/>
      <c r="V304" s="182" t="s">
        <v>35</v>
      </c>
      <c r="W304" s="183">
        <v>30</v>
      </c>
      <c r="X304" s="182" t="s">
        <v>51</v>
      </c>
      <c r="Y304" s="184">
        <v>2960</v>
      </c>
      <c r="Z304" s="184">
        <v>2960</v>
      </c>
      <c r="AA304" s="184">
        <v>2960</v>
      </c>
      <c r="AB304" s="184">
        <v>2960</v>
      </c>
      <c r="AC304" s="184">
        <v>2960</v>
      </c>
      <c r="AD304" s="184">
        <v>2960</v>
      </c>
      <c r="AE304" s="184">
        <v>2350</v>
      </c>
      <c r="AF304" s="184">
        <v>2350</v>
      </c>
      <c r="AG304" s="184">
        <v>2350</v>
      </c>
      <c r="AH304" s="184">
        <v>2200</v>
      </c>
      <c r="AI304" s="184">
        <v>2200</v>
      </c>
      <c r="AJ304" s="184">
        <v>2170</v>
      </c>
      <c r="AK304" s="184"/>
      <c r="AL304" s="184"/>
      <c r="AM304" s="184"/>
      <c r="AN304" s="184">
        <v>2390</v>
      </c>
      <c r="AO304" s="184">
        <v>2390</v>
      </c>
      <c r="AP304" s="184">
        <v>2390</v>
      </c>
      <c r="AQ304" s="184">
        <v>2540</v>
      </c>
      <c r="AR304" s="184">
        <v>2540</v>
      </c>
      <c r="AS304" s="184">
        <v>2540</v>
      </c>
      <c r="AT304" s="184">
        <v>2540</v>
      </c>
      <c r="AU304" s="184">
        <v>2540</v>
      </c>
      <c r="AV304" s="184">
        <v>2540</v>
      </c>
      <c r="AW304" s="184">
        <v>2460</v>
      </c>
      <c r="AX304" s="184">
        <v>2460</v>
      </c>
      <c r="AY304" s="184">
        <v>2460</v>
      </c>
      <c r="AZ304" s="184">
        <v>2220</v>
      </c>
      <c r="BA304" s="184">
        <v>2220</v>
      </c>
      <c r="BB304" s="184">
        <v>2350</v>
      </c>
      <c r="BC304" s="184">
        <v>2350</v>
      </c>
      <c r="BD304" s="184">
        <v>2350</v>
      </c>
      <c r="BE304" s="184">
        <v>2350</v>
      </c>
      <c r="BF304" s="184">
        <v>2250</v>
      </c>
      <c r="BG304" s="184">
        <v>2250</v>
      </c>
      <c r="BH304" s="184">
        <v>2250</v>
      </c>
      <c r="BI304" s="184">
        <v>2280</v>
      </c>
      <c r="BJ304" s="184">
        <v>2280</v>
      </c>
      <c r="BK304" s="184">
        <v>2280</v>
      </c>
      <c r="BL304" s="184">
        <v>2380</v>
      </c>
      <c r="BM304" s="184">
        <v>2380</v>
      </c>
      <c r="BN304" s="184">
        <v>2380</v>
      </c>
      <c r="BO304" s="184"/>
      <c r="BP304" s="184"/>
      <c r="BQ304" s="184"/>
      <c r="BR304" s="184"/>
      <c r="BS304" s="184"/>
      <c r="BT304" s="184"/>
      <c r="BU304" s="146" cm="1">
        <f t="array" ref="BU304">LOOKUP(2,1/(Y304:BT304&lt;&gt;""),Y304:BH304)</f>
        <v>2380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46174</v>
      </c>
      <c r="BW304" s="211" cm="1">
        <f t="array" ref="BW304">(LOOKUP(2,1/(BH304:BT304&lt;&gt;""),BH304:BT304))/(INDEX(BH304:BT304,MATCH(TRUE,INDEX((BH304:BT304&lt;&gt;0),0),0)))-1</f>
        <v>5.7777777777777706E-2</v>
      </c>
      <c r="BX304" s="212">
        <f t="shared" si="83"/>
        <v>2.38</v>
      </c>
      <c r="BY304" s="212">
        <f t="shared" si="82"/>
        <v>14.042</v>
      </c>
      <c r="BZ304" s="212">
        <f ca="1">IF(L304="BR",'Impostos e Frete'!$F$6,IF(L304="EU",'Impostos e Frete'!$I$3,IF(L304="CN",'Impostos e Frete'!$I$4,IF(L304="JP",'Impostos e Frete'!$I$5,IF(L304="RU",'Impostos e Frete'!$I$7,"ERRO")))))</f>
        <v>0.14176320000000001</v>
      </c>
      <c r="CA304" s="212">
        <f>VLOOKUP(L304,'Impostos e Frete'!$A$3:$B$7,2,0)*'Preços e Condições'!BY304</f>
        <v>1.8254600000000001</v>
      </c>
      <c r="CB304" s="147">
        <f t="shared" si="84"/>
        <v>0</v>
      </c>
      <c r="CC304" s="147">
        <f>IF(X304="BRL",'Impostos e Frete'!$B$11,'Impostos e Frete'!$B$12)</f>
        <v>9.1999999999999998E-2</v>
      </c>
      <c r="CD304" s="213">
        <f t="shared" ca="1" si="85"/>
        <v>16.1012232</v>
      </c>
      <c r="CE304" s="214">
        <f t="shared" ca="1" si="86"/>
        <v>1.127085624</v>
      </c>
      <c r="CF304" s="215">
        <f>VLOOKUP(L304,'Impostos e Frete'!$A$3:$C$7,3,0)</f>
        <v>105</v>
      </c>
      <c r="CG304" s="215">
        <f t="shared" si="87"/>
        <v>120</v>
      </c>
      <c r="CH304" s="215">
        <f t="shared" si="88"/>
        <v>15</v>
      </c>
      <c r="CI304" s="216">
        <f t="shared" ca="1" si="89"/>
        <v>-0.11941739513390992</v>
      </c>
      <c r="CJ304" s="217">
        <f t="shared" ca="1" si="90"/>
        <v>15.98180580486609</v>
      </c>
      <c r="CK304" s="218">
        <f t="shared" ca="1" si="91"/>
        <v>1.1187264063406261</v>
      </c>
    </row>
    <row r="305" spans="1:89">
      <c r="A305" s="176">
        <v>17027</v>
      </c>
      <c r="B305" s="177">
        <v>8269</v>
      </c>
      <c r="C305" s="178">
        <v>70</v>
      </c>
      <c r="D305" s="178">
        <v>2120</v>
      </c>
      <c r="E305" s="178" t="s">
        <v>50</v>
      </c>
      <c r="F305" s="179" t="s">
        <v>47</v>
      </c>
      <c r="G305" s="185" t="s">
        <v>91</v>
      </c>
      <c r="H305" s="178" t="s">
        <v>42</v>
      </c>
      <c r="I305" s="178">
        <v>6552</v>
      </c>
      <c r="J305" s="178"/>
      <c r="K305" s="178"/>
      <c r="L305" s="178" t="s">
        <v>59</v>
      </c>
      <c r="M305" s="178">
        <v>120</v>
      </c>
      <c r="N305" s="178">
        <v>300</v>
      </c>
      <c r="O305" s="178"/>
      <c r="P305" s="178"/>
      <c r="Q305" s="178"/>
      <c r="R305" s="178" t="s">
        <v>19</v>
      </c>
      <c r="S305" s="181"/>
      <c r="T305" s="181"/>
      <c r="U305" s="182"/>
      <c r="V305" s="182" t="s">
        <v>35</v>
      </c>
      <c r="W305" s="183">
        <v>20</v>
      </c>
      <c r="X305" s="182" t="s">
        <v>51</v>
      </c>
      <c r="Y305" s="184">
        <v>3010</v>
      </c>
      <c r="Z305" s="184">
        <v>3010</v>
      </c>
      <c r="AA305" s="184">
        <v>3010</v>
      </c>
      <c r="AB305" s="184">
        <v>3010</v>
      </c>
      <c r="AC305" s="184">
        <v>3010</v>
      </c>
      <c r="AD305" s="184">
        <v>3010</v>
      </c>
      <c r="AE305" s="184">
        <v>2400</v>
      </c>
      <c r="AF305" s="184">
        <v>2400</v>
      </c>
      <c r="AG305" s="184">
        <v>2400</v>
      </c>
      <c r="AH305" s="184">
        <v>2250</v>
      </c>
      <c r="AI305" s="184">
        <v>2250</v>
      </c>
      <c r="AJ305" s="184">
        <v>2220</v>
      </c>
      <c r="AK305" s="184"/>
      <c r="AL305" s="184"/>
      <c r="AM305" s="184"/>
      <c r="AN305" s="184">
        <v>2440</v>
      </c>
      <c r="AO305" s="184">
        <v>2440</v>
      </c>
      <c r="AP305" s="184">
        <v>2440</v>
      </c>
      <c r="AQ305" s="184">
        <v>2590</v>
      </c>
      <c r="AR305" s="184">
        <v>2590</v>
      </c>
      <c r="AS305" s="184">
        <v>2590</v>
      </c>
      <c r="AT305" s="184">
        <v>2590</v>
      </c>
      <c r="AU305" s="184">
        <v>2590</v>
      </c>
      <c r="AV305" s="184">
        <v>2590</v>
      </c>
      <c r="AW305" s="184">
        <v>2510</v>
      </c>
      <c r="AX305" s="184">
        <v>2510</v>
      </c>
      <c r="AY305" s="184">
        <v>2510</v>
      </c>
      <c r="AZ305" s="184">
        <v>2270</v>
      </c>
      <c r="BA305" s="184">
        <v>2270</v>
      </c>
      <c r="BB305" s="184">
        <v>2400</v>
      </c>
      <c r="BC305" s="184">
        <v>2400</v>
      </c>
      <c r="BD305" s="184">
        <v>2400</v>
      </c>
      <c r="BE305" s="184">
        <v>2400</v>
      </c>
      <c r="BF305" s="184">
        <v>2300</v>
      </c>
      <c r="BG305" s="184">
        <v>2300</v>
      </c>
      <c r="BH305" s="184">
        <v>2300</v>
      </c>
      <c r="BI305" s="184">
        <v>2330</v>
      </c>
      <c r="BJ305" s="184">
        <v>2330</v>
      </c>
      <c r="BK305" s="184">
        <v>2330</v>
      </c>
      <c r="BL305" s="184">
        <v>2430</v>
      </c>
      <c r="BM305" s="184">
        <v>2430</v>
      </c>
      <c r="BN305" s="184">
        <v>2430</v>
      </c>
      <c r="BO305" s="184"/>
      <c r="BP305" s="184"/>
      <c r="BQ305" s="184"/>
      <c r="BR305" s="184"/>
      <c r="BS305" s="184"/>
      <c r="BT305" s="184"/>
      <c r="BU305" s="146" cm="1">
        <f t="array" ref="BU305">LOOKUP(2,1/(Y305:BT305&lt;&gt;""),Y305:BH305)</f>
        <v>2430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46174</v>
      </c>
      <c r="BW305" s="211" cm="1">
        <f t="array" ref="BW305">(LOOKUP(2,1/(BH305:BT305&lt;&gt;""),BH305:BT305))/(INDEX(BH305:BT305,MATCH(TRUE,INDEX((BH305:BT305&lt;&gt;0),0),0)))-1</f>
        <v>5.6521739130434678E-2</v>
      </c>
      <c r="BX305" s="212">
        <f t="shared" si="83"/>
        <v>2.4300000000000002</v>
      </c>
      <c r="BY305" s="212">
        <f t="shared" si="82"/>
        <v>14.337000000000002</v>
      </c>
      <c r="BZ305" s="212">
        <f ca="1">IF(L305="BR",'Impostos e Frete'!$F$6,IF(L305="EU",'Impostos e Frete'!$I$3,IF(L305="CN",'Impostos e Frete'!$I$4,IF(L305="JP",'Impostos e Frete'!$I$5,IF(L305="RU",'Impostos e Frete'!$I$7,"ERRO")))))</f>
        <v>0.14176320000000001</v>
      </c>
      <c r="CA305" s="212">
        <f>VLOOKUP(L305,'Impostos e Frete'!$A$3:$B$7,2,0)*'Preços e Condições'!BY305</f>
        <v>1.8638100000000002</v>
      </c>
      <c r="CB305" s="147">
        <f t="shared" si="84"/>
        <v>0</v>
      </c>
      <c r="CC305" s="147">
        <f>IF(X305="BRL",'Impostos e Frete'!$B$11,'Impostos e Frete'!$B$12)</f>
        <v>9.1999999999999998E-2</v>
      </c>
      <c r="CD305" s="213">
        <f t="shared" ca="1" si="85"/>
        <v>16.434573199999999</v>
      </c>
      <c r="CE305" s="214">
        <f t="shared" ca="1" si="86"/>
        <v>1.150420124</v>
      </c>
      <c r="CF305" s="215">
        <f>VLOOKUP(L305,'Impostos e Frete'!$A$3:$C$7,3,0)</f>
        <v>105</v>
      </c>
      <c r="CG305" s="215">
        <f t="shared" si="87"/>
        <v>120</v>
      </c>
      <c r="CH305" s="215">
        <f t="shared" si="88"/>
        <v>15</v>
      </c>
      <c r="CI305" s="216">
        <f t="shared" ca="1" si="89"/>
        <v>-0.12188974075469972</v>
      </c>
      <c r="CJ305" s="217">
        <f t="shared" ca="1" si="90"/>
        <v>16.312683459245299</v>
      </c>
      <c r="CK305" s="218">
        <f t="shared" ca="1" si="91"/>
        <v>1.141887842147171</v>
      </c>
    </row>
    <row r="306" spans="1:89">
      <c r="A306" s="176">
        <v>17027</v>
      </c>
      <c r="B306" s="177">
        <v>8269</v>
      </c>
      <c r="C306" s="178">
        <v>70</v>
      </c>
      <c r="D306" s="178">
        <v>2120</v>
      </c>
      <c r="E306" s="178" t="s">
        <v>50</v>
      </c>
      <c r="F306" s="179" t="s">
        <v>47</v>
      </c>
      <c r="G306" s="185" t="s">
        <v>91</v>
      </c>
      <c r="H306" s="178" t="s">
        <v>42</v>
      </c>
      <c r="I306" s="178">
        <v>6552</v>
      </c>
      <c r="J306" s="178"/>
      <c r="K306" s="178"/>
      <c r="L306" s="178" t="s">
        <v>59</v>
      </c>
      <c r="M306" s="178">
        <v>120</v>
      </c>
      <c r="N306" s="178">
        <v>300</v>
      </c>
      <c r="O306" s="178"/>
      <c r="P306" s="178"/>
      <c r="Q306" s="178"/>
      <c r="R306" s="178" t="s">
        <v>19</v>
      </c>
      <c r="S306" s="181"/>
      <c r="T306" s="181"/>
      <c r="U306" s="182"/>
      <c r="V306" s="182" t="s">
        <v>35</v>
      </c>
      <c r="W306" s="183">
        <v>10</v>
      </c>
      <c r="X306" s="182" t="s">
        <v>51</v>
      </c>
      <c r="Y306" s="184">
        <v>3090</v>
      </c>
      <c r="Z306" s="184">
        <v>3090</v>
      </c>
      <c r="AA306" s="184">
        <v>3090</v>
      </c>
      <c r="AB306" s="184">
        <v>3090</v>
      </c>
      <c r="AC306" s="184">
        <v>3090</v>
      </c>
      <c r="AD306" s="184">
        <v>3090</v>
      </c>
      <c r="AE306" s="184">
        <v>2480</v>
      </c>
      <c r="AF306" s="184">
        <v>2480</v>
      </c>
      <c r="AG306" s="184">
        <v>2480</v>
      </c>
      <c r="AH306" s="184">
        <v>2330</v>
      </c>
      <c r="AI306" s="184">
        <v>2330</v>
      </c>
      <c r="AJ306" s="184">
        <v>2300</v>
      </c>
      <c r="AK306" s="184"/>
      <c r="AL306" s="184"/>
      <c r="AM306" s="184"/>
      <c r="AN306" s="184">
        <v>2520</v>
      </c>
      <c r="AO306" s="184">
        <v>2520</v>
      </c>
      <c r="AP306" s="184">
        <v>2520</v>
      </c>
      <c r="AQ306" s="184">
        <v>2670</v>
      </c>
      <c r="AR306" s="184">
        <v>2670</v>
      </c>
      <c r="AS306" s="184">
        <v>2670</v>
      </c>
      <c r="AT306" s="184">
        <v>2670</v>
      </c>
      <c r="AU306" s="184">
        <v>2670</v>
      </c>
      <c r="AV306" s="184">
        <v>2670</v>
      </c>
      <c r="AW306" s="184">
        <v>2590</v>
      </c>
      <c r="AX306" s="184">
        <v>2590</v>
      </c>
      <c r="AY306" s="184">
        <v>2590</v>
      </c>
      <c r="AZ306" s="184">
        <v>2350</v>
      </c>
      <c r="BA306" s="184">
        <v>2350</v>
      </c>
      <c r="BB306" s="184">
        <v>2480</v>
      </c>
      <c r="BC306" s="184">
        <v>2480</v>
      </c>
      <c r="BD306" s="184">
        <v>2480</v>
      </c>
      <c r="BE306" s="184">
        <v>2480</v>
      </c>
      <c r="BF306" s="184">
        <v>2380</v>
      </c>
      <c r="BG306" s="184">
        <v>2380</v>
      </c>
      <c r="BH306" s="184">
        <v>2380</v>
      </c>
      <c r="BI306" s="184">
        <v>2410</v>
      </c>
      <c r="BJ306" s="184">
        <v>2410</v>
      </c>
      <c r="BK306" s="184">
        <v>2410</v>
      </c>
      <c r="BL306" s="184">
        <v>2510</v>
      </c>
      <c r="BM306" s="184">
        <v>2510</v>
      </c>
      <c r="BN306" s="184">
        <v>2510</v>
      </c>
      <c r="BO306" s="184"/>
      <c r="BP306" s="184"/>
      <c r="BQ306" s="184"/>
      <c r="BR306" s="184"/>
      <c r="BS306" s="184"/>
      <c r="BT306" s="184"/>
      <c r="BU306" s="146" cm="1">
        <f t="array" ref="BU306">LOOKUP(2,1/(Y306:BT306&lt;&gt;""),Y306:BH306)</f>
        <v>2510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46174</v>
      </c>
      <c r="BW306" s="211" cm="1">
        <f t="array" ref="BW306">(LOOKUP(2,1/(BH306:BT306&lt;&gt;""),BH306:BT306))/(INDEX(BH306:BT306,MATCH(TRUE,INDEX((BH306:BT306&lt;&gt;0),0),0)))-1</f>
        <v>5.4621848739495826E-2</v>
      </c>
      <c r="BX306" s="212">
        <f t="shared" si="83"/>
        <v>2.5099999999999998</v>
      </c>
      <c r="BY306" s="212">
        <f t="shared" si="82"/>
        <v>14.808999999999999</v>
      </c>
      <c r="BZ306" s="212">
        <f ca="1">IF(L306="BR",'Impostos e Frete'!$F$6,IF(L306="EU",'Impostos e Frete'!$I$3,IF(L306="CN",'Impostos e Frete'!$I$4,IF(L306="JP",'Impostos e Frete'!$I$5,IF(L306="RU",'Impostos e Frete'!$I$7,"ERRO")))))</f>
        <v>0.14176320000000001</v>
      </c>
      <c r="CA306" s="212">
        <f>VLOOKUP(L306,'Impostos e Frete'!$A$3:$B$7,2,0)*'Preços e Condições'!BY306</f>
        <v>1.92517</v>
      </c>
      <c r="CB306" s="147">
        <f t="shared" si="84"/>
        <v>0</v>
      </c>
      <c r="CC306" s="147">
        <f>IF(X306="BRL",'Impostos e Frete'!$B$11,'Impostos e Frete'!$B$12)</f>
        <v>9.1999999999999998E-2</v>
      </c>
      <c r="CD306" s="213">
        <f t="shared" ca="1" si="85"/>
        <v>16.967933199999997</v>
      </c>
      <c r="CE306" s="214">
        <f t="shared" ca="1" si="86"/>
        <v>1.1877553239999998</v>
      </c>
      <c r="CF306" s="215">
        <f>VLOOKUP(L306,'Impostos e Frete'!$A$3:$C$7,3,0)</f>
        <v>105</v>
      </c>
      <c r="CG306" s="215">
        <f t="shared" si="87"/>
        <v>120</v>
      </c>
      <c r="CH306" s="215">
        <f t="shared" si="88"/>
        <v>15</v>
      </c>
      <c r="CI306" s="216">
        <f t="shared" ca="1" si="89"/>
        <v>-0.12584549374796339</v>
      </c>
      <c r="CJ306" s="217">
        <f t="shared" ca="1" si="90"/>
        <v>16.842087706252034</v>
      </c>
      <c r="CK306" s="218">
        <f t="shared" ca="1" si="91"/>
        <v>1.1789461394376424</v>
      </c>
    </row>
    <row r="307" spans="1:89">
      <c r="A307" s="176">
        <v>17027</v>
      </c>
      <c r="B307" s="177">
        <v>8269</v>
      </c>
      <c r="C307" s="178">
        <v>70</v>
      </c>
      <c r="D307" s="178">
        <v>2120</v>
      </c>
      <c r="E307" s="178" t="s">
        <v>50</v>
      </c>
      <c r="F307" s="179" t="s">
        <v>47</v>
      </c>
      <c r="G307" s="185" t="s">
        <v>91</v>
      </c>
      <c r="H307" s="178" t="s">
        <v>42</v>
      </c>
      <c r="I307" s="178">
        <v>6552</v>
      </c>
      <c r="J307" s="178"/>
      <c r="K307" s="178"/>
      <c r="L307" s="178" t="s">
        <v>59</v>
      </c>
      <c r="M307" s="178">
        <v>120</v>
      </c>
      <c r="N307" s="178">
        <v>300</v>
      </c>
      <c r="O307" s="178"/>
      <c r="P307" s="178"/>
      <c r="Q307" s="178"/>
      <c r="R307" s="178" t="s">
        <v>19</v>
      </c>
      <c r="S307" s="181"/>
      <c r="T307" s="181"/>
      <c r="U307" s="182"/>
      <c r="V307" s="182" t="s">
        <v>35</v>
      </c>
      <c r="W307" s="183">
        <v>100</v>
      </c>
      <c r="X307" s="182" t="s">
        <v>51</v>
      </c>
      <c r="Y307" s="184"/>
      <c r="Z307" s="184"/>
      <c r="AA307" s="184"/>
      <c r="AB307" s="184"/>
      <c r="AC307" s="184"/>
      <c r="AD307" s="184"/>
      <c r="AE307" s="184"/>
      <c r="AF307" s="184"/>
      <c r="AG307" s="184"/>
      <c r="AH307" s="184"/>
      <c r="AI307" s="184"/>
      <c r="AJ307" s="184"/>
      <c r="AK307" s="184"/>
      <c r="AL307" s="184"/>
      <c r="AM307" s="184"/>
      <c r="AN307" s="184"/>
      <c r="AO307" s="184"/>
      <c r="AP307" s="184"/>
      <c r="AQ307" s="184">
        <v>2050</v>
      </c>
      <c r="AR307" s="184">
        <v>2050</v>
      </c>
      <c r="AS307" s="184">
        <v>2050</v>
      </c>
      <c r="AT307" s="184">
        <v>2050</v>
      </c>
      <c r="AU307" s="184">
        <v>2050</v>
      </c>
      <c r="AV307" s="184">
        <v>2050</v>
      </c>
      <c r="AW307" s="184">
        <v>2050</v>
      </c>
      <c r="AX307" s="184">
        <v>2050</v>
      </c>
      <c r="AY307" s="184">
        <v>2050</v>
      </c>
      <c r="AZ307" s="184">
        <v>1750</v>
      </c>
      <c r="BA307" s="184">
        <v>1750</v>
      </c>
      <c r="BB307" s="184"/>
      <c r="BC307" s="184"/>
      <c r="BD307" s="184"/>
      <c r="BE307" s="184"/>
      <c r="BF307" s="184"/>
      <c r="BG307" s="184"/>
      <c r="BH307" s="184"/>
      <c r="BI307" s="184"/>
      <c r="BJ307" s="184"/>
      <c r="BK307" s="184"/>
      <c r="BL307" s="184"/>
      <c r="BM307" s="184"/>
      <c r="BN307" s="184"/>
      <c r="BO307" s="184"/>
      <c r="BP307" s="184"/>
      <c r="BQ307" s="184"/>
      <c r="BR307" s="184"/>
      <c r="BS307" s="184"/>
      <c r="BT307" s="184"/>
      <c r="BU307" s="146" cm="1">
        <f t="array" ref="BU307">LOOKUP(2,1/(Y307:BT307&lt;&gt;""),Y307:BH307)</f>
        <v>1750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45778</v>
      </c>
      <c r="BW307" s="211" t="e" cm="1">
        <f t="array" ref="BW307">(LOOKUP(2,1/(BH307:BT307&lt;&gt;""),BH307:BT307))/(INDEX(BH307:BT307,MATCH(TRUE,INDEX((BH307:BT307&lt;&gt;0),0),0)))-1</f>
        <v>#N/A</v>
      </c>
      <c r="BX307" s="212">
        <f t="shared" si="83"/>
        <v>1.75</v>
      </c>
      <c r="BY307" s="212">
        <f t="shared" si="82"/>
        <v>10.325000000000001</v>
      </c>
      <c r="BZ307" s="212">
        <f ca="1">IF(L307="BR",'Impostos e Frete'!$F$6,IF(L307="EU",'Impostos e Frete'!$I$3,IF(L307="CN",'Impostos e Frete'!$I$4,IF(L307="JP",'Impostos e Frete'!$I$5,IF(L307="RU",'Impostos e Frete'!$I$7,"ERRO")))))</f>
        <v>0.14176320000000001</v>
      </c>
      <c r="CA307" s="212">
        <f>VLOOKUP(L307,'Impostos e Frete'!$A$3:$B$7,2,0)*'Preços e Condições'!BY307</f>
        <v>1.3422500000000002</v>
      </c>
      <c r="CB307" s="147">
        <f t="shared" si="84"/>
        <v>0</v>
      </c>
      <c r="CC307" s="147">
        <f>IF(X307="BRL",'Impostos e Frete'!$B$11,'Impostos e Frete'!$B$12)</f>
        <v>9.1999999999999998E-2</v>
      </c>
      <c r="CD307" s="213">
        <f t="shared" ca="1" si="85"/>
        <v>11.901013200000001</v>
      </c>
      <c r="CE307" s="214">
        <f t="shared" ca="1" si="86"/>
        <v>0.83307092400000005</v>
      </c>
      <c r="CF307" s="215">
        <f>VLOOKUP(L307,'Impostos e Frete'!$A$3:$C$7,3,0)</f>
        <v>105</v>
      </c>
      <c r="CG307" s="215">
        <f t="shared" si="87"/>
        <v>120</v>
      </c>
      <c r="CH307" s="215">
        <f t="shared" si="88"/>
        <v>15</v>
      </c>
      <c r="CI307" s="216">
        <f t="shared" ca="1" si="89"/>
        <v>-8.8265840311951393E-2</v>
      </c>
      <c r="CJ307" s="217">
        <f t="shared" ca="1" si="90"/>
        <v>11.81274735968805</v>
      </c>
      <c r="CK307" s="218">
        <f t="shared" ca="1" si="91"/>
        <v>0.82689231517816353</v>
      </c>
    </row>
    <row r="308" spans="1:89">
      <c r="A308" s="176">
        <v>17012</v>
      </c>
      <c r="B308" s="177">
        <v>8269</v>
      </c>
      <c r="C308" s="178">
        <v>70</v>
      </c>
      <c r="D308" s="178">
        <v>1870</v>
      </c>
      <c r="E308" s="178" t="s">
        <v>50</v>
      </c>
      <c r="F308" s="179" t="s">
        <v>47</v>
      </c>
      <c r="G308" s="185" t="s">
        <v>91</v>
      </c>
      <c r="H308" s="178" t="s">
        <v>42</v>
      </c>
      <c r="I308" s="178">
        <v>6552</v>
      </c>
      <c r="J308" s="178"/>
      <c r="K308" s="178"/>
      <c r="L308" s="178" t="s">
        <v>59</v>
      </c>
      <c r="M308" s="178">
        <v>120</v>
      </c>
      <c r="N308" s="178">
        <v>300</v>
      </c>
      <c r="O308" s="178"/>
      <c r="P308" s="178"/>
      <c r="Q308" s="178"/>
      <c r="R308" s="178" t="s">
        <v>19</v>
      </c>
      <c r="S308" s="181"/>
      <c r="T308" s="181"/>
      <c r="U308" s="182"/>
      <c r="V308" s="182" t="s">
        <v>35</v>
      </c>
      <c r="W308" s="183">
        <v>50</v>
      </c>
      <c r="X308" s="182" t="s">
        <v>51</v>
      </c>
      <c r="Y308" s="184">
        <v>2910</v>
      </c>
      <c r="Z308" s="184">
        <v>2910</v>
      </c>
      <c r="AA308" s="184">
        <v>2910</v>
      </c>
      <c r="AB308" s="184">
        <v>2910</v>
      </c>
      <c r="AC308" s="184">
        <v>2910</v>
      </c>
      <c r="AD308" s="184">
        <v>2910</v>
      </c>
      <c r="AE308" s="184">
        <v>2300</v>
      </c>
      <c r="AF308" s="184">
        <v>2300</v>
      </c>
      <c r="AG308" s="184">
        <v>2300</v>
      </c>
      <c r="AH308" s="184">
        <v>2150</v>
      </c>
      <c r="AI308" s="184">
        <v>2150</v>
      </c>
      <c r="AJ308" s="184">
        <v>2120</v>
      </c>
      <c r="AK308" s="184">
        <v>2210</v>
      </c>
      <c r="AL308" s="184">
        <v>2210</v>
      </c>
      <c r="AM308" s="184">
        <v>2210</v>
      </c>
      <c r="AN308" s="184">
        <v>2340</v>
      </c>
      <c r="AO308" s="184">
        <v>2340</v>
      </c>
      <c r="AP308" s="184">
        <v>2340</v>
      </c>
      <c r="AQ308" s="184">
        <v>2490</v>
      </c>
      <c r="AR308" s="184">
        <v>2490</v>
      </c>
      <c r="AS308" s="184">
        <v>2490</v>
      </c>
      <c r="AT308" s="184">
        <v>2490</v>
      </c>
      <c r="AU308" s="184">
        <v>2490</v>
      </c>
      <c r="AV308" s="184">
        <v>2490</v>
      </c>
      <c r="AW308" s="184">
        <v>2410</v>
      </c>
      <c r="AX308" s="184">
        <v>2410</v>
      </c>
      <c r="AY308" s="184">
        <v>2410</v>
      </c>
      <c r="AZ308" s="184">
        <v>2170</v>
      </c>
      <c r="BA308" s="184">
        <v>2170</v>
      </c>
      <c r="BB308" s="184">
        <v>2300</v>
      </c>
      <c r="BC308" s="184">
        <v>2300</v>
      </c>
      <c r="BD308" s="184">
        <v>2300</v>
      </c>
      <c r="BE308" s="184">
        <v>2300</v>
      </c>
      <c r="BF308" s="184">
        <v>2200</v>
      </c>
      <c r="BG308" s="184">
        <v>2200</v>
      </c>
      <c r="BH308" s="184">
        <v>2200</v>
      </c>
      <c r="BI308" s="184">
        <v>2230</v>
      </c>
      <c r="BJ308" s="184">
        <v>2230</v>
      </c>
      <c r="BK308" s="184">
        <v>2230</v>
      </c>
      <c r="BL308" s="184">
        <v>2330</v>
      </c>
      <c r="BM308" s="184">
        <v>2330</v>
      </c>
      <c r="BN308" s="184">
        <v>2330</v>
      </c>
      <c r="BO308" s="184"/>
      <c r="BP308" s="184"/>
      <c r="BQ308" s="184"/>
      <c r="BR308" s="184"/>
      <c r="BS308" s="184"/>
      <c r="BT308" s="184"/>
      <c r="BU308" s="146" cm="1">
        <f t="array" ref="BU308">LOOKUP(2,1/(Y308:BT308&lt;&gt;""),Y308:BH308)</f>
        <v>2330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46174</v>
      </c>
      <c r="BW308" s="211" cm="1">
        <f t="array" ref="BW308">(LOOKUP(2,1/(BH308:BT308&lt;&gt;""),BH308:BT308))/(INDEX(BH308:BT308,MATCH(TRUE,INDEX((BH308:BT308&lt;&gt;0),0),0)))-1</f>
        <v>5.9090909090909083E-2</v>
      </c>
      <c r="BX308" s="212">
        <f t="shared" si="83"/>
        <v>2.33</v>
      </c>
      <c r="BY308" s="212">
        <f t="shared" si="82"/>
        <v>13.747000000000002</v>
      </c>
      <c r="BZ308" s="212">
        <f ca="1">IF(L308="BR",'Impostos e Frete'!$F$6,IF(L308="EU",'Impostos e Frete'!$I$3,IF(L308="CN",'Impostos e Frete'!$I$4,IF(L308="JP",'Impostos e Frete'!$I$5,IF(L308="RU",'Impostos e Frete'!$I$7,"ERRO")))))</f>
        <v>0.14176320000000001</v>
      </c>
      <c r="CA308" s="212">
        <f>VLOOKUP(L308,'Impostos e Frete'!$A$3:$B$7,2,0)*'Preços e Condições'!BY308</f>
        <v>1.7871100000000002</v>
      </c>
      <c r="CB308" s="147">
        <f t="shared" si="84"/>
        <v>0</v>
      </c>
      <c r="CC308" s="147">
        <f>IF(X308="BRL",'Impostos e Frete'!$B$11,'Impostos e Frete'!$B$12)</f>
        <v>9.1999999999999998E-2</v>
      </c>
      <c r="CD308" s="213">
        <f t="shared" ca="1" si="85"/>
        <v>15.767873200000002</v>
      </c>
      <c r="CE308" s="214">
        <f t="shared" ca="1" si="86"/>
        <v>1.103751124</v>
      </c>
      <c r="CF308" s="215">
        <f>VLOOKUP(L308,'Impostos e Frete'!$A$3:$C$7,3,0)</f>
        <v>105</v>
      </c>
      <c r="CG308" s="215">
        <f t="shared" si="87"/>
        <v>120</v>
      </c>
      <c r="CH308" s="215">
        <f t="shared" si="88"/>
        <v>15</v>
      </c>
      <c r="CI308" s="216">
        <f t="shared" ca="1" si="89"/>
        <v>-0.11694504951312013</v>
      </c>
      <c r="CJ308" s="217">
        <f t="shared" ca="1" si="90"/>
        <v>15.650928150486882</v>
      </c>
      <c r="CK308" s="218">
        <f t="shared" ca="1" si="91"/>
        <v>1.0955649705340818</v>
      </c>
    </row>
    <row r="309" spans="1:89">
      <c r="A309" s="176">
        <v>17012</v>
      </c>
      <c r="B309" s="177">
        <v>8269</v>
      </c>
      <c r="C309" s="178">
        <v>70</v>
      </c>
      <c r="D309" s="178">
        <v>1870</v>
      </c>
      <c r="E309" s="178" t="s">
        <v>50</v>
      </c>
      <c r="F309" s="179" t="s">
        <v>47</v>
      </c>
      <c r="G309" s="185" t="s">
        <v>91</v>
      </c>
      <c r="H309" s="178" t="s">
        <v>42</v>
      </c>
      <c r="I309" s="178">
        <v>6552</v>
      </c>
      <c r="J309" s="178"/>
      <c r="K309" s="178"/>
      <c r="L309" s="178" t="s">
        <v>59</v>
      </c>
      <c r="M309" s="178">
        <v>120</v>
      </c>
      <c r="N309" s="178">
        <v>300</v>
      </c>
      <c r="O309" s="178"/>
      <c r="P309" s="178"/>
      <c r="Q309" s="178"/>
      <c r="R309" s="178" t="s">
        <v>19</v>
      </c>
      <c r="S309" s="181"/>
      <c r="T309" s="181"/>
      <c r="U309" s="182"/>
      <c r="V309" s="182" t="s">
        <v>35</v>
      </c>
      <c r="W309" s="183">
        <v>30</v>
      </c>
      <c r="X309" s="182" t="s">
        <v>51</v>
      </c>
      <c r="Y309" s="184">
        <v>2960</v>
      </c>
      <c r="Z309" s="184">
        <v>2960</v>
      </c>
      <c r="AA309" s="184">
        <v>2960</v>
      </c>
      <c r="AB309" s="184">
        <v>2960</v>
      </c>
      <c r="AC309" s="184">
        <v>2960</v>
      </c>
      <c r="AD309" s="184">
        <v>2960</v>
      </c>
      <c r="AE309" s="184">
        <v>2350</v>
      </c>
      <c r="AF309" s="184">
        <v>2350</v>
      </c>
      <c r="AG309" s="184">
        <v>2350</v>
      </c>
      <c r="AH309" s="184">
        <v>2200</v>
      </c>
      <c r="AI309" s="184">
        <v>2200</v>
      </c>
      <c r="AJ309" s="184">
        <v>2170</v>
      </c>
      <c r="AK309" s="146">
        <f>AK308+50</f>
        <v>2260</v>
      </c>
      <c r="AL309" s="146">
        <f>AL308+50</f>
        <v>2260</v>
      </c>
      <c r="AM309" s="146">
        <f>AM308+50</f>
        <v>2260</v>
      </c>
      <c r="AN309" s="184">
        <v>2390</v>
      </c>
      <c r="AO309" s="184">
        <v>2390</v>
      </c>
      <c r="AP309" s="184">
        <v>2390</v>
      </c>
      <c r="AQ309" s="184">
        <v>2540</v>
      </c>
      <c r="AR309" s="184">
        <v>2540</v>
      </c>
      <c r="AS309" s="184">
        <v>2540</v>
      </c>
      <c r="AT309" s="184">
        <v>2540</v>
      </c>
      <c r="AU309" s="184">
        <v>2540</v>
      </c>
      <c r="AV309" s="184">
        <v>2540</v>
      </c>
      <c r="AW309" s="184">
        <v>2460</v>
      </c>
      <c r="AX309" s="184">
        <v>2460</v>
      </c>
      <c r="AY309" s="184">
        <v>2460</v>
      </c>
      <c r="AZ309" s="184">
        <v>2220</v>
      </c>
      <c r="BA309" s="184">
        <v>2220</v>
      </c>
      <c r="BB309" s="184">
        <v>2350</v>
      </c>
      <c r="BC309" s="184">
        <v>2350</v>
      </c>
      <c r="BD309" s="184">
        <v>2350</v>
      </c>
      <c r="BE309" s="184">
        <v>2350</v>
      </c>
      <c r="BF309" s="184">
        <v>2250</v>
      </c>
      <c r="BG309" s="184">
        <v>2250</v>
      </c>
      <c r="BH309" s="184">
        <v>2250</v>
      </c>
      <c r="BI309" s="184">
        <v>2280</v>
      </c>
      <c r="BJ309" s="184">
        <v>2280</v>
      </c>
      <c r="BK309" s="184">
        <v>2280</v>
      </c>
      <c r="BL309" s="184">
        <v>2380</v>
      </c>
      <c r="BM309" s="184">
        <v>2380</v>
      </c>
      <c r="BN309" s="184">
        <v>2380</v>
      </c>
      <c r="BO309" s="184"/>
      <c r="BP309" s="184"/>
      <c r="BQ309" s="184"/>
      <c r="BR309" s="184"/>
      <c r="BS309" s="184"/>
      <c r="BT309" s="184"/>
      <c r="BU309" s="146" cm="1">
        <f t="array" ref="BU309">LOOKUP(2,1/(Y309:BT309&lt;&gt;""),Y309:BH309)</f>
        <v>2380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46174</v>
      </c>
      <c r="BW309" s="211" cm="1">
        <f t="array" ref="BW309">(LOOKUP(2,1/(BH309:BT309&lt;&gt;""),BH309:BT309))/(INDEX(BH309:BT309,MATCH(TRUE,INDEX((BH309:BT309&lt;&gt;0),0),0)))-1</f>
        <v>5.7777777777777706E-2</v>
      </c>
      <c r="BX309" s="212">
        <f t="shared" si="83"/>
        <v>2.38</v>
      </c>
      <c r="BY309" s="212">
        <f t="shared" si="82"/>
        <v>14.042</v>
      </c>
      <c r="BZ309" s="212">
        <f ca="1">IF(L309="BR",'Impostos e Frete'!$F$6,IF(L309="EU",'Impostos e Frete'!$I$3,IF(L309="CN",'Impostos e Frete'!$I$4,IF(L309="JP",'Impostos e Frete'!$I$5,IF(L309="RU",'Impostos e Frete'!$I$7,"ERRO")))))</f>
        <v>0.14176320000000001</v>
      </c>
      <c r="CA309" s="212">
        <f>VLOOKUP(L309,'Impostos e Frete'!$A$3:$B$7,2,0)*'Preços e Condições'!BY309</f>
        <v>1.8254600000000001</v>
      </c>
      <c r="CB309" s="147">
        <f t="shared" si="84"/>
        <v>0</v>
      </c>
      <c r="CC309" s="147">
        <f>IF(X309="BRL",'Impostos e Frete'!$B$11,'Impostos e Frete'!$B$12)</f>
        <v>9.1999999999999998E-2</v>
      </c>
      <c r="CD309" s="213">
        <f t="shared" ca="1" si="85"/>
        <v>16.1012232</v>
      </c>
      <c r="CE309" s="214">
        <f t="shared" ca="1" si="86"/>
        <v>1.127085624</v>
      </c>
      <c r="CF309" s="215">
        <f>VLOOKUP(L309,'Impostos e Frete'!$A$3:$C$7,3,0)</f>
        <v>105</v>
      </c>
      <c r="CG309" s="215">
        <f t="shared" si="87"/>
        <v>120</v>
      </c>
      <c r="CH309" s="215">
        <f t="shared" si="88"/>
        <v>15</v>
      </c>
      <c r="CI309" s="216">
        <f t="shared" ca="1" si="89"/>
        <v>-0.11941739513390992</v>
      </c>
      <c r="CJ309" s="217">
        <f t="shared" ca="1" si="90"/>
        <v>15.98180580486609</v>
      </c>
      <c r="CK309" s="218">
        <f t="shared" ca="1" si="91"/>
        <v>1.1187264063406261</v>
      </c>
    </row>
    <row r="310" spans="1:89">
      <c r="A310" s="176">
        <v>17012</v>
      </c>
      <c r="B310" s="177">
        <v>8269</v>
      </c>
      <c r="C310" s="178">
        <v>70</v>
      </c>
      <c r="D310" s="178">
        <v>1870</v>
      </c>
      <c r="E310" s="178" t="s">
        <v>50</v>
      </c>
      <c r="F310" s="179" t="s">
        <v>47</v>
      </c>
      <c r="G310" s="185" t="s">
        <v>91</v>
      </c>
      <c r="H310" s="178" t="s">
        <v>42</v>
      </c>
      <c r="I310" s="178">
        <v>6552</v>
      </c>
      <c r="J310" s="178"/>
      <c r="K310" s="178"/>
      <c r="L310" s="178" t="s">
        <v>59</v>
      </c>
      <c r="M310" s="178">
        <v>120</v>
      </c>
      <c r="N310" s="178">
        <v>300</v>
      </c>
      <c r="O310" s="178"/>
      <c r="P310" s="178"/>
      <c r="Q310" s="178"/>
      <c r="R310" s="178" t="s">
        <v>19</v>
      </c>
      <c r="S310" s="181"/>
      <c r="T310" s="181"/>
      <c r="U310" s="182"/>
      <c r="V310" s="182" t="s">
        <v>35</v>
      </c>
      <c r="W310" s="183">
        <v>20</v>
      </c>
      <c r="X310" s="182" t="s">
        <v>51</v>
      </c>
      <c r="Y310" s="184">
        <v>3010</v>
      </c>
      <c r="Z310" s="184">
        <v>3010</v>
      </c>
      <c r="AA310" s="184">
        <v>3010</v>
      </c>
      <c r="AB310" s="184">
        <v>3010</v>
      </c>
      <c r="AC310" s="184">
        <v>3010</v>
      </c>
      <c r="AD310" s="184">
        <v>3010</v>
      </c>
      <c r="AE310" s="184">
        <v>2400</v>
      </c>
      <c r="AF310" s="184">
        <v>2400</v>
      </c>
      <c r="AG310" s="184">
        <v>2400</v>
      </c>
      <c r="AH310" s="184">
        <v>2250</v>
      </c>
      <c r="AI310" s="184">
        <v>2250</v>
      </c>
      <c r="AJ310" s="184">
        <v>2220</v>
      </c>
      <c r="AK310" s="146">
        <f>AK308+100</f>
        <v>2310</v>
      </c>
      <c r="AL310" s="146">
        <f>AL308+100</f>
        <v>2310</v>
      </c>
      <c r="AM310" s="146">
        <f>AM308+100</f>
        <v>2310</v>
      </c>
      <c r="AN310" s="184">
        <v>2440</v>
      </c>
      <c r="AO310" s="184">
        <v>2440</v>
      </c>
      <c r="AP310" s="184">
        <v>2440</v>
      </c>
      <c r="AQ310" s="184">
        <v>2590</v>
      </c>
      <c r="AR310" s="184">
        <v>2590</v>
      </c>
      <c r="AS310" s="184">
        <v>2590</v>
      </c>
      <c r="AT310" s="184">
        <v>2590</v>
      </c>
      <c r="AU310" s="184">
        <v>2590</v>
      </c>
      <c r="AV310" s="184">
        <v>2590</v>
      </c>
      <c r="AW310" s="184">
        <v>2510</v>
      </c>
      <c r="AX310" s="184">
        <v>2510</v>
      </c>
      <c r="AY310" s="184">
        <v>2510</v>
      </c>
      <c r="AZ310" s="184">
        <v>2270</v>
      </c>
      <c r="BA310" s="184">
        <v>2270</v>
      </c>
      <c r="BB310" s="184">
        <v>2400</v>
      </c>
      <c r="BC310" s="184">
        <v>2400</v>
      </c>
      <c r="BD310" s="184">
        <v>2400</v>
      </c>
      <c r="BE310" s="184">
        <v>2400</v>
      </c>
      <c r="BF310" s="184">
        <v>2300</v>
      </c>
      <c r="BG310" s="184">
        <v>2300</v>
      </c>
      <c r="BH310" s="184">
        <v>2300</v>
      </c>
      <c r="BI310" s="184">
        <v>2330</v>
      </c>
      <c r="BJ310" s="184">
        <v>2330</v>
      </c>
      <c r="BK310" s="184">
        <v>2330</v>
      </c>
      <c r="BL310" s="184">
        <v>2430</v>
      </c>
      <c r="BM310" s="184">
        <v>2430</v>
      </c>
      <c r="BN310" s="184">
        <v>2430</v>
      </c>
      <c r="BO310" s="184"/>
      <c r="BP310" s="184"/>
      <c r="BQ310" s="184"/>
      <c r="BR310" s="184"/>
      <c r="BS310" s="184"/>
      <c r="BT310" s="184"/>
      <c r="BU310" s="146" cm="1">
        <f t="array" ref="BU310">LOOKUP(2,1/(Y310:BT310&lt;&gt;""),Y310:BH310)</f>
        <v>2430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46174</v>
      </c>
      <c r="BW310" s="211" cm="1">
        <f t="array" ref="BW310">(LOOKUP(2,1/(BH310:BT310&lt;&gt;""),BH310:BT310))/(INDEX(BH310:BT310,MATCH(TRUE,INDEX((BH310:BT310&lt;&gt;0),0),0)))-1</f>
        <v>5.6521739130434678E-2</v>
      </c>
      <c r="BX310" s="212">
        <f t="shared" si="83"/>
        <v>2.4300000000000002</v>
      </c>
      <c r="BY310" s="212">
        <f t="shared" si="82"/>
        <v>14.337000000000002</v>
      </c>
      <c r="BZ310" s="212">
        <f ca="1">IF(L310="BR",'Impostos e Frete'!$F$6,IF(L310="EU",'Impostos e Frete'!$I$3,IF(L310="CN",'Impostos e Frete'!$I$4,IF(L310="JP",'Impostos e Frete'!$I$5,IF(L310="RU",'Impostos e Frete'!$I$7,"ERRO")))))</f>
        <v>0.14176320000000001</v>
      </c>
      <c r="CA310" s="212">
        <f>VLOOKUP(L310,'Impostos e Frete'!$A$3:$B$7,2,0)*'Preços e Condições'!BY310</f>
        <v>1.8638100000000002</v>
      </c>
      <c r="CB310" s="147">
        <f t="shared" si="84"/>
        <v>0</v>
      </c>
      <c r="CC310" s="147">
        <f>IF(X310="BRL",'Impostos e Frete'!$B$11,'Impostos e Frete'!$B$12)</f>
        <v>9.1999999999999998E-2</v>
      </c>
      <c r="CD310" s="213">
        <f t="shared" ca="1" si="85"/>
        <v>16.434573199999999</v>
      </c>
      <c r="CE310" s="214">
        <f t="shared" ca="1" si="86"/>
        <v>1.150420124</v>
      </c>
      <c r="CF310" s="215">
        <f>VLOOKUP(L310,'Impostos e Frete'!$A$3:$C$7,3,0)</f>
        <v>105</v>
      </c>
      <c r="CG310" s="215">
        <f t="shared" si="87"/>
        <v>120</v>
      </c>
      <c r="CH310" s="215">
        <f t="shared" si="88"/>
        <v>15</v>
      </c>
      <c r="CI310" s="216">
        <f t="shared" ca="1" si="89"/>
        <v>-0.12188974075469972</v>
      </c>
      <c r="CJ310" s="217">
        <f t="shared" ca="1" si="90"/>
        <v>16.312683459245299</v>
      </c>
      <c r="CK310" s="218">
        <f t="shared" ca="1" si="91"/>
        <v>1.141887842147171</v>
      </c>
    </row>
    <row r="311" spans="1:89">
      <c r="A311" s="176">
        <v>17012</v>
      </c>
      <c r="B311" s="177">
        <v>8269</v>
      </c>
      <c r="C311" s="178">
        <v>70</v>
      </c>
      <c r="D311" s="178">
        <v>1870</v>
      </c>
      <c r="E311" s="178" t="s">
        <v>50</v>
      </c>
      <c r="F311" s="179" t="s">
        <v>47</v>
      </c>
      <c r="G311" s="185" t="s">
        <v>91</v>
      </c>
      <c r="H311" s="178" t="s">
        <v>42</v>
      </c>
      <c r="I311" s="178">
        <v>6552</v>
      </c>
      <c r="J311" s="178"/>
      <c r="K311" s="178"/>
      <c r="L311" s="178" t="s">
        <v>59</v>
      </c>
      <c r="M311" s="178">
        <v>120</v>
      </c>
      <c r="N311" s="178">
        <v>300</v>
      </c>
      <c r="O311" s="178"/>
      <c r="P311" s="178"/>
      <c r="Q311" s="178"/>
      <c r="R311" s="178" t="s">
        <v>19</v>
      </c>
      <c r="S311" s="181"/>
      <c r="T311" s="181"/>
      <c r="U311" s="182"/>
      <c r="V311" s="182" t="s">
        <v>35</v>
      </c>
      <c r="W311" s="183">
        <v>10</v>
      </c>
      <c r="X311" s="182" t="s">
        <v>51</v>
      </c>
      <c r="Y311" s="184">
        <v>3090</v>
      </c>
      <c r="Z311" s="184">
        <v>3090</v>
      </c>
      <c r="AA311" s="184">
        <v>3090</v>
      </c>
      <c r="AB311" s="184">
        <v>3090</v>
      </c>
      <c r="AC311" s="184">
        <v>3090</v>
      </c>
      <c r="AD311" s="184">
        <v>3090</v>
      </c>
      <c r="AE311" s="184">
        <v>2480</v>
      </c>
      <c r="AF311" s="184">
        <v>2480</v>
      </c>
      <c r="AG311" s="184">
        <v>2480</v>
      </c>
      <c r="AH311" s="184">
        <v>2330</v>
      </c>
      <c r="AI311" s="184">
        <v>2330</v>
      </c>
      <c r="AJ311" s="184">
        <v>2300</v>
      </c>
      <c r="AK311" s="146">
        <f>AK308+180</f>
        <v>2390</v>
      </c>
      <c r="AL311" s="146">
        <f>AL308+180</f>
        <v>2390</v>
      </c>
      <c r="AM311" s="146">
        <f>AM308+180</f>
        <v>2390</v>
      </c>
      <c r="AN311" s="184">
        <v>2520</v>
      </c>
      <c r="AO311" s="184">
        <v>2520</v>
      </c>
      <c r="AP311" s="184">
        <v>2520</v>
      </c>
      <c r="AQ311" s="184">
        <v>2670</v>
      </c>
      <c r="AR311" s="184">
        <v>2670</v>
      </c>
      <c r="AS311" s="184">
        <v>2670</v>
      </c>
      <c r="AT311" s="184">
        <v>2670</v>
      </c>
      <c r="AU311" s="184">
        <v>2670</v>
      </c>
      <c r="AV311" s="184">
        <v>2670</v>
      </c>
      <c r="AW311" s="184">
        <v>2590</v>
      </c>
      <c r="AX311" s="184">
        <v>2590</v>
      </c>
      <c r="AY311" s="184">
        <v>2590</v>
      </c>
      <c r="AZ311" s="184">
        <v>2350</v>
      </c>
      <c r="BA311" s="184">
        <v>2350</v>
      </c>
      <c r="BB311" s="184">
        <v>2480</v>
      </c>
      <c r="BC311" s="184">
        <v>2480</v>
      </c>
      <c r="BD311" s="184">
        <v>2480</v>
      </c>
      <c r="BE311" s="184">
        <v>2480</v>
      </c>
      <c r="BF311" s="184">
        <v>2380</v>
      </c>
      <c r="BG311" s="184">
        <v>2380</v>
      </c>
      <c r="BH311" s="184">
        <v>2380</v>
      </c>
      <c r="BI311" s="184">
        <v>2410</v>
      </c>
      <c r="BJ311" s="184">
        <v>2410</v>
      </c>
      <c r="BK311" s="184">
        <v>2410</v>
      </c>
      <c r="BL311" s="184">
        <v>2510</v>
      </c>
      <c r="BM311" s="184">
        <v>2510</v>
      </c>
      <c r="BN311" s="184">
        <v>2510</v>
      </c>
      <c r="BO311" s="184"/>
      <c r="BP311" s="184"/>
      <c r="BQ311" s="184"/>
      <c r="BR311" s="184"/>
      <c r="BS311" s="184"/>
      <c r="BT311" s="184"/>
      <c r="BU311" s="146" cm="1">
        <f t="array" ref="BU311">LOOKUP(2,1/(Y311:BT311&lt;&gt;""),Y311:BH311)</f>
        <v>2510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46174</v>
      </c>
      <c r="BW311" s="211" cm="1">
        <f t="array" ref="BW311">(LOOKUP(2,1/(BH311:BT311&lt;&gt;""),BH311:BT311))/(INDEX(BH311:BT311,MATCH(TRUE,INDEX((BH311:BT311&lt;&gt;0),0),0)))-1</f>
        <v>5.4621848739495826E-2</v>
      </c>
      <c r="BX311" s="212">
        <f t="shared" si="83"/>
        <v>2.5099999999999998</v>
      </c>
      <c r="BY311" s="212">
        <f t="shared" si="82"/>
        <v>14.808999999999999</v>
      </c>
      <c r="BZ311" s="212">
        <f ca="1">IF(L311="BR",'Impostos e Frete'!$F$6,IF(L311="EU",'Impostos e Frete'!$I$3,IF(L311="CN",'Impostos e Frete'!$I$4,IF(L311="JP",'Impostos e Frete'!$I$5,IF(L311="RU",'Impostos e Frete'!$I$7,"ERRO")))))</f>
        <v>0.14176320000000001</v>
      </c>
      <c r="CA311" s="212">
        <f>VLOOKUP(L311,'Impostos e Frete'!$A$3:$B$7,2,0)*'Preços e Condições'!BY311</f>
        <v>1.92517</v>
      </c>
      <c r="CB311" s="147">
        <f t="shared" si="84"/>
        <v>0</v>
      </c>
      <c r="CC311" s="147">
        <f>IF(X311="BRL",'Impostos e Frete'!$B$11,'Impostos e Frete'!$B$12)</f>
        <v>9.1999999999999998E-2</v>
      </c>
      <c r="CD311" s="213">
        <f t="shared" ca="1" si="85"/>
        <v>16.967933199999997</v>
      </c>
      <c r="CE311" s="214">
        <f t="shared" ca="1" si="86"/>
        <v>1.1877553239999998</v>
      </c>
      <c r="CF311" s="215">
        <f>VLOOKUP(L311,'Impostos e Frete'!$A$3:$C$7,3,0)</f>
        <v>105</v>
      </c>
      <c r="CG311" s="215">
        <f t="shared" si="87"/>
        <v>120</v>
      </c>
      <c r="CH311" s="215">
        <f t="shared" si="88"/>
        <v>15</v>
      </c>
      <c r="CI311" s="216">
        <f t="shared" ca="1" si="89"/>
        <v>-0.12584549374796339</v>
      </c>
      <c r="CJ311" s="217">
        <f t="shared" ca="1" si="90"/>
        <v>16.842087706252034</v>
      </c>
      <c r="CK311" s="218">
        <f t="shared" ca="1" si="91"/>
        <v>1.1789461394376424</v>
      </c>
    </row>
    <row r="312" spans="1:89">
      <c r="A312" s="176">
        <v>17012</v>
      </c>
      <c r="B312" s="177">
        <v>8269</v>
      </c>
      <c r="C312" s="178">
        <v>70</v>
      </c>
      <c r="D312" s="178">
        <v>1870</v>
      </c>
      <c r="E312" s="178" t="s">
        <v>50</v>
      </c>
      <c r="F312" s="179" t="s">
        <v>47</v>
      </c>
      <c r="G312" s="185" t="s">
        <v>91</v>
      </c>
      <c r="H312" s="178" t="s">
        <v>42</v>
      </c>
      <c r="I312" s="178">
        <v>6552</v>
      </c>
      <c r="J312" s="178"/>
      <c r="K312" s="178"/>
      <c r="L312" s="178" t="s">
        <v>59</v>
      </c>
      <c r="M312" s="178">
        <v>120</v>
      </c>
      <c r="N312" s="178">
        <v>300</v>
      </c>
      <c r="O312" s="178"/>
      <c r="P312" s="178"/>
      <c r="Q312" s="178"/>
      <c r="R312" s="178" t="s">
        <v>19</v>
      </c>
      <c r="S312" s="181"/>
      <c r="T312" s="181"/>
      <c r="U312" s="182"/>
      <c r="V312" s="182" t="s">
        <v>35</v>
      </c>
      <c r="W312" s="183">
        <v>100</v>
      </c>
      <c r="X312" s="182" t="s">
        <v>51</v>
      </c>
      <c r="Y312" s="184"/>
      <c r="Z312" s="184"/>
      <c r="AA312" s="184"/>
      <c r="AB312" s="184"/>
      <c r="AC312" s="184"/>
      <c r="AD312" s="184"/>
      <c r="AE312" s="184"/>
      <c r="AF312" s="184"/>
      <c r="AG312" s="184"/>
      <c r="AH312" s="184"/>
      <c r="AI312" s="184"/>
      <c r="AJ312" s="184"/>
      <c r="AK312" s="184"/>
      <c r="AL312" s="184"/>
      <c r="AM312" s="184"/>
      <c r="AN312" s="184"/>
      <c r="AO312" s="184"/>
      <c r="AP312" s="184"/>
      <c r="AQ312" s="184">
        <v>2050</v>
      </c>
      <c r="AR312" s="184">
        <v>2050</v>
      </c>
      <c r="AS312" s="184">
        <v>2050</v>
      </c>
      <c r="AT312" s="184">
        <v>2050</v>
      </c>
      <c r="AU312" s="184">
        <v>2050</v>
      </c>
      <c r="AV312" s="184">
        <v>2050</v>
      </c>
      <c r="AW312" s="184">
        <v>2050</v>
      </c>
      <c r="AX312" s="184">
        <v>2050</v>
      </c>
      <c r="AY312" s="184">
        <v>2050</v>
      </c>
      <c r="AZ312" s="184">
        <v>1750</v>
      </c>
      <c r="BA312" s="184">
        <v>1750</v>
      </c>
      <c r="BB312" s="184"/>
      <c r="BC312" s="184"/>
      <c r="BD312" s="184"/>
      <c r="BE312" s="184"/>
      <c r="BF312" s="184"/>
      <c r="BG312" s="184"/>
      <c r="BH312" s="184"/>
      <c r="BI312" s="184"/>
      <c r="BJ312" s="184"/>
      <c r="BK312" s="184"/>
      <c r="BL312" s="184"/>
      <c r="BM312" s="184"/>
      <c r="BN312" s="184"/>
      <c r="BO312" s="184"/>
      <c r="BP312" s="184"/>
      <c r="BQ312" s="184"/>
      <c r="BR312" s="184"/>
      <c r="BS312" s="184"/>
      <c r="BT312" s="184"/>
      <c r="BU312" s="146" cm="1">
        <f t="array" ref="BU312">LOOKUP(2,1/(Y312:BT312&lt;&gt;""),Y312:BH312)</f>
        <v>1750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45778</v>
      </c>
      <c r="BW312" s="211" t="e" cm="1">
        <f t="array" ref="BW312">(LOOKUP(2,1/(BH312:BT312&lt;&gt;""),BH312:BT312))/(INDEX(BH312:BT312,MATCH(TRUE,INDEX((BH312:BT312&lt;&gt;0),0),0)))-1</f>
        <v>#N/A</v>
      </c>
      <c r="BX312" s="212">
        <f t="shared" si="83"/>
        <v>1.75</v>
      </c>
      <c r="BY312" s="212">
        <f t="shared" si="82"/>
        <v>10.325000000000001</v>
      </c>
      <c r="BZ312" s="212">
        <f ca="1">IF(L312="BR",'Impostos e Frete'!$F$6,IF(L312="EU",'Impostos e Frete'!$I$3,IF(L312="CN",'Impostos e Frete'!$I$4,IF(L312="JP",'Impostos e Frete'!$I$5,IF(L312="RU",'Impostos e Frete'!$I$7,"ERRO")))))</f>
        <v>0.14176320000000001</v>
      </c>
      <c r="CA312" s="212">
        <f>VLOOKUP(L312,'Impostos e Frete'!$A$3:$B$7,2,0)*'Preços e Condições'!BY312</f>
        <v>1.3422500000000002</v>
      </c>
      <c r="CB312" s="147">
        <f t="shared" si="84"/>
        <v>0</v>
      </c>
      <c r="CC312" s="147">
        <f>IF(X312="BRL",'Impostos e Frete'!$B$11,'Impostos e Frete'!$B$12)</f>
        <v>9.1999999999999998E-2</v>
      </c>
      <c r="CD312" s="213">
        <f t="shared" ca="1" si="85"/>
        <v>11.901013200000001</v>
      </c>
      <c r="CE312" s="214">
        <f t="shared" ca="1" si="86"/>
        <v>0.83307092400000005</v>
      </c>
      <c r="CF312" s="215">
        <f>VLOOKUP(L312,'Impostos e Frete'!$A$3:$C$7,3,0)</f>
        <v>105</v>
      </c>
      <c r="CG312" s="215">
        <f t="shared" si="87"/>
        <v>120</v>
      </c>
      <c r="CH312" s="215">
        <f t="shared" si="88"/>
        <v>15</v>
      </c>
      <c r="CI312" s="216">
        <f t="shared" ca="1" si="89"/>
        <v>-8.8265840311951393E-2</v>
      </c>
      <c r="CJ312" s="217">
        <f t="shared" ca="1" si="90"/>
        <v>11.81274735968805</v>
      </c>
      <c r="CK312" s="218">
        <f t="shared" ca="1" si="91"/>
        <v>0.82689231517816353</v>
      </c>
    </row>
    <row r="313" spans="1:89">
      <c r="A313" s="176">
        <v>17028</v>
      </c>
      <c r="B313" s="177">
        <v>8269</v>
      </c>
      <c r="C313" s="178">
        <v>70</v>
      </c>
      <c r="D313" s="178">
        <v>1270</v>
      </c>
      <c r="E313" s="178" t="s">
        <v>50</v>
      </c>
      <c r="F313" s="179" t="s">
        <v>47</v>
      </c>
      <c r="G313" s="185" t="s">
        <v>91</v>
      </c>
      <c r="H313" s="178" t="s">
        <v>42</v>
      </c>
      <c r="I313" s="178">
        <v>6552</v>
      </c>
      <c r="J313" s="178"/>
      <c r="K313" s="178"/>
      <c r="L313" s="178" t="s">
        <v>59</v>
      </c>
      <c r="M313" s="178">
        <v>120</v>
      </c>
      <c r="N313" s="178">
        <v>300</v>
      </c>
      <c r="O313" s="178"/>
      <c r="P313" s="178"/>
      <c r="Q313" s="178"/>
      <c r="R313" s="178" t="s">
        <v>19</v>
      </c>
      <c r="S313" s="181"/>
      <c r="T313" s="181"/>
      <c r="U313" s="182"/>
      <c r="V313" s="182" t="s">
        <v>35</v>
      </c>
      <c r="W313" s="183">
        <v>50</v>
      </c>
      <c r="X313" s="182" t="s">
        <v>51</v>
      </c>
      <c r="Y313" s="184">
        <v>2910</v>
      </c>
      <c r="Z313" s="184">
        <v>2910</v>
      </c>
      <c r="AA313" s="184">
        <v>2910</v>
      </c>
      <c r="AB313" s="184">
        <v>2910</v>
      </c>
      <c r="AC313" s="184">
        <v>2910</v>
      </c>
      <c r="AD313" s="184">
        <v>2910</v>
      </c>
      <c r="AE313" s="184">
        <v>2300</v>
      </c>
      <c r="AF313" s="184">
        <v>2300</v>
      </c>
      <c r="AG313" s="184">
        <v>2300</v>
      </c>
      <c r="AH313" s="184">
        <v>2150</v>
      </c>
      <c r="AI313" s="184">
        <v>2150</v>
      </c>
      <c r="AJ313" s="184">
        <v>2120</v>
      </c>
      <c r="AK313" s="184">
        <v>2210</v>
      </c>
      <c r="AL313" s="184">
        <v>2210</v>
      </c>
      <c r="AM313" s="184">
        <v>2210</v>
      </c>
      <c r="AN313" s="184">
        <v>2340</v>
      </c>
      <c r="AO313" s="184">
        <v>2340</v>
      </c>
      <c r="AP313" s="184">
        <v>2340</v>
      </c>
      <c r="AQ313" s="184">
        <v>2490</v>
      </c>
      <c r="AR313" s="184">
        <v>2490</v>
      </c>
      <c r="AS313" s="184">
        <v>2490</v>
      </c>
      <c r="AT313" s="184">
        <v>2490</v>
      </c>
      <c r="AU313" s="184">
        <v>2490</v>
      </c>
      <c r="AV313" s="184">
        <v>2490</v>
      </c>
      <c r="AW313" s="184">
        <v>2410</v>
      </c>
      <c r="AX313" s="184">
        <v>2410</v>
      </c>
      <c r="AY313" s="184">
        <v>2410</v>
      </c>
      <c r="AZ313" s="184">
        <v>2170</v>
      </c>
      <c r="BA313" s="184">
        <v>2170</v>
      </c>
      <c r="BB313" s="184">
        <v>2300</v>
      </c>
      <c r="BC313" s="184">
        <v>2300</v>
      </c>
      <c r="BD313" s="184">
        <v>2300</v>
      </c>
      <c r="BE313" s="184">
        <v>2300</v>
      </c>
      <c r="BF313" s="184">
        <v>2200</v>
      </c>
      <c r="BG313" s="184">
        <v>2200</v>
      </c>
      <c r="BH313" s="184">
        <v>2200</v>
      </c>
      <c r="BI313" s="184">
        <v>2230</v>
      </c>
      <c r="BJ313" s="184">
        <v>2230</v>
      </c>
      <c r="BK313" s="184">
        <v>2230</v>
      </c>
      <c r="BL313" s="184">
        <v>2330</v>
      </c>
      <c r="BM313" s="184">
        <v>2330</v>
      </c>
      <c r="BN313" s="184">
        <v>2330</v>
      </c>
      <c r="BO313" s="184"/>
      <c r="BP313" s="184"/>
      <c r="BQ313" s="184"/>
      <c r="BR313" s="184"/>
      <c r="BS313" s="184"/>
      <c r="BT313" s="184"/>
      <c r="BU313" s="146" cm="1">
        <f t="array" ref="BU313">LOOKUP(2,1/(Y313:BT313&lt;&gt;""),Y313:BH313)</f>
        <v>2330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46174</v>
      </c>
      <c r="BW313" s="211" cm="1">
        <f t="array" ref="BW313">(LOOKUP(2,1/(BH313:BT313&lt;&gt;""),BH313:BT313))/(INDEX(BH313:BT313,MATCH(TRUE,INDEX((BH313:BT313&lt;&gt;0),0),0)))-1</f>
        <v>5.9090909090909083E-2</v>
      </c>
      <c r="BX313" s="212">
        <f t="shared" si="83"/>
        <v>2.33</v>
      </c>
      <c r="BY313" s="212">
        <f t="shared" si="82"/>
        <v>13.747000000000002</v>
      </c>
      <c r="BZ313" s="212">
        <f ca="1">IF(L313="BR",'Impostos e Frete'!$F$6,IF(L313="EU",'Impostos e Frete'!$I$3,IF(L313="CN",'Impostos e Frete'!$I$4,IF(L313="JP",'Impostos e Frete'!$I$5,IF(L313="RU",'Impostos e Frete'!$I$7,"ERRO")))))</f>
        <v>0.14176320000000001</v>
      </c>
      <c r="CA313" s="212">
        <f>VLOOKUP(L313,'Impostos e Frete'!$A$3:$B$7,2,0)*'Preços e Condições'!BY313</f>
        <v>1.7871100000000002</v>
      </c>
      <c r="CB313" s="147">
        <f t="shared" si="84"/>
        <v>0</v>
      </c>
      <c r="CC313" s="147">
        <f>IF(X313="BRL",'Impostos e Frete'!$B$11,'Impostos e Frete'!$B$12)</f>
        <v>9.1999999999999998E-2</v>
      </c>
      <c r="CD313" s="213">
        <f t="shared" ca="1" si="85"/>
        <v>15.767873200000002</v>
      </c>
      <c r="CE313" s="214">
        <f t="shared" ca="1" si="86"/>
        <v>1.103751124</v>
      </c>
      <c r="CF313" s="215">
        <f>VLOOKUP(L313,'Impostos e Frete'!$A$3:$C$7,3,0)</f>
        <v>105</v>
      </c>
      <c r="CG313" s="215">
        <f t="shared" si="87"/>
        <v>120</v>
      </c>
      <c r="CH313" s="215">
        <f t="shared" si="88"/>
        <v>15</v>
      </c>
      <c r="CI313" s="216">
        <f t="shared" ca="1" si="89"/>
        <v>-0.11694504951312013</v>
      </c>
      <c r="CJ313" s="217">
        <f t="shared" ca="1" si="90"/>
        <v>15.650928150486882</v>
      </c>
      <c r="CK313" s="218">
        <f t="shared" ca="1" si="91"/>
        <v>1.0955649705340818</v>
      </c>
    </row>
    <row r="314" spans="1:89">
      <c r="A314" s="176">
        <v>17028</v>
      </c>
      <c r="B314" s="177">
        <v>8269</v>
      </c>
      <c r="C314" s="178">
        <v>70</v>
      </c>
      <c r="D314" s="178">
        <v>1270</v>
      </c>
      <c r="E314" s="178" t="s">
        <v>50</v>
      </c>
      <c r="F314" s="179" t="s">
        <v>47</v>
      </c>
      <c r="G314" s="185" t="s">
        <v>91</v>
      </c>
      <c r="H314" s="178" t="s">
        <v>42</v>
      </c>
      <c r="I314" s="178">
        <v>6552</v>
      </c>
      <c r="J314" s="178"/>
      <c r="K314" s="178"/>
      <c r="L314" s="178" t="s">
        <v>59</v>
      </c>
      <c r="M314" s="178">
        <v>120</v>
      </c>
      <c r="N314" s="178">
        <v>300</v>
      </c>
      <c r="O314" s="178"/>
      <c r="P314" s="178"/>
      <c r="Q314" s="178"/>
      <c r="R314" s="178" t="s">
        <v>19</v>
      </c>
      <c r="S314" s="181"/>
      <c r="T314" s="181"/>
      <c r="U314" s="182"/>
      <c r="V314" s="182" t="s">
        <v>35</v>
      </c>
      <c r="W314" s="183">
        <v>30</v>
      </c>
      <c r="X314" s="182" t="s">
        <v>51</v>
      </c>
      <c r="Y314" s="184">
        <v>2960</v>
      </c>
      <c r="Z314" s="184">
        <v>2960</v>
      </c>
      <c r="AA314" s="184">
        <v>2960</v>
      </c>
      <c r="AB314" s="184">
        <v>2960</v>
      </c>
      <c r="AC314" s="184">
        <v>2960</v>
      </c>
      <c r="AD314" s="184">
        <v>2960</v>
      </c>
      <c r="AE314" s="184">
        <v>2350</v>
      </c>
      <c r="AF314" s="184">
        <v>2350</v>
      </c>
      <c r="AG314" s="184">
        <v>2350</v>
      </c>
      <c r="AH314" s="184">
        <v>2200</v>
      </c>
      <c r="AI314" s="184">
        <v>2200</v>
      </c>
      <c r="AJ314" s="184">
        <v>2170</v>
      </c>
      <c r="AK314" s="146">
        <f>AK313+50</f>
        <v>2260</v>
      </c>
      <c r="AL314" s="146">
        <f>AL313+50</f>
        <v>2260</v>
      </c>
      <c r="AM314" s="146">
        <f>AM313+50</f>
        <v>2260</v>
      </c>
      <c r="AN314" s="184">
        <v>2390</v>
      </c>
      <c r="AO314" s="184">
        <v>2390</v>
      </c>
      <c r="AP314" s="184">
        <v>2390</v>
      </c>
      <c r="AQ314" s="184">
        <v>2540</v>
      </c>
      <c r="AR314" s="184">
        <v>2540</v>
      </c>
      <c r="AS314" s="184">
        <v>2540</v>
      </c>
      <c r="AT314" s="184">
        <v>2540</v>
      </c>
      <c r="AU314" s="184">
        <v>2540</v>
      </c>
      <c r="AV314" s="184">
        <v>2540</v>
      </c>
      <c r="AW314" s="184">
        <v>2460</v>
      </c>
      <c r="AX314" s="184">
        <v>2460</v>
      </c>
      <c r="AY314" s="184">
        <v>2460</v>
      </c>
      <c r="AZ314" s="184">
        <v>2220</v>
      </c>
      <c r="BA314" s="184">
        <v>2220</v>
      </c>
      <c r="BB314" s="184">
        <v>2350</v>
      </c>
      <c r="BC314" s="184">
        <v>2350</v>
      </c>
      <c r="BD314" s="184">
        <v>2350</v>
      </c>
      <c r="BE314" s="184">
        <v>2350</v>
      </c>
      <c r="BF314" s="184">
        <v>2250</v>
      </c>
      <c r="BG314" s="184">
        <v>2250</v>
      </c>
      <c r="BH314" s="184">
        <v>2250</v>
      </c>
      <c r="BI314" s="184">
        <v>2280</v>
      </c>
      <c r="BJ314" s="184">
        <v>2280</v>
      </c>
      <c r="BK314" s="184">
        <v>2280</v>
      </c>
      <c r="BL314" s="184">
        <v>2380</v>
      </c>
      <c r="BM314" s="184">
        <v>2380</v>
      </c>
      <c r="BN314" s="184">
        <v>2380</v>
      </c>
      <c r="BO314" s="184"/>
      <c r="BP314" s="184"/>
      <c r="BQ314" s="184"/>
      <c r="BR314" s="184"/>
      <c r="BS314" s="184"/>
      <c r="BT314" s="184"/>
      <c r="BU314" s="146" cm="1">
        <f t="array" ref="BU314">LOOKUP(2,1/(Y314:BT314&lt;&gt;""),Y314:BH314)</f>
        <v>2380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46174</v>
      </c>
      <c r="BW314" s="211" cm="1">
        <f t="array" ref="BW314">(LOOKUP(2,1/(BH314:BT314&lt;&gt;""),BH314:BT314))/(INDEX(BH314:BT314,MATCH(TRUE,INDEX((BH314:BT314&lt;&gt;0),0),0)))-1</f>
        <v>5.7777777777777706E-2</v>
      </c>
      <c r="BX314" s="212">
        <f t="shared" si="83"/>
        <v>2.38</v>
      </c>
      <c r="BY314" s="212">
        <f t="shared" si="82"/>
        <v>14.042</v>
      </c>
      <c r="BZ314" s="212">
        <f ca="1">IF(L314="BR",'Impostos e Frete'!$F$6,IF(L314="EU",'Impostos e Frete'!$I$3,IF(L314="CN",'Impostos e Frete'!$I$4,IF(L314="JP",'Impostos e Frete'!$I$5,IF(L314="RU",'Impostos e Frete'!$I$7,"ERRO")))))</f>
        <v>0.14176320000000001</v>
      </c>
      <c r="CA314" s="212">
        <f>VLOOKUP(L314,'Impostos e Frete'!$A$3:$B$7,2,0)*'Preços e Condições'!BY314</f>
        <v>1.8254600000000001</v>
      </c>
      <c r="CB314" s="147">
        <f t="shared" si="84"/>
        <v>0</v>
      </c>
      <c r="CC314" s="147">
        <f>IF(X314="BRL",'Impostos e Frete'!$B$11,'Impostos e Frete'!$B$12)</f>
        <v>9.1999999999999998E-2</v>
      </c>
      <c r="CD314" s="213">
        <f t="shared" ca="1" si="85"/>
        <v>16.1012232</v>
      </c>
      <c r="CE314" s="214">
        <f t="shared" ca="1" si="86"/>
        <v>1.127085624</v>
      </c>
      <c r="CF314" s="215">
        <f>VLOOKUP(L314,'Impostos e Frete'!$A$3:$C$7,3,0)</f>
        <v>105</v>
      </c>
      <c r="CG314" s="215">
        <f t="shared" si="87"/>
        <v>120</v>
      </c>
      <c r="CH314" s="215">
        <f t="shared" si="88"/>
        <v>15</v>
      </c>
      <c r="CI314" s="216">
        <f t="shared" ca="1" si="89"/>
        <v>-0.11941739513390992</v>
      </c>
      <c r="CJ314" s="217">
        <f t="shared" ca="1" si="90"/>
        <v>15.98180580486609</v>
      </c>
      <c r="CK314" s="218">
        <f t="shared" ca="1" si="91"/>
        <v>1.1187264063406261</v>
      </c>
    </row>
    <row r="315" spans="1:89">
      <c r="A315" s="176">
        <v>17028</v>
      </c>
      <c r="B315" s="177">
        <v>8269</v>
      </c>
      <c r="C315" s="178">
        <v>70</v>
      </c>
      <c r="D315" s="178">
        <v>1270</v>
      </c>
      <c r="E315" s="178" t="s">
        <v>50</v>
      </c>
      <c r="F315" s="179" t="s">
        <v>47</v>
      </c>
      <c r="G315" s="185" t="s">
        <v>91</v>
      </c>
      <c r="H315" s="178" t="s">
        <v>42</v>
      </c>
      <c r="I315" s="178">
        <v>6552</v>
      </c>
      <c r="J315" s="178"/>
      <c r="K315" s="178"/>
      <c r="L315" s="178" t="s">
        <v>59</v>
      </c>
      <c r="M315" s="178">
        <v>120</v>
      </c>
      <c r="N315" s="178">
        <v>300</v>
      </c>
      <c r="O315" s="178"/>
      <c r="P315" s="178"/>
      <c r="Q315" s="178"/>
      <c r="R315" s="178" t="s">
        <v>19</v>
      </c>
      <c r="S315" s="181"/>
      <c r="T315" s="181"/>
      <c r="U315" s="182"/>
      <c r="V315" s="182" t="s">
        <v>35</v>
      </c>
      <c r="W315" s="183">
        <v>20</v>
      </c>
      <c r="X315" s="182" t="s">
        <v>51</v>
      </c>
      <c r="Y315" s="184">
        <v>3010</v>
      </c>
      <c r="Z315" s="184">
        <v>3010</v>
      </c>
      <c r="AA315" s="184">
        <v>3010</v>
      </c>
      <c r="AB315" s="184">
        <v>3010</v>
      </c>
      <c r="AC315" s="184">
        <v>3010</v>
      </c>
      <c r="AD315" s="184">
        <v>3010</v>
      </c>
      <c r="AE315" s="184">
        <v>2400</v>
      </c>
      <c r="AF315" s="184">
        <v>2400</v>
      </c>
      <c r="AG315" s="184">
        <v>2400</v>
      </c>
      <c r="AH315" s="184">
        <v>2250</v>
      </c>
      <c r="AI315" s="184">
        <v>2250</v>
      </c>
      <c r="AJ315" s="184">
        <v>2220</v>
      </c>
      <c r="AK315" s="146">
        <f>AK313+100</f>
        <v>2310</v>
      </c>
      <c r="AL315" s="146">
        <f>AL313+100</f>
        <v>2310</v>
      </c>
      <c r="AM315" s="146">
        <f>AM313+100</f>
        <v>2310</v>
      </c>
      <c r="AN315" s="184">
        <v>2440</v>
      </c>
      <c r="AO315" s="184">
        <v>2440</v>
      </c>
      <c r="AP315" s="184">
        <v>2440</v>
      </c>
      <c r="AQ315" s="184">
        <v>2590</v>
      </c>
      <c r="AR315" s="184">
        <v>2590</v>
      </c>
      <c r="AS315" s="184">
        <v>2590</v>
      </c>
      <c r="AT315" s="184">
        <v>2590</v>
      </c>
      <c r="AU315" s="184">
        <v>2590</v>
      </c>
      <c r="AV315" s="184">
        <v>2590</v>
      </c>
      <c r="AW315" s="184">
        <v>2510</v>
      </c>
      <c r="AX315" s="184">
        <v>2510</v>
      </c>
      <c r="AY315" s="184">
        <v>2510</v>
      </c>
      <c r="AZ315" s="184">
        <v>2270</v>
      </c>
      <c r="BA315" s="184">
        <v>2270</v>
      </c>
      <c r="BB315" s="184">
        <v>2400</v>
      </c>
      <c r="BC315" s="184">
        <v>2400</v>
      </c>
      <c r="BD315" s="184">
        <v>2400</v>
      </c>
      <c r="BE315" s="184">
        <v>2400</v>
      </c>
      <c r="BF315" s="184">
        <v>2300</v>
      </c>
      <c r="BG315" s="184">
        <v>2300</v>
      </c>
      <c r="BH315" s="184">
        <v>2300</v>
      </c>
      <c r="BI315" s="184">
        <v>2330</v>
      </c>
      <c r="BJ315" s="184">
        <v>2330</v>
      </c>
      <c r="BK315" s="184">
        <v>2330</v>
      </c>
      <c r="BL315" s="184">
        <v>2430</v>
      </c>
      <c r="BM315" s="184">
        <v>2430</v>
      </c>
      <c r="BN315" s="184">
        <v>2430</v>
      </c>
      <c r="BO315" s="184"/>
      <c r="BP315" s="184"/>
      <c r="BQ315" s="184"/>
      <c r="BR315" s="184"/>
      <c r="BS315" s="184"/>
      <c r="BT315" s="184"/>
      <c r="BU315" s="146" cm="1">
        <f t="array" ref="BU315">LOOKUP(2,1/(Y315:BT315&lt;&gt;""),Y315:BH315)</f>
        <v>2430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46174</v>
      </c>
      <c r="BW315" s="211" cm="1">
        <f t="array" ref="BW315">(LOOKUP(2,1/(BH315:BT315&lt;&gt;""),BH315:BT315))/(INDEX(BH315:BT315,MATCH(TRUE,INDEX((BH315:BT315&lt;&gt;0),0),0)))-1</f>
        <v>5.6521739130434678E-2</v>
      </c>
      <c r="BX315" s="212">
        <f t="shared" si="83"/>
        <v>2.4300000000000002</v>
      </c>
      <c r="BY315" s="212">
        <f t="shared" si="82"/>
        <v>14.337000000000002</v>
      </c>
      <c r="BZ315" s="212">
        <f ca="1">IF(L315="BR",'Impostos e Frete'!$F$6,IF(L315="EU",'Impostos e Frete'!$I$3,IF(L315="CN",'Impostos e Frete'!$I$4,IF(L315="JP",'Impostos e Frete'!$I$5,IF(L315="RU",'Impostos e Frete'!$I$7,"ERRO")))))</f>
        <v>0.14176320000000001</v>
      </c>
      <c r="CA315" s="212">
        <f>VLOOKUP(L315,'Impostos e Frete'!$A$3:$B$7,2,0)*'Preços e Condições'!BY315</f>
        <v>1.8638100000000002</v>
      </c>
      <c r="CB315" s="147">
        <f t="shared" si="84"/>
        <v>0</v>
      </c>
      <c r="CC315" s="147">
        <f>IF(X315="BRL",'Impostos e Frete'!$B$11,'Impostos e Frete'!$B$12)</f>
        <v>9.1999999999999998E-2</v>
      </c>
      <c r="CD315" s="213">
        <f t="shared" ca="1" si="85"/>
        <v>16.434573199999999</v>
      </c>
      <c r="CE315" s="214">
        <f t="shared" ca="1" si="86"/>
        <v>1.150420124</v>
      </c>
      <c r="CF315" s="215">
        <f>VLOOKUP(L315,'Impostos e Frete'!$A$3:$C$7,3,0)</f>
        <v>105</v>
      </c>
      <c r="CG315" s="215">
        <f t="shared" si="87"/>
        <v>120</v>
      </c>
      <c r="CH315" s="215">
        <f t="shared" si="88"/>
        <v>15</v>
      </c>
      <c r="CI315" s="216">
        <f t="shared" ca="1" si="89"/>
        <v>-0.12188974075469972</v>
      </c>
      <c r="CJ315" s="217">
        <f t="shared" ca="1" si="90"/>
        <v>16.312683459245299</v>
      </c>
      <c r="CK315" s="218">
        <f t="shared" ca="1" si="91"/>
        <v>1.141887842147171</v>
      </c>
    </row>
    <row r="316" spans="1:89">
      <c r="A316" s="176">
        <v>17028</v>
      </c>
      <c r="B316" s="177">
        <v>8269</v>
      </c>
      <c r="C316" s="178">
        <v>70</v>
      </c>
      <c r="D316" s="178">
        <v>1270</v>
      </c>
      <c r="E316" s="178" t="s">
        <v>50</v>
      </c>
      <c r="F316" s="179" t="s">
        <v>47</v>
      </c>
      <c r="G316" s="185" t="s">
        <v>91</v>
      </c>
      <c r="H316" s="178" t="s">
        <v>42</v>
      </c>
      <c r="I316" s="178">
        <v>6552</v>
      </c>
      <c r="J316" s="178"/>
      <c r="K316" s="178"/>
      <c r="L316" s="178" t="s">
        <v>59</v>
      </c>
      <c r="M316" s="178">
        <v>120</v>
      </c>
      <c r="N316" s="178">
        <v>300</v>
      </c>
      <c r="O316" s="178"/>
      <c r="P316" s="178"/>
      <c r="Q316" s="178"/>
      <c r="R316" s="178" t="s">
        <v>19</v>
      </c>
      <c r="S316" s="181"/>
      <c r="T316" s="181"/>
      <c r="U316" s="182"/>
      <c r="V316" s="182" t="s">
        <v>35</v>
      </c>
      <c r="W316" s="183">
        <v>10</v>
      </c>
      <c r="X316" s="182" t="s">
        <v>51</v>
      </c>
      <c r="Y316" s="184">
        <v>3090</v>
      </c>
      <c r="Z316" s="184">
        <v>3090</v>
      </c>
      <c r="AA316" s="184">
        <v>3090</v>
      </c>
      <c r="AB316" s="184">
        <v>3090</v>
      </c>
      <c r="AC316" s="184">
        <v>3090</v>
      </c>
      <c r="AD316" s="184">
        <v>3090</v>
      </c>
      <c r="AE316" s="184">
        <v>2480</v>
      </c>
      <c r="AF316" s="184">
        <v>2480</v>
      </c>
      <c r="AG316" s="184">
        <v>2480</v>
      </c>
      <c r="AH316" s="184">
        <v>2330</v>
      </c>
      <c r="AI316" s="184">
        <v>2330</v>
      </c>
      <c r="AJ316" s="184">
        <v>2300</v>
      </c>
      <c r="AK316" s="146">
        <f>AK313+180</f>
        <v>2390</v>
      </c>
      <c r="AL316" s="146">
        <f>AL313+180</f>
        <v>2390</v>
      </c>
      <c r="AM316" s="146">
        <f>AM313+180</f>
        <v>2390</v>
      </c>
      <c r="AN316" s="184">
        <v>2520</v>
      </c>
      <c r="AO316" s="184">
        <v>2520</v>
      </c>
      <c r="AP316" s="184">
        <v>2520</v>
      </c>
      <c r="AQ316" s="184">
        <v>2670</v>
      </c>
      <c r="AR316" s="184">
        <v>2670</v>
      </c>
      <c r="AS316" s="184">
        <v>2670</v>
      </c>
      <c r="AT316" s="184">
        <v>2670</v>
      </c>
      <c r="AU316" s="184">
        <v>2670</v>
      </c>
      <c r="AV316" s="184">
        <v>2670</v>
      </c>
      <c r="AW316" s="184">
        <v>2590</v>
      </c>
      <c r="AX316" s="184">
        <v>2590</v>
      </c>
      <c r="AY316" s="184">
        <v>2590</v>
      </c>
      <c r="AZ316" s="184">
        <v>2350</v>
      </c>
      <c r="BA316" s="184">
        <v>2350</v>
      </c>
      <c r="BB316" s="184">
        <v>2480</v>
      </c>
      <c r="BC316" s="184">
        <v>2480</v>
      </c>
      <c r="BD316" s="184">
        <v>2480</v>
      </c>
      <c r="BE316" s="184">
        <v>2480</v>
      </c>
      <c r="BF316" s="184">
        <v>2380</v>
      </c>
      <c r="BG316" s="184">
        <v>2380</v>
      </c>
      <c r="BH316" s="184">
        <v>2380</v>
      </c>
      <c r="BI316" s="184">
        <v>2410</v>
      </c>
      <c r="BJ316" s="184">
        <v>2410</v>
      </c>
      <c r="BK316" s="184">
        <v>2410</v>
      </c>
      <c r="BL316" s="184">
        <v>2510</v>
      </c>
      <c r="BM316" s="184">
        <v>2510</v>
      </c>
      <c r="BN316" s="184">
        <v>2510</v>
      </c>
      <c r="BO316" s="184"/>
      <c r="BP316" s="184"/>
      <c r="BQ316" s="184"/>
      <c r="BR316" s="184"/>
      <c r="BS316" s="184"/>
      <c r="BT316" s="184"/>
      <c r="BU316" s="146" cm="1">
        <f t="array" ref="BU316">LOOKUP(2,1/(Y316:BT316&lt;&gt;""),Y316:BH316)</f>
        <v>2510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46174</v>
      </c>
      <c r="BW316" s="211" cm="1">
        <f t="array" ref="BW316">(LOOKUP(2,1/(BH316:BT316&lt;&gt;""),BH316:BT316))/(INDEX(BH316:BT316,MATCH(TRUE,INDEX((BH316:BT316&lt;&gt;0),0),0)))-1</f>
        <v>5.4621848739495826E-2</v>
      </c>
      <c r="BX316" s="212">
        <f t="shared" si="83"/>
        <v>2.5099999999999998</v>
      </c>
      <c r="BY316" s="212">
        <f t="shared" si="82"/>
        <v>14.808999999999999</v>
      </c>
      <c r="BZ316" s="212">
        <f ca="1">IF(L316="BR",'Impostos e Frete'!$F$6,IF(L316="EU",'Impostos e Frete'!$I$3,IF(L316="CN",'Impostos e Frete'!$I$4,IF(L316="JP",'Impostos e Frete'!$I$5,IF(L316="RU",'Impostos e Frete'!$I$7,"ERRO")))))</f>
        <v>0.14176320000000001</v>
      </c>
      <c r="CA316" s="212">
        <f>VLOOKUP(L316,'Impostos e Frete'!$A$3:$B$7,2,0)*'Preços e Condições'!BY316</f>
        <v>1.92517</v>
      </c>
      <c r="CB316" s="147">
        <f t="shared" si="84"/>
        <v>0</v>
      </c>
      <c r="CC316" s="147">
        <f>IF(X316="BRL",'Impostos e Frete'!$B$11,'Impostos e Frete'!$B$12)</f>
        <v>9.1999999999999998E-2</v>
      </c>
      <c r="CD316" s="213">
        <f t="shared" ca="1" si="85"/>
        <v>16.967933199999997</v>
      </c>
      <c r="CE316" s="214">
        <f t="shared" ca="1" si="86"/>
        <v>1.1877553239999998</v>
      </c>
      <c r="CF316" s="215">
        <f>VLOOKUP(L316,'Impostos e Frete'!$A$3:$C$7,3,0)</f>
        <v>105</v>
      </c>
      <c r="CG316" s="215">
        <f t="shared" si="87"/>
        <v>120</v>
      </c>
      <c r="CH316" s="215">
        <f t="shared" si="88"/>
        <v>15</v>
      </c>
      <c r="CI316" s="216">
        <f t="shared" ca="1" si="89"/>
        <v>-0.12584549374796339</v>
      </c>
      <c r="CJ316" s="217">
        <f t="shared" ca="1" si="90"/>
        <v>16.842087706252034</v>
      </c>
      <c r="CK316" s="218">
        <f t="shared" ca="1" si="91"/>
        <v>1.1789461394376424</v>
      </c>
    </row>
    <row r="317" spans="1:89">
      <c r="A317" s="176">
        <v>17028</v>
      </c>
      <c r="B317" s="177">
        <v>8269</v>
      </c>
      <c r="C317" s="178">
        <v>70</v>
      </c>
      <c r="D317" s="178">
        <v>1270</v>
      </c>
      <c r="E317" s="178" t="s">
        <v>50</v>
      </c>
      <c r="F317" s="179" t="s">
        <v>47</v>
      </c>
      <c r="G317" s="185" t="s">
        <v>91</v>
      </c>
      <c r="H317" s="178" t="s">
        <v>42</v>
      </c>
      <c r="I317" s="178">
        <v>6552</v>
      </c>
      <c r="J317" s="178"/>
      <c r="K317" s="178"/>
      <c r="L317" s="178" t="s">
        <v>59</v>
      </c>
      <c r="M317" s="178">
        <v>120</v>
      </c>
      <c r="N317" s="178">
        <v>300</v>
      </c>
      <c r="O317" s="178"/>
      <c r="P317" s="178"/>
      <c r="Q317" s="178"/>
      <c r="R317" s="178" t="s">
        <v>19</v>
      </c>
      <c r="S317" s="181"/>
      <c r="T317" s="181"/>
      <c r="U317" s="182"/>
      <c r="V317" s="182" t="s">
        <v>35</v>
      </c>
      <c r="W317" s="183">
        <v>100</v>
      </c>
      <c r="X317" s="182" t="s">
        <v>51</v>
      </c>
      <c r="Y317" s="184"/>
      <c r="Z317" s="184"/>
      <c r="AA317" s="184"/>
      <c r="AB317" s="184"/>
      <c r="AC317" s="184"/>
      <c r="AD317" s="184"/>
      <c r="AE317" s="184"/>
      <c r="AF317" s="184"/>
      <c r="AG317" s="184"/>
      <c r="AH317" s="184"/>
      <c r="AI317" s="184"/>
      <c r="AJ317" s="184"/>
      <c r="AK317" s="184"/>
      <c r="AL317" s="184"/>
      <c r="AM317" s="184"/>
      <c r="AN317" s="184"/>
      <c r="AO317" s="184"/>
      <c r="AP317" s="184"/>
      <c r="AQ317" s="184">
        <v>2050</v>
      </c>
      <c r="AR317" s="184">
        <v>2050</v>
      </c>
      <c r="AS317" s="184">
        <v>2050</v>
      </c>
      <c r="AT317" s="184">
        <v>2050</v>
      </c>
      <c r="AU317" s="184">
        <v>2050</v>
      </c>
      <c r="AV317" s="184">
        <v>2050</v>
      </c>
      <c r="AW317" s="184">
        <v>2050</v>
      </c>
      <c r="AX317" s="184">
        <v>2050</v>
      </c>
      <c r="AY317" s="184">
        <v>2050</v>
      </c>
      <c r="AZ317" s="184">
        <v>1750</v>
      </c>
      <c r="BA317" s="184">
        <v>1750</v>
      </c>
      <c r="BB317" s="184"/>
      <c r="BC317" s="184"/>
      <c r="BD317" s="184"/>
      <c r="BE317" s="184"/>
      <c r="BF317" s="184"/>
      <c r="BG317" s="184"/>
      <c r="BH317" s="184"/>
      <c r="BI317" s="184"/>
      <c r="BJ317" s="184"/>
      <c r="BK317" s="184"/>
      <c r="BL317" s="184"/>
      <c r="BM317" s="184"/>
      <c r="BN317" s="184"/>
      <c r="BO317" s="184"/>
      <c r="BP317" s="184"/>
      <c r="BQ317" s="184"/>
      <c r="BR317" s="184"/>
      <c r="BS317" s="184"/>
      <c r="BT317" s="184"/>
      <c r="BU317" s="146" cm="1">
        <f t="array" ref="BU317">LOOKUP(2,1/(Y317:BT317&lt;&gt;""),Y317:BH317)</f>
        <v>1750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45778</v>
      </c>
      <c r="BW317" s="211" t="e" cm="1">
        <f t="array" ref="BW317">(LOOKUP(2,1/(BH317:BT317&lt;&gt;""),BH317:BT317))/(INDEX(BH317:BT317,MATCH(TRUE,INDEX((BH317:BT317&lt;&gt;0),0),0)))-1</f>
        <v>#N/A</v>
      </c>
      <c r="BX317" s="212">
        <f t="shared" si="83"/>
        <v>1.75</v>
      </c>
      <c r="BY317" s="212">
        <f t="shared" ref="BY317:BY380" si="92">IF(X317="BRL",BX317,IF(X317="EUR",BX317*$CK$2,IF(X317="USD",BX317*$CK$1,IF(X317="CNY",BX317*$CM$1,IF(X317="RUB",BX317*$CM$2,"CRRY#")))))</f>
        <v>10.325000000000001</v>
      </c>
      <c r="BZ317" s="212">
        <f ca="1">IF(L317="BR",'Impostos e Frete'!$F$6,IF(L317="EU",'Impostos e Frete'!$I$3,IF(L317="CN",'Impostos e Frete'!$I$4,IF(L317="JP",'Impostos e Frete'!$I$5,IF(L317="RU",'Impostos e Frete'!$I$7,"ERRO")))))</f>
        <v>0.14176320000000001</v>
      </c>
      <c r="CA317" s="212">
        <f>VLOOKUP(L317,'Impostos e Frete'!$A$3:$B$7,2,0)*'Preços e Condições'!BY317</f>
        <v>1.3422500000000002</v>
      </c>
      <c r="CB317" s="147">
        <f t="shared" si="84"/>
        <v>0</v>
      </c>
      <c r="CC317" s="147">
        <f>IF(X317="BRL",'Impostos e Frete'!$B$11,'Impostos e Frete'!$B$12)</f>
        <v>9.1999999999999998E-2</v>
      </c>
      <c r="CD317" s="213">
        <f t="shared" ca="1" si="85"/>
        <v>11.901013200000001</v>
      </c>
      <c r="CE317" s="214">
        <f t="shared" ca="1" si="86"/>
        <v>0.83307092400000005</v>
      </c>
      <c r="CF317" s="215">
        <f>VLOOKUP(L317,'Impostos e Frete'!$A$3:$C$7,3,0)</f>
        <v>105</v>
      </c>
      <c r="CG317" s="215">
        <f t="shared" si="87"/>
        <v>120</v>
      </c>
      <c r="CH317" s="215">
        <f t="shared" si="88"/>
        <v>15</v>
      </c>
      <c r="CI317" s="216">
        <f t="shared" ca="1" si="89"/>
        <v>-8.8265840311951393E-2</v>
      </c>
      <c r="CJ317" s="217">
        <f t="shared" ca="1" si="90"/>
        <v>11.81274735968805</v>
      </c>
      <c r="CK317" s="218">
        <f t="shared" ca="1" si="91"/>
        <v>0.82689231517816353</v>
      </c>
    </row>
    <row r="318" spans="1:89">
      <c r="A318" s="176">
        <v>17051</v>
      </c>
      <c r="B318" s="177" t="s">
        <v>52</v>
      </c>
      <c r="C318" s="178">
        <v>71</v>
      </c>
      <c r="D318" s="178">
        <v>1870</v>
      </c>
      <c r="E318" s="178" t="s">
        <v>50</v>
      </c>
      <c r="F318" s="179" t="s">
        <v>47</v>
      </c>
      <c r="G318" s="185" t="s">
        <v>92</v>
      </c>
      <c r="H318" s="178" t="s">
        <v>42</v>
      </c>
      <c r="I318" s="178" t="s">
        <v>40</v>
      </c>
      <c r="J318" s="178"/>
      <c r="K318" s="178"/>
      <c r="L318" s="178" t="s">
        <v>59</v>
      </c>
      <c r="M318" s="178">
        <v>120</v>
      </c>
      <c r="N318" s="178">
        <v>300</v>
      </c>
      <c r="O318" s="178"/>
      <c r="P318" s="178"/>
      <c r="Q318" s="178"/>
      <c r="R318" s="178" t="s">
        <v>19</v>
      </c>
      <c r="S318" s="181"/>
      <c r="T318" s="181"/>
      <c r="U318" s="182"/>
      <c r="V318" s="182" t="s">
        <v>35</v>
      </c>
      <c r="W318" s="183">
        <v>50</v>
      </c>
      <c r="X318" s="182" t="s">
        <v>51</v>
      </c>
      <c r="Y318" s="184">
        <v>2940</v>
      </c>
      <c r="Z318" s="184">
        <v>2940</v>
      </c>
      <c r="AA318" s="184">
        <v>2940</v>
      </c>
      <c r="AB318" s="184">
        <v>2940</v>
      </c>
      <c r="AC318" s="184">
        <v>2940</v>
      </c>
      <c r="AD318" s="184">
        <v>2940</v>
      </c>
      <c r="AE318" s="184">
        <v>2300</v>
      </c>
      <c r="AF318" s="184">
        <v>2300</v>
      </c>
      <c r="AG318" s="184">
        <v>2300</v>
      </c>
      <c r="AH318" s="184">
        <v>2150</v>
      </c>
      <c r="AI318" s="184">
        <v>2150</v>
      </c>
      <c r="AJ318" s="184">
        <v>2150</v>
      </c>
      <c r="AK318" s="184">
        <v>2210</v>
      </c>
      <c r="AL318" s="184">
        <v>2210</v>
      </c>
      <c r="AM318" s="184">
        <v>2210</v>
      </c>
      <c r="AN318" s="184">
        <v>2340</v>
      </c>
      <c r="AO318" s="184">
        <v>2340</v>
      </c>
      <c r="AP318" s="184">
        <v>2340</v>
      </c>
      <c r="AQ318" s="184">
        <v>2490</v>
      </c>
      <c r="AR318" s="184">
        <v>2490</v>
      </c>
      <c r="AS318" s="184">
        <v>2490</v>
      </c>
      <c r="AT318" s="184">
        <v>2490</v>
      </c>
      <c r="AU318" s="184">
        <v>2490</v>
      </c>
      <c r="AV318" s="184">
        <v>2490</v>
      </c>
      <c r="AW318" s="184">
        <v>2410</v>
      </c>
      <c r="AX318" s="184">
        <v>2410</v>
      </c>
      <c r="AY318" s="184">
        <v>2410</v>
      </c>
      <c r="AZ318" s="184">
        <v>2170</v>
      </c>
      <c r="BA318" s="184">
        <v>2170</v>
      </c>
      <c r="BB318" s="184">
        <v>2300</v>
      </c>
      <c r="BC318" s="184">
        <v>2300</v>
      </c>
      <c r="BD318" s="184">
        <v>2300</v>
      </c>
      <c r="BE318" s="184">
        <v>2300</v>
      </c>
      <c r="BF318" s="184">
        <v>2200</v>
      </c>
      <c r="BG318" s="184">
        <v>2200</v>
      </c>
      <c r="BH318" s="184">
        <v>2200</v>
      </c>
      <c r="BI318" s="184">
        <v>2220</v>
      </c>
      <c r="BJ318" s="184">
        <v>2220</v>
      </c>
      <c r="BK318" s="184">
        <v>2220</v>
      </c>
      <c r="BL318" s="203">
        <v>2320</v>
      </c>
      <c r="BM318" s="203">
        <v>2320</v>
      </c>
      <c r="BN318" s="203">
        <v>2320</v>
      </c>
      <c r="BO318" s="184"/>
      <c r="BP318" s="184"/>
      <c r="BQ318" s="184"/>
      <c r="BR318" s="184"/>
      <c r="BS318" s="184"/>
      <c r="BT318" s="184"/>
      <c r="BU318" s="146" cm="1">
        <f t="array" ref="BU318">LOOKUP(2,1/(Y318:BT318&lt;&gt;""),Y318:BH318)</f>
        <v>2320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46174</v>
      </c>
      <c r="BW318" s="211" cm="1">
        <f t="array" ref="BW318">(LOOKUP(2,1/(BH318:BT318&lt;&gt;""),BH318:BT318))/(INDEX(BH318:BT318,MATCH(TRUE,INDEX((BH318:BT318&lt;&gt;0),0),0)))-1</f>
        <v>5.4545454545454453E-2</v>
      </c>
      <c r="BX318" s="212">
        <f t="shared" si="83"/>
        <v>2.3199999999999998</v>
      </c>
      <c r="BY318" s="212">
        <f t="shared" si="92"/>
        <v>13.688000000000001</v>
      </c>
      <c r="BZ318" s="212">
        <f ca="1">IF(L318="BR",'Impostos e Frete'!$F$6,IF(L318="EU",'Impostos e Frete'!$I$3,IF(L318="CN",'Impostos e Frete'!$I$4,IF(L318="JP",'Impostos e Frete'!$I$5,IF(L318="RU",'Impostos e Frete'!$I$7,"ERRO")))))</f>
        <v>0.14176320000000001</v>
      </c>
      <c r="CA318" s="212">
        <f>VLOOKUP(L318,'Impostos e Frete'!$A$3:$B$7,2,0)*'Preços e Condições'!BY318</f>
        <v>1.7794400000000001</v>
      </c>
      <c r="CB318" s="147">
        <f t="shared" si="84"/>
        <v>0</v>
      </c>
      <c r="CC318" s="147">
        <f>IF(X318="BRL",'Impostos e Frete'!$B$11,'Impostos e Frete'!$B$12)</f>
        <v>9.1999999999999998E-2</v>
      </c>
      <c r="CD318" s="213">
        <f t="shared" ca="1" si="85"/>
        <v>15.7012032</v>
      </c>
      <c r="CE318" s="214">
        <f t="shared" ca="1" si="86"/>
        <v>1.1147854272</v>
      </c>
      <c r="CF318" s="215">
        <f>VLOOKUP(L318,'Impostos e Frete'!$A$3:$C$7,3,0)</f>
        <v>105</v>
      </c>
      <c r="CG318" s="215">
        <f t="shared" si="87"/>
        <v>120</v>
      </c>
      <c r="CH318" s="215">
        <f t="shared" si="88"/>
        <v>15</v>
      </c>
      <c r="CI318" s="216">
        <f t="shared" ca="1" si="89"/>
        <v>-0.11645058038896217</v>
      </c>
      <c r="CJ318" s="217">
        <f t="shared" ca="1" si="90"/>
        <v>15.584752619611038</v>
      </c>
      <c r="CK318" s="218">
        <f t="shared" ca="1" si="91"/>
        <v>1.1065174359923837</v>
      </c>
    </row>
    <row r="319" spans="1:89">
      <c r="A319" s="176">
        <v>17051</v>
      </c>
      <c r="B319" s="177" t="s">
        <v>52</v>
      </c>
      <c r="C319" s="178">
        <v>71</v>
      </c>
      <c r="D319" s="178">
        <v>1870</v>
      </c>
      <c r="E319" s="178" t="s">
        <v>50</v>
      </c>
      <c r="F319" s="179" t="s">
        <v>47</v>
      </c>
      <c r="G319" s="185" t="s">
        <v>92</v>
      </c>
      <c r="H319" s="178" t="s">
        <v>42</v>
      </c>
      <c r="I319" s="178" t="s">
        <v>40</v>
      </c>
      <c r="J319" s="178"/>
      <c r="K319" s="178"/>
      <c r="L319" s="178" t="s">
        <v>59</v>
      </c>
      <c r="M319" s="178">
        <v>120</v>
      </c>
      <c r="N319" s="178">
        <v>300</v>
      </c>
      <c r="O319" s="178"/>
      <c r="P319" s="178"/>
      <c r="Q319" s="178"/>
      <c r="R319" s="178" t="s">
        <v>19</v>
      </c>
      <c r="S319" s="181"/>
      <c r="T319" s="181"/>
      <c r="U319" s="182"/>
      <c r="V319" s="182" t="s">
        <v>35</v>
      </c>
      <c r="W319" s="183">
        <v>30</v>
      </c>
      <c r="X319" s="182" t="s">
        <v>51</v>
      </c>
      <c r="Y319" s="184">
        <v>2990</v>
      </c>
      <c r="Z319" s="184">
        <v>2990</v>
      </c>
      <c r="AA319" s="184">
        <v>2990</v>
      </c>
      <c r="AB319" s="184">
        <v>2990</v>
      </c>
      <c r="AC319" s="184">
        <v>2990</v>
      </c>
      <c r="AD319" s="184">
        <v>2990</v>
      </c>
      <c r="AE319" s="184">
        <v>2350</v>
      </c>
      <c r="AF319" s="184">
        <v>2350</v>
      </c>
      <c r="AG319" s="184">
        <v>2350</v>
      </c>
      <c r="AH319" s="184">
        <v>2200</v>
      </c>
      <c r="AI319" s="184">
        <v>2200</v>
      </c>
      <c r="AJ319" s="184">
        <v>2200</v>
      </c>
      <c r="AK319" s="146">
        <f>AK318+50</f>
        <v>2260</v>
      </c>
      <c r="AL319" s="146">
        <f>AL318+50</f>
        <v>2260</v>
      </c>
      <c r="AM319" s="146">
        <f>AM318+50</f>
        <v>2260</v>
      </c>
      <c r="AN319" s="184">
        <v>2390</v>
      </c>
      <c r="AO319" s="184">
        <v>2390</v>
      </c>
      <c r="AP319" s="184">
        <v>2390</v>
      </c>
      <c r="AQ319" s="184">
        <v>2540</v>
      </c>
      <c r="AR319" s="184">
        <v>2540</v>
      </c>
      <c r="AS319" s="184">
        <v>2540</v>
      </c>
      <c r="AT319" s="184">
        <v>2540</v>
      </c>
      <c r="AU319" s="184">
        <v>2540</v>
      </c>
      <c r="AV319" s="184">
        <v>2540</v>
      </c>
      <c r="AW319" s="184">
        <v>2460</v>
      </c>
      <c r="AX319" s="184">
        <v>2460</v>
      </c>
      <c r="AY319" s="184">
        <v>2460</v>
      </c>
      <c r="AZ319" s="184">
        <v>2220</v>
      </c>
      <c r="BA319" s="184">
        <v>2220</v>
      </c>
      <c r="BB319" s="184">
        <v>2350</v>
      </c>
      <c r="BC319" s="184">
        <v>2350</v>
      </c>
      <c r="BD319" s="184">
        <v>2350</v>
      </c>
      <c r="BE319" s="184">
        <v>2350</v>
      </c>
      <c r="BF319" s="184">
        <v>2250</v>
      </c>
      <c r="BG319" s="184">
        <v>2250</v>
      </c>
      <c r="BH319" s="184">
        <v>2250</v>
      </c>
      <c r="BI319" s="184">
        <v>2270</v>
      </c>
      <c r="BJ319" s="184">
        <v>2270</v>
      </c>
      <c r="BK319" s="184">
        <v>2270</v>
      </c>
      <c r="BL319" s="203">
        <v>2370</v>
      </c>
      <c r="BM319" s="203">
        <v>2370</v>
      </c>
      <c r="BN319" s="203">
        <v>2370</v>
      </c>
      <c r="BO319" s="184"/>
      <c r="BP319" s="184"/>
      <c r="BQ319" s="184"/>
      <c r="BR319" s="184"/>
      <c r="BS319" s="184"/>
      <c r="BT319" s="184"/>
      <c r="BU319" s="146" cm="1">
        <f t="array" ref="BU319">LOOKUP(2,1/(Y319:BT319&lt;&gt;""),Y319:BH319)</f>
        <v>2370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46174</v>
      </c>
      <c r="BW319" s="211" cm="1">
        <f t="array" ref="BW319">(LOOKUP(2,1/(BH319:BT319&lt;&gt;""),BH319:BT319))/(INDEX(BH319:BT319,MATCH(TRUE,INDEX((BH319:BT319&lt;&gt;0),0),0)))-1</f>
        <v>5.3333333333333233E-2</v>
      </c>
      <c r="BX319" s="212">
        <f t="shared" si="83"/>
        <v>2.37</v>
      </c>
      <c r="BY319" s="212">
        <f t="shared" si="92"/>
        <v>13.983000000000002</v>
      </c>
      <c r="BZ319" s="212">
        <f ca="1">IF(L319="BR",'Impostos e Frete'!$F$6,IF(L319="EU",'Impostos e Frete'!$I$3,IF(L319="CN",'Impostos e Frete'!$I$4,IF(L319="JP",'Impostos e Frete'!$I$5,IF(L319="RU",'Impostos e Frete'!$I$7,"ERRO")))))</f>
        <v>0.14176320000000001</v>
      </c>
      <c r="CA319" s="212">
        <f>VLOOKUP(L319,'Impostos e Frete'!$A$3:$B$7,2,0)*'Preços e Condições'!BY319</f>
        <v>1.8177900000000005</v>
      </c>
      <c r="CB319" s="147">
        <f t="shared" si="84"/>
        <v>0</v>
      </c>
      <c r="CC319" s="147">
        <f>IF(X319="BRL",'Impostos e Frete'!$B$11,'Impostos e Frete'!$B$12)</f>
        <v>9.1999999999999998E-2</v>
      </c>
      <c r="CD319" s="213">
        <f t="shared" ca="1" si="85"/>
        <v>16.034553200000001</v>
      </c>
      <c r="CE319" s="214">
        <f t="shared" ca="1" si="86"/>
        <v>1.1384532772000002</v>
      </c>
      <c r="CF319" s="215">
        <f>VLOOKUP(L319,'Impostos e Frete'!$A$3:$C$7,3,0)</f>
        <v>105</v>
      </c>
      <c r="CG319" s="215">
        <f t="shared" si="87"/>
        <v>120</v>
      </c>
      <c r="CH319" s="215">
        <f t="shared" si="88"/>
        <v>15</v>
      </c>
      <c r="CI319" s="216">
        <f t="shared" ca="1" si="89"/>
        <v>-0.11892292600975196</v>
      </c>
      <c r="CJ319" s="217">
        <f t="shared" ca="1" si="90"/>
        <v>15.915630273990249</v>
      </c>
      <c r="CK319" s="218">
        <f t="shared" ca="1" si="91"/>
        <v>1.1300097494533079</v>
      </c>
    </row>
    <row r="320" spans="1:89">
      <c r="A320" s="176">
        <v>17051</v>
      </c>
      <c r="B320" s="177" t="s">
        <v>52</v>
      </c>
      <c r="C320" s="178">
        <v>71</v>
      </c>
      <c r="D320" s="178">
        <v>1870</v>
      </c>
      <c r="E320" s="178" t="s">
        <v>50</v>
      </c>
      <c r="F320" s="179" t="s">
        <v>47</v>
      </c>
      <c r="G320" s="185" t="s">
        <v>92</v>
      </c>
      <c r="H320" s="178" t="s">
        <v>42</v>
      </c>
      <c r="I320" s="178" t="s">
        <v>40</v>
      </c>
      <c r="J320" s="178"/>
      <c r="K320" s="178"/>
      <c r="L320" s="178" t="s">
        <v>59</v>
      </c>
      <c r="M320" s="178">
        <v>120</v>
      </c>
      <c r="N320" s="178">
        <v>300</v>
      </c>
      <c r="O320" s="178"/>
      <c r="P320" s="178"/>
      <c r="Q320" s="178"/>
      <c r="R320" s="178" t="s">
        <v>19</v>
      </c>
      <c r="S320" s="181"/>
      <c r="T320" s="181"/>
      <c r="U320" s="182"/>
      <c r="V320" s="182" t="s">
        <v>35</v>
      </c>
      <c r="W320" s="183">
        <v>20</v>
      </c>
      <c r="X320" s="182" t="s">
        <v>51</v>
      </c>
      <c r="Y320" s="184">
        <v>3040</v>
      </c>
      <c r="Z320" s="184">
        <v>3040</v>
      </c>
      <c r="AA320" s="184">
        <v>3040</v>
      </c>
      <c r="AB320" s="184">
        <v>3040</v>
      </c>
      <c r="AC320" s="184">
        <v>3040</v>
      </c>
      <c r="AD320" s="184">
        <v>3040</v>
      </c>
      <c r="AE320" s="184">
        <v>2400</v>
      </c>
      <c r="AF320" s="184">
        <v>2400</v>
      </c>
      <c r="AG320" s="184">
        <v>2400</v>
      </c>
      <c r="AH320" s="184">
        <v>2250</v>
      </c>
      <c r="AI320" s="184">
        <v>2250</v>
      </c>
      <c r="AJ320" s="184">
        <v>2250</v>
      </c>
      <c r="AK320" s="146">
        <f>AK318+100</f>
        <v>2310</v>
      </c>
      <c r="AL320" s="146">
        <f>AL318+100</f>
        <v>2310</v>
      </c>
      <c r="AM320" s="146">
        <f>AM318+100</f>
        <v>2310</v>
      </c>
      <c r="AN320" s="184">
        <v>2440</v>
      </c>
      <c r="AO320" s="184">
        <v>2440</v>
      </c>
      <c r="AP320" s="184">
        <v>2440</v>
      </c>
      <c r="AQ320" s="184">
        <v>2590</v>
      </c>
      <c r="AR320" s="184">
        <v>2590</v>
      </c>
      <c r="AS320" s="184">
        <v>2590</v>
      </c>
      <c r="AT320" s="184">
        <v>2590</v>
      </c>
      <c r="AU320" s="184">
        <v>2590</v>
      </c>
      <c r="AV320" s="184">
        <v>2590</v>
      </c>
      <c r="AW320" s="184">
        <v>2510</v>
      </c>
      <c r="AX320" s="184">
        <v>2510</v>
      </c>
      <c r="AY320" s="184">
        <v>2510</v>
      </c>
      <c r="AZ320" s="184">
        <v>2270</v>
      </c>
      <c r="BA320" s="184">
        <v>2270</v>
      </c>
      <c r="BB320" s="184">
        <v>2400</v>
      </c>
      <c r="BC320" s="184">
        <v>2400</v>
      </c>
      <c r="BD320" s="184">
        <v>2400</v>
      </c>
      <c r="BE320" s="184">
        <v>2400</v>
      </c>
      <c r="BF320" s="184">
        <v>2300</v>
      </c>
      <c r="BG320" s="184">
        <v>2300</v>
      </c>
      <c r="BH320" s="184">
        <v>2300</v>
      </c>
      <c r="BI320" s="184">
        <v>2320</v>
      </c>
      <c r="BJ320" s="184">
        <v>2320</v>
      </c>
      <c r="BK320" s="184">
        <v>2320</v>
      </c>
      <c r="BL320" s="203">
        <v>2420</v>
      </c>
      <c r="BM320" s="203">
        <v>2420</v>
      </c>
      <c r="BN320" s="203">
        <v>2420</v>
      </c>
      <c r="BO320" s="184"/>
      <c r="BP320" s="184"/>
      <c r="BQ320" s="184"/>
      <c r="BR320" s="184"/>
      <c r="BS320" s="184"/>
      <c r="BT320" s="184"/>
      <c r="BU320" s="146" cm="1">
        <f t="array" ref="BU320">LOOKUP(2,1/(Y320:BT320&lt;&gt;""),Y320:BH320)</f>
        <v>2420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46174</v>
      </c>
      <c r="BW320" s="211" cm="1">
        <f t="array" ref="BW320">(LOOKUP(2,1/(BH320:BT320&lt;&gt;""),BH320:BT320))/(INDEX(BH320:BT320,MATCH(TRUE,INDEX((BH320:BT320&lt;&gt;0),0),0)))-1</f>
        <v>5.2173913043478182E-2</v>
      </c>
      <c r="BX320" s="212">
        <f t="shared" ref="BX320:BX384" si="93">BU320/1000</f>
        <v>2.42</v>
      </c>
      <c r="BY320" s="212">
        <f t="shared" si="92"/>
        <v>14.278</v>
      </c>
      <c r="BZ320" s="212">
        <f ca="1">IF(L320="BR",'Impostos e Frete'!$F$6,IF(L320="EU",'Impostos e Frete'!$I$3,IF(L320="CN",'Impostos e Frete'!$I$4,IF(L320="JP",'Impostos e Frete'!$I$5,IF(L320="RU",'Impostos e Frete'!$I$7,"ERRO")))))</f>
        <v>0.14176320000000001</v>
      </c>
      <c r="CA320" s="212">
        <f>VLOOKUP(L320,'Impostos e Frete'!$A$3:$B$7,2,0)*'Preços e Condições'!BY320</f>
        <v>1.8561400000000001</v>
      </c>
      <c r="CB320" s="147">
        <f t="shared" ref="CB320:CB384" si="94">IF(R320="CFR",$CB$2,IF(R320="FOB",0,IF(R320="EXW",$CB$1,"ERRO")))</f>
        <v>0</v>
      </c>
      <c r="CC320" s="147">
        <f>IF(X320="BRL",'Impostos e Frete'!$B$11,'Impostos e Frete'!$B$12)</f>
        <v>9.1999999999999998E-2</v>
      </c>
      <c r="CD320" s="213">
        <f t="shared" ref="CD320:CD384" ca="1" si="95">SUM(BY320:CC320)</f>
        <v>16.367903200000001</v>
      </c>
      <c r="CE320" s="214">
        <f t="shared" ref="CE320:CE384" ca="1" si="96">IF(C320="","erro",(CD320/1000)*C320)</f>
        <v>1.1621211272000003</v>
      </c>
      <c r="CF320" s="215">
        <f>VLOOKUP(L320,'Impostos e Frete'!$A$3:$C$7,3,0)</f>
        <v>105</v>
      </c>
      <c r="CG320" s="215">
        <f t="shared" ref="CG320:CG384" si="97">M320</f>
        <v>120</v>
      </c>
      <c r="CH320" s="215">
        <f t="shared" ref="CH320:CH384" si="98">CG320-CF320</f>
        <v>15</v>
      </c>
      <c r="CI320" s="216">
        <f t="shared" ref="CI320:CI384" ca="1" si="99">CD320*(1+VALUE($CI$2))^((CH320*-1)/30)-CD320</f>
        <v>-0.12139527163054353</v>
      </c>
      <c r="CJ320" s="217">
        <f t="shared" ref="CJ320:CJ384" ca="1" si="100">CD320+CI320</f>
        <v>16.246507928369457</v>
      </c>
      <c r="CK320" s="218">
        <f t="shared" ref="CK320:CK384" ca="1" si="101">IF(C320="","erro",(CJ320/1000)*C320)</f>
        <v>1.1535020629142316</v>
      </c>
    </row>
    <row r="321" spans="1:89">
      <c r="A321" s="176">
        <v>17051</v>
      </c>
      <c r="B321" s="177" t="s">
        <v>52</v>
      </c>
      <c r="C321" s="178">
        <v>71</v>
      </c>
      <c r="D321" s="178">
        <v>1870</v>
      </c>
      <c r="E321" s="178" t="s">
        <v>50</v>
      </c>
      <c r="F321" s="179" t="s">
        <v>47</v>
      </c>
      <c r="G321" s="185" t="s">
        <v>92</v>
      </c>
      <c r="H321" s="178" t="s">
        <v>42</v>
      </c>
      <c r="I321" s="178" t="s">
        <v>40</v>
      </c>
      <c r="J321" s="178"/>
      <c r="K321" s="178"/>
      <c r="L321" s="178" t="s">
        <v>59</v>
      </c>
      <c r="M321" s="178">
        <v>120</v>
      </c>
      <c r="N321" s="178">
        <v>300</v>
      </c>
      <c r="O321" s="178"/>
      <c r="P321" s="178"/>
      <c r="Q321" s="178"/>
      <c r="R321" s="178" t="s">
        <v>19</v>
      </c>
      <c r="S321" s="181"/>
      <c r="T321" s="181"/>
      <c r="U321" s="182"/>
      <c r="V321" s="182" t="s">
        <v>35</v>
      </c>
      <c r="W321" s="183">
        <v>10</v>
      </c>
      <c r="X321" s="182" t="s">
        <v>51</v>
      </c>
      <c r="Y321" s="184">
        <v>3120</v>
      </c>
      <c r="Z321" s="184">
        <v>3120</v>
      </c>
      <c r="AA321" s="184">
        <v>3120</v>
      </c>
      <c r="AB321" s="184">
        <v>3120</v>
      </c>
      <c r="AC321" s="184">
        <v>3120</v>
      </c>
      <c r="AD321" s="184">
        <v>3120</v>
      </c>
      <c r="AE321" s="184">
        <v>2480</v>
      </c>
      <c r="AF321" s="184">
        <v>2480</v>
      </c>
      <c r="AG321" s="184">
        <v>2480</v>
      </c>
      <c r="AH321" s="184">
        <v>2330</v>
      </c>
      <c r="AI321" s="184">
        <v>2330</v>
      </c>
      <c r="AJ321" s="184">
        <v>2330</v>
      </c>
      <c r="AK321" s="146">
        <f>AK318+180</f>
        <v>2390</v>
      </c>
      <c r="AL321" s="146">
        <f>AL318+180</f>
        <v>2390</v>
      </c>
      <c r="AM321" s="146">
        <f>AM318+180</f>
        <v>2390</v>
      </c>
      <c r="AN321" s="184">
        <v>2520</v>
      </c>
      <c r="AO321" s="184">
        <v>2520</v>
      </c>
      <c r="AP321" s="184">
        <v>2520</v>
      </c>
      <c r="AQ321" s="184">
        <v>2670</v>
      </c>
      <c r="AR321" s="184">
        <v>2670</v>
      </c>
      <c r="AS321" s="184">
        <v>2670</v>
      </c>
      <c r="AT321" s="184">
        <v>2670</v>
      </c>
      <c r="AU321" s="184">
        <v>2670</v>
      </c>
      <c r="AV321" s="184">
        <v>2670</v>
      </c>
      <c r="AW321" s="184">
        <v>2590</v>
      </c>
      <c r="AX321" s="184">
        <v>2590</v>
      </c>
      <c r="AY321" s="184">
        <v>2590</v>
      </c>
      <c r="AZ321" s="184">
        <v>2350</v>
      </c>
      <c r="BA321" s="184">
        <v>2350</v>
      </c>
      <c r="BB321" s="184">
        <v>2480</v>
      </c>
      <c r="BC321" s="184">
        <v>2480</v>
      </c>
      <c r="BD321" s="184">
        <v>2480</v>
      </c>
      <c r="BE321" s="184">
        <v>2480</v>
      </c>
      <c r="BF321" s="184">
        <v>2380</v>
      </c>
      <c r="BG321" s="184">
        <v>2380</v>
      </c>
      <c r="BH321" s="184">
        <v>2380</v>
      </c>
      <c r="BI321" s="184">
        <v>2400</v>
      </c>
      <c r="BJ321" s="184">
        <v>2400</v>
      </c>
      <c r="BK321" s="184">
        <v>2400</v>
      </c>
      <c r="BL321" s="203">
        <v>2500</v>
      </c>
      <c r="BM321" s="203">
        <v>2500</v>
      </c>
      <c r="BN321" s="203">
        <v>2500</v>
      </c>
      <c r="BO321" s="184"/>
      <c r="BP321" s="184"/>
      <c r="BQ321" s="184"/>
      <c r="BR321" s="184"/>
      <c r="BS321" s="184"/>
      <c r="BT321" s="184"/>
      <c r="BU321" s="146" cm="1">
        <f t="array" ref="BU321">LOOKUP(2,1/(Y321:BT321&lt;&gt;""),Y321:BH321)</f>
        <v>2500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46174</v>
      </c>
      <c r="BW321" s="211" cm="1">
        <f t="array" ref="BW321">(LOOKUP(2,1/(BH321:BT321&lt;&gt;""),BH321:BT321))/(INDEX(BH321:BT321,MATCH(TRUE,INDEX((BH321:BT321&lt;&gt;0),0),0)))-1</f>
        <v>5.0420168067226934E-2</v>
      </c>
      <c r="BX321" s="212">
        <f t="shared" si="93"/>
        <v>2.5</v>
      </c>
      <c r="BY321" s="212">
        <f t="shared" si="92"/>
        <v>14.75</v>
      </c>
      <c r="BZ321" s="212">
        <f ca="1">IF(L321="BR",'Impostos e Frete'!$F$6,IF(L321="EU",'Impostos e Frete'!$I$3,IF(L321="CN",'Impostos e Frete'!$I$4,IF(L321="JP",'Impostos e Frete'!$I$5,IF(L321="RU",'Impostos e Frete'!$I$7,"ERRO")))))</f>
        <v>0.14176320000000001</v>
      </c>
      <c r="CA321" s="212">
        <f>VLOOKUP(L321,'Impostos e Frete'!$A$3:$B$7,2,0)*'Preços e Condições'!BY321</f>
        <v>1.9175</v>
      </c>
      <c r="CB321" s="147">
        <f t="shared" si="94"/>
        <v>0</v>
      </c>
      <c r="CC321" s="147">
        <f>IF(X321="BRL",'Impostos e Frete'!$B$11,'Impostos e Frete'!$B$12)</f>
        <v>9.1999999999999998E-2</v>
      </c>
      <c r="CD321" s="213">
        <f t="shared" ca="1" si="95"/>
        <v>16.901263199999999</v>
      </c>
      <c r="CE321" s="214">
        <f t="shared" ca="1" si="96"/>
        <v>1.1999896872</v>
      </c>
      <c r="CF321" s="215">
        <f>VLOOKUP(L321,'Impostos e Frete'!$A$3:$C$7,3,0)</f>
        <v>105</v>
      </c>
      <c r="CG321" s="215">
        <f t="shared" si="97"/>
        <v>120</v>
      </c>
      <c r="CH321" s="215">
        <f t="shared" si="98"/>
        <v>15</v>
      </c>
      <c r="CI321" s="216">
        <f t="shared" ca="1" si="99"/>
        <v>-0.12535102462380721</v>
      </c>
      <c r="CJ321" s="217">
        <f t="shared" ca="1" si="100"/>
        <v>16.775912175376192</v>
      </c>
      <c r="CK321" s="218">
        <f t="shared" ca="1" si="101"/>
        <v>1.1910897644517098</v>
      </c>
    </row>
    <row r="322" spans="1:89">
      <c r="A322" s="176">
        <v>17054</v>
      </c>
      <c r="B322" s="177" t="s">
        <v>52</v>
      </c>
      <c r="C322" s="178">
        <v>71</v>
      </c>
      <c r="D322" s="178">
        <v>2070</v>
      </c>
      <c r="E322" s="178" t="s">
        <v>50</v>
      </c>
      <c r="F322" s="179" t="s">
        <v>47</v>
      </c>
      <c r="G322" s="185" t="s">
        <v>92</v>
      </c>
      <c r="H322" s="178" t="s">
        <v>42</v>
      </c>
      <c r="I322" s="178" t="s">
        <v>40</v>
      </c>
      <c r="J322" s="178"/>
      <c r="K322" s="178"/>
      <c r="L322" s="178" t="s">
        <v>59</v>
      </c>
      <c r="M322" s="178">
        <v>120</v>
      </c>
      <c r="N322" s="178">
        <v>300</v>
      </c>
      <c r="O322" s="178"/>
      <c r="P322" s="178"/>
      <c r="Q322" s="178"/>
      <c r="R322" s="178" t="s">
        <v>19</v>
      </c>
      <c r="S322" s="181"/>
      <c r="T322" s="181"/>
      <c r="U322" s="182"/>
      <c r="V322" s="182" t="s">
        <v>35</v>
      </c>
      <c r="W322" s="183">
        <v>50</v>
      </c>
      <c r="X322" s="182" t="s">
        <v>51</v>
      </c>
      <c r="Y322" s="184">
        <v>2940</v>
      </c>
      <c r="Z322" s="184">
        <v>2940</v>
      </c>
      <c r="AA322" s="184">
        <v>2940</v>
      </c>
      <c r="AB322" s="184">
        <v>2940</v>
      </c>
      <c r="AC322" s="184">
        <v>2940</v>
      </c>
      <c r="AD322" s="184">
        <v>2940</v>
      </c>
      <c r="AE322" s="184">
        <v>2300</v>
      </c>
      <c r="AF322" s="184">
        <v>2300</v>
      </c>
      <c r="AG322" s="184">
        <v>2300</v>
      </c>
      <c r="AH322" s="184">
        <v>2150</v>
      </c>
      <c r="AI322" s="184">
        <v>2150</v>
      </c>
      <c r="AJ322" s="184">
        <v>2150</v>
      </c>
      <c r="AK322" s="184">
        <v>2210</v>
      </c>
      <c r="AL322" s="184">
        <v>2210</v>
      </c>
      <c r="AM322" s="184">
        <v>2210</v>
      </c>
      <c r="AN322" s="184">
        <v>2340</v>
      </c>
      <c r="AO322" s="184">
        <v>2340</v>
      </c>
      <c r="AP322" s="184">
        <v>2340</v>
      </c>
      <c r="AQ322" s="184">
        <v>2490</v>
      </c>
      <c r="AR322" s="184">
        <v>2490</v>
      </c>
      <c r="AS322" s="184">
        <v>2490</v>
      </c>
      <c r="AT322" s="184">
        <v>2490</v>
      </c>
      <c r="AU322" s="184">
        <v>2490</v>
      </c>
      <c r="AV322" s="184">
        <v>2490</v>
      </c>
      <c r="AW322" s="184">
        <v>2410</v>
      </c>
      <c r="AX322" s="184">
        <v>2410</v>
      </c>
      <c r="AY322" s="184">
        <v>2410</v>
      </c>
      <c r="AZ322" s="184">
        <v>2170</v>
      </c>
      <c r="BA322" s="184">
        <v>2170</v>
      </c>
      <c r="BB322" s="184">
        <v>2300</v>
      </c>
      <c r="BC322" s="184">
        <v>2300</v>
      </c>
      <c r="BD322" s="184">
        <v>2300</v>
      </c>
      <c r="BE322" s="184">
        <v>2300</v>
      </c>
      <c r="BF322" s="184">
        <v>2200</v>
      </c>
      <c r="BG322" s="184">
        <v>2200</v>
      </c>
      <c r="BH322" s="184">
        <v>2200</v>
      </c>
      <c r="BI322" s="184">
        <v>2220</v>
      </c>
      <c r="BJ322" s="184">
        <v>2220</v>
      </c>
      <c r="BK322" s="184">
        <v>2220</v>
      </c>
      <c r="BL322" s="203">
        <v>2320</v>
      </c>
      <c r="BM322" s="203">
        <v>2320</v>
      </c>
      <c r="BN322" s="203">
        <v>2320</v>
      </c>
      <c r="BO322" s="184"/>
      <c r="BP322" s="184"/>
      <c r="BQ322" s="184"/>
      <c r="BR322" s="184"/>
      <c r="BS322" s="184"/>
      <c r="BT322" s="184"/>
      <c r="BU322" s="146" cm="1">
        <f t="array" ref="BU322">LOOKUP(2,1/(Y322:BT322&lt;&gt;""),Y322:BH322)</f>
        <v>2320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46174</v>
      </c>
      <c r="BW322" s="211" cm="1">
        <f t="array" ref="BW322">(LOOKUP(2,1/(BH322:BT322&lt;&gt;""),BH322:BT322))/(INDEX(BH322:BT322,MATCH(TRUE,INDEX((BH322:BT322&lt;&gt;0),0),0)))-1</f>
        <v>5.4545454545454453E-2</v>
      </c>
      <c r="BX322" s="212">
        <f t="shared" si="93"/>
        <v>2.3199999999999998</v>
      </c>
      <c r="BY322" s="212">
        <f t="shared" si="92"/>
        <v>13.688000000000001</v>
      </c>
      <c r="BZ322" s="212">
        <f ca="1">IF(L322="BR",'Impostos e Frete'!$F$6,IF(L322="EU",'Impostos e Frete'!$I$3,IF(L322="CN",'Impostos e Frete'!$I$4,IF(L322="JP",'Impostos e Frete'!$I$5,IF(L322="RU",'Impostos e Frete'!$I$7,"ERRO")))))</f>
        <v>0.14176320000000001</v>
      </c>
      <c r="CA322" s="212">
        <f>VLOOKUP(L322,'Impostos e Frete'!$A$3:$B$7,2,0)*'Preços e Condições'!BY322</f>
        <v>1.7794400000000001</v>
      </c>
      <c r="CB322" s="147">
        <f t="shared" si="94"/>
        <v>0</v>
      </c>
      <c r="CC322" s="147">
        <f>IF(X322="BRL",'Impostos e Frete'!$B$11,'Impostos e Frete'!$B$12)</f>
        <v>9.1999999999999998E-2</v>
      </c>
      <c r="CD322" s="213">
        <f t="shared" ca="1" si="95"/>
        <v>15.7012032</v>
      </c>
      <c r="CE322" s="214">
        <f t="shared" ca="1" si="96"/>
        <v>1.1147854272</v>
      </c>
      <c r="CF322" s="215">
        <f>VLOOKUP(L322,'Impostos e Frete'!$A$3:$C$7,3,0)</f>
        <v>105</v>
      </c>
      <c r="CG322" s="215">
        <f t="shared" si="97"/>
        <v>120</v>
      </c>
      <c r="CH322" s="215">
        <f t="shared" si="98"/>
        <v>15</v>
      </c>
      <c r="CI322" s="216">
        <f t="shared" ca="1" si="99"/>
        <v>-0.11645058038896217</v>
      </c>
      <c r="CJ322" s="217">
        <f t="shared" ca="1" si="100"/>
        <v>15.584752619611038</v>
      </c>
      <c r="CK322" s="218">
        <f t="shared" ca="1" si="101"/>
        <v>1.1065174359923837</v>
      </c>
    </row>
    <row r="323" spans="1:89">
      <c r="A323" s="176">
        <v>17054</v>
      </c>
      <c r="B323" s="177" t="s">
        <v>52</v>
      </c>
      <c r="C323" s="178">
        <v>71</v>
      </c>
      <c r="D323" s="178">
        <v>2070</v>
      </c>
      <c r="E323" s="178" t="s">
        <v>50</v>
      </c>
      <c r="F323" s="179" t="s">
        <v>47</v>
      </c>
      <c r="G323" s="185" t="s">
        <v>92</v>
      </c>
      <c r="H323" s="178" t="s">
        <v>42</v>
      </c>
      <c r="I323" s="178" t="s">
        <v>40</v>
      </c>
      <c r="J323" s="178"/>
      <c r="K323" s="178"/>
      <c r="L323" s="178" t="s">
        <v>59</v>
      </c>
      <c r="M323" s="178">
        <v>120</v>
      </c>
      <c r="N323" s="178">
        <v>300</v>
      </c>
      <c r="O323" s="178"/>
      <c r="P323" s="178"/>
      <c r="Q323" s="178"/>
      <c r="R323" s="178" t="s">
        <v>19</v>
      </c>
      <c r="S323" s="181"/>
      <c r="T323" s="181"/>
      <c r="U323" s="182"/>
      <c r="V323" s="182" t="s">
        <v>35</v>
      </c>
      <c r="W323" s="183">
        <v>30</v>
      </c>
      <c r="X323" s="182" t="s">
        <v>51</v>
      </c>
      <c r="Y323" s="184">
        <v>2990</v>
      </c>
      <c r="Z323" s="184">
        <v>2990</v>
      </c>
      <c r="AA323" s="184">
        <v>2990</v>
      </c>
      <c r="AB323" s="184">
        <v>2990</v>
      </c>
      <c r="AC323" s="184">
        <v>2990</v>
      </c>
      <c r="AD323" s="184">
        <v>2990</v>
      </c>
      <c r="AE323" s="184">
        <v>2350</v>
      </c>
      <c r="AF323" s="184">
        <v>2350</v>
      </c>
      <c r="AG323" s="184">
        <v>2350</v>
      </c>
      <c r="AH323" s="184">
        <v>2200</v>
      </c>
      <c r="AI323" s="184">
        <v>2200</v>
      </c>
      <c r="AJ323" s="184">
        <v>2200</v>
      </c>
      <c r="AK323" s="146">
        <f>AK322+50</f>
        <v>2260</v>
      </c>
      <c r="AL323" s="146">
        <f>AL322+50</f>
        <v>2260</v>
      </c>
      <c r="AM323" s="146">
        <f>AM322+50</f>
        <v>2260</v>
      </c>
      <c r="AN323" s="184">
        <v>2390</v>
      </c>
      <c r="AO323" s="184">
        <v>2390</v>
      </c>
      <c r="AP323" s="184">
        <v>2390</v>
      </c>
      <c r="AQ323" s="184">
        <v>2540</v>
      </c>
      <c r="AR323" s="184">
        <v>2540</v>
      </c>
      <c r="AS323" s="184">
        <v>2540</v>
      </c>
      <c r="AT323" s="184">
        <v>2540</v>
      </c>
      <c r="AU323" s="184">
        <v>2540</v>
      </c>
      <c r="AV323" s="184">
        <v>2540</v>
      </c>
      <c r="AW323" s="184">
        <v>2460</v>
      </c>
      <c r="AX323" s="184">
        <v>2460</v>
      </c>
      <c r="AY323" s="184">
        <v>2460</v>
      </c>
      <c r="AZ323" s="184">
        <v>2220</v>
      </c>
      <c r="BA323" s="184">
        <v>2220</v>
      </c>
      <c r="BB323" s="184">
        <v>2350</v>
      </c>
      <c r="BC323" s="184">
        <v>2350</v>
      </c>
      <c r="BD323" s="184">
        <v>2350</v>
      </c>
      <c r="BE323" s="184">
        <v>2350</v>
      </c>
      <c r="BF323" s="184">
        <v>2250</v>
      </c>
      <c r="BG323" s="184">
        <v>2250</v>
      </c>
      <c r="BH323" s="184">
        <v>2250</v>
      </c>
      <c r="BI323" s="184">
        <v>2270</v>
      </c>
      <c r="BJ323" s="184">
        <v>2270</v>
      </c>
      <c r="BK323" s="184">
        <v>2270</v>
      </c>
      <c r="BL323" s="203">
        <v>2370</v>
      </c>
      <c r="BM323" s="203">
        <v>2370</v>
      </c>
      <c r="BN323" s="203">
        <v>2370</v>
      </c>
      <c r="BO323" s="184"/>
      <c r="BP323" s="184"/>
      <c r="BQ323" s="184"/>
      <c r="BR323" s="184"/>
      <c r="BS323" s="184"/>
      <c r="BT323" s="184"/>
      <c r="BU323" s="146" cm="1">
        <f t="array" ref="BU323">LOOKUP(2,1/(Y323:BT323&lt;&gt;""),Y323:BH323)</f>
        <v>2370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46174</v>
      </c>
      <c r="BW323" s="211" cm="1">
        <f t="array" ref="BW323">(LOOKUP(2,1/(BH323:BT323&lt;&gt;""),BH323:BT323))/(INDEX(BH323:BT323,MATCH(TRUE,INDEX((BH323:BT323&lt;&gt;0),0),0)))-1</f>
        <v>5.3333333333333233E-2</v>
      </c>
      <c r="BX323" s="212">
        <f t="shared" si="93"/>
        <v>2.37</v>
      </c>
      <c r="BY323" s="212">
        <f t="shared" si="92"/>
        <v>13.983000000000002</v>
      </c>
      <c r="BZ323" s="212">
        <f ca="1">IF(L323="BR",'Impostos e Frete'!$F$6,IF(L323="EU",'Impostos e Frete'!$I$3,IF(L323="CN",'Impostos e Frete'!$I$4,IF(L323="JP",'Impostos e Frete'!$I$5,IF(L323="RU",'Impostos e Frete'!$I$7,"ERRO")))))</f>
        <v>0.14176320000000001</v>
      </c>
      <c r="CA323" s="212">
        <f>VLOOKUP(L323,'Impostos e Frete'!$A$3:$B$7,2,0)*'Preços e Condições'!BY323</f>
        <v>1.8177900000000005</v>
      </c>
      <c r="CB323" s="147">
        <f t="shared" si="94"/>
        <v>0</v>
      </c>
      <c r="CC323" s="147">
        <f>IF(X323="BRL",'Impostos e Frete'!$B$11,'Impostos e Frete'!$B$12)</f>
        <v>9.1999999999999998E-2</v>
      </c>
      <c r="CD323" s="213">
        <f t="shared" ca="1" si="95"/>
        <v>16.034553200000001</v>
      </c>
      <c r="CE323" s="214">
        <f t="shared" ca="1" si="96"/>
        <v>1.1384532772000002</v>
      </c>
      <c r="CF323" s="215">
        <f>VLOOKUP(L323,'Impostos e Frete'!$A$3:$C$7,3,0)</f>
        <v>105</v>
      </c>
      <c r="CG323" s="215">
        <f t="shared" si="97"/>
        <v>120</v>
      </c>
      <c r="CH323" s="215">
        <f t="shared" si="98"/>
        <v>15</v>
      </c>
      <c r="CI323" s="216">
        <f t="shared" ca="1" si="99"/>
        <v>-0.11892292600975196</v>
      </c>
      <c r="CJ323" s="217">
        <f t="shared" ca="1" si="100"/>
        <v>15.915630273990249</v>
      </c>
      <c r="CK323" s="218">
        <f t="shared" ca="1" si="101"/>
        <v>1.1300097494533079</v>
      </c>
    </row>
    <row r="324" spans="1:89">
      <c r="A324" s="176">
        <v>17054</v>
      </c>
      <c r="B324" s="177" t="s">
        <v>52</v>
      </c>
      <c r="C324" s="178">
        <v>71</v>
      </c>
      <c r="D324" s="178">
        <v>2070</v>
      </c>
      <c r="E324" s="178" t="s">
        <v>50</v>
      </c>
      <c r="F324" s="179" t="s">
        <v>47</v>
      </c>
      <c r="G324" s="185" t="s">
        <v>92</v>
      </c>
      <c r="H324" s="178" t="s">
        <v>42</v>
      </c>
      <c r="I324" s="178" t="s">
        <v>40</v>
      </c>
      <c r="J324" s="178"/>
      <c r="K324" s="178"/>
      <c r="L324" s="178" t="s">
        <v>59</v>
      </c>
      <c r="M324" s="178">
        <v>120</v>
      </c>
      <c r="N324" s="178">
        <v>300</v>
      </c>
      <c r="O324" s="178"/>
      <c r="P324" s="178"/>
      <c r="Q324" s="178"/>
      <c r="R324" s="178" t="s">
        <v>19</v>
      </c>
      <c r="S324" s="181"/>
      <c r="T324" s="181"/>
      <c r="U324" s="182"/>
      <c r="V324" s="182" t="s">
        <v>35</v>
      </c>
      <c r="W324" s="183">
        <v>20</v>
      </c>
      <c r="X324" s="182" t="s">
        <v>51</v>
      </c>
      <c r="Y324" s="184">
        <v>3040</v>
      </c>
      <c r="Z324" s="184">
        <v>3040</v>
      </c>
      <c r="AA324" s="184">
        <v>3040</v>
      </c>
      <c r="AB324" s="184">
        <v>3040</v>
      </c>
      <c r="AC324" s="184">
        <v>3040</v>
      </c>
      <c r="AD324" s="184">
        <v>3040</v>
      </c>
      <c r="AE324" s="184">
        <v>2400</v>
      </c>
      <c r="AF324" s="184">
        <v>2400</v>
      </c>
      <c r="AG324" s="184">
        <v>2400</v>
      </c>
      <c r="AH324" s="184">
        <v>2250</v>
      </c>
      <c r="AI324" s="184">
        <v>2250</v>
      </c>
      <c r="AJ324" s="184">
        <v>2250</v>
      </c>
      <c r="AK324" s="146">
        <f>AK322+100</f>
        <v>2310</v>
      </c>
      <c r="AL324" s="146">
        <f>AL322+100</f>
        <v>2310</v>
      </c>
      <c r="AM324" s="146">
        <f>AM322+100</f>
        <v>2310</v>
      </c>
      <c r="AN324" s="184">
        <v>2440</v>
      </c>
      <c r="AO324" s="184">
        <v>2440</v>
      </c>
      <c r="AP324" s="184">
        <v>2440</v>
      </c>
      <c r="AQ324" s="184">
        <v>2590</v>
      </c>
      <c r="AR324" s="184">
        <v>2590</v>
      </c>
      <c r="AS324" s="184">
        <v>2590</v>
      </c>
      <c r="AT324" s="184">
        <v>2590</v>
      </c>
      <c r="AU324" s="184">
        <v>2590</v>
      </c>
      <c r="AV324" s="184">
        <v>2590</v>
      </c>
      <c r="AW324" s="184">
        <v>2510</v>
      </c>
      <c r="AX324" s="184">
        <v>2510</v>
      </c>
      <c r="AY324" s="184">
        <v>2510</v>
      </c>
      <c r="AZ324" s="184">
        <v>2270</v>
      </c>
      <c r="BA324" s="184">
        <v>2270</v>
      </c>
      <c r="BB324" s="184">
        <v>2400</v>
      </c>
      <c r="BC324" s="184">
        <v>2400</v>
      </c>
      <c r="BD324" s="184">
        <v>2400</v>
      </c>
      <c r="BE324" s="184">
        <v>2400</v>
      </c>
      <c r="BF324" s="184">
        <v>2300</v>
      </c>
      <c r="BG324" s="184">
        <v>2300</v>
      </c>
      <c r="BH324" s="184">
        <v>2300</v>
      </c>
      <c r="BI324" s="184">
        <v>2320</v>
      </c>
      <c r="BJ324" s="184">
        <v>2320</v>
      </c>
      <c r="BK324" s="184">
        <v>2320</v>
      </c>
      <c r="BL324" s="203">
        <v>2420</v>
      </c>
      <c r="BM324" s="203">
        <v>2420</v>
      </c>
      <c r="BN324" s="203">
        <v>2420</v>
      </c>
      <c r="BO324" s="184"/>
      <c r="BP324" s="184"/>
      <c r="BQ324" s="184"/>
      <c r="BR324" s="184"/>
      <c r="BS324" s="184"/>
      <c r="BT324" s="184"/>
      <c r="BU324" s="146" cm="1">
        <f t="array" ref="BU324">LOOKUP(2,1/(Y324:BT324&lt;&gt;""),Y324:BH324)</f>
        <v>2420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46174</v>
      </c>
      <c r="BW324" s="211" cm="1">
        <f t="array" ref="BW324">(LOOKUP(2,1/(BH324:BT324&lt;&gt;""),BH324:BT324))/(INDEX(BH324:BT324,MATCH(TRUE,INDEX((BH324:BT324&lt;&gt;0),0),0)))-1</f>
        <v>5.2173913043478182E-2</v>
      </c>
      <c r="BX324" s="212">
        <f t="shared" si="93"/>
        <v>2.42</v>
      </c>
      <c r="BY324" s="212">
        <f t="shared" si="92"/>
        <v>14.278</v>
      </c>
      <c r="BZ324" s="212">
        <f ca="1">IF(L324="BR",'Impostos e Frete'!$F$6,IF(L324="EU",'Impostos e Frete'!$I$3,IF(L324="CN",'Impostos e Frete'!$I$4,IF(L324="JP",'Impostos e Frete'!$I$5,IF(L324="RU",'Impostos e Frete'!$I$7,"ERRO")))))</f>
        <v>0.14176320000000001</v>
      </c>
      <c r="CA324" s="212">
        <f>VLOOKUP(L324,'Impostos e Frete'!$A$3:$B$7,2,0)*'Preços e Condições'!BY324</f>
        <v>1.8561400000000001</v>
      </c>
      <c r="CB324" s="147">
        <f t="shared" si="94"/>
        <v>0</v>
      </c>
      <c r="CC324" s="147">
        <f>IF(X324="BRL",'Impostos e Frete'!$B$11,'Impostos e Frete'!$B$12)</f>
        <v>9.1999999999999998E-2</v>
      </c>
      <c r="CD324" s="213">
        <f t="shared" ca="1" si="95"/>
        <v>16.367903200000001</v>
      </c>
      <c r="CE324" s="214">
        <f t="shared" ca="1" si="96"/>
        <v>1.1621211272000003</v>
      </c>
      <c r="CF324" s="215">
        <f>VLOOKUP(L324,'Impostos e Frete'!$A$3:$C$7,3,0)</f>
        <v>105</v>
      </c>
      <c r="CG324" s="215">
        <f t="shared" si="97"/>
        <v>120</v>
      </c>
      <c r="CH324" s="215">
        <f t="shared" si="98"/>
        <v>15</v>
      </c>
      <c r="CI324" s="216">
        <f t="shared" ca="1" si="99"/>
        <v>-0.12139527163054353</v>
      </c>
      <c r="CJ324" s="217">
        <f t="shared" ca="1" si="100"/>
        <v>16.246507928369457</v>
      </c>
      <c r="CK324" s="218">
        <f t="shared" ca="1" si="101"/>
        <v>1.1535020629142316</v>
      </c>
    </row>
    <row r="325" spans="1:89">
      <c r="A325" s="176">
        <v>17054</v>
      </c>
      <c r="B325" s="177" t="s">
        <v>52</v>
      </c>
      <c r="C325" s="178">
        <v>71</v>
      </c>
      <c r="D325" s="178">
        <v>2070</v>
      </c>
      <c r="E325" s="178" t="s">
        <v>50</v>
      </c>
      <c r="F325" s="179" t="s">
        <v>47</v>
      </c>
      <c r="G325" s="185" t="s">
        <v>92</v>
      </c>
      <c r="H325" s="178" t="s">
        <v>42</v>
      </c>
      <c r="I325" s="178" t="s">
        <v>40</v>
      </c>
      <c r="J325" s="178"/>
      <c r="K325" s="178"/>
      <c r="L325" s="178" t="s">
        <v>59</v>
      </c>
      <c r="M325" s="178">
        <v>120</v>
      </c>
      <c r="N325" s="178">
        <v>300</v>
      </c>
      <c r="O325" s="178"/>
      <c r="P325" s="178"/>
      <c r="Q325" s="178"/>
      <c r="R325" s="178" t="s">
        <v>19</v>
      </c>
      <c r="S325" s="181"/>
      <c r="T325" s="181"/>
      <c r="U325" s="182"/>
      <c r="V325" s="182" t="s">
        <v>35</v>
      </c>
      <c r="W325" s="183">
        <v>10</v>
      </c>
      <c r="X325" s="182" t="s">
        <v>51</v>
      </c>
      <c r="Y325" s="184">
        <v>3120</v>
      </c>
      <c r="Z325" s="184">
        <v>3120</v>
      </c>
      <c r="AA325" s="184">
        <v>3120</v>
      </c>
      <c r="AB325" s="184">
        <v>3120</v>
      </c>
      <c r="AC325" s="184">
        <v>3120</v>
      </c>
      <c r="AD325" s="184">
        <v>3120</v>
      </c>
      <c r="AE325" s="184">
        <v>2480</v>
      </c>
      <c r="AF325" s="184">
        <v>2480</v>
      </c>
      <c r="AG325" s="184">
        <v>2480</v>
      </c>
      <c r="AH325" s="184">
        <v>2330</v>
      </c>
      <c r="AI325" s="184">
        <v>2330</v>
      </c>
      <c r="AJ325" s="184">
        <v>2330</v>
      </c>
      <c r="AK325" s="146">
        <f>AK322+180</f>
        <v>2390</v>
      </c>
      <c r="AL325" s="146">
        <f>AL322+180</f>
        <v>2390</v>
      </c>
      <c r="AM325" s="146">
        <f>AM322+180</f>
        <v>2390</v>
      </c>
      <c r="AN325" s="184">
        <v>2520</v>
      </c>
      <c r="AO325" s="184">
        <v>2520</v>
      </c>
      <c r="AP325" s="184">
        <v>2520</v>
      </c>
      <c r="AQ325" s="184">
        <v>2670</v>
      </c>
      <c r="AR325" s="184">
        <v>2670</v>
      </c>
      <c r="AS325" s="184">
        <v>2670</v>
      </c>
      <c r="AT325" s="184">
        <v>2670</v>
      </c>
      <c r="AU325" s="184">
        <v>2670</v>
      </c>
      <c r="AV325" s="184">
        <v>2670</v>
      </c>
      <c r="AW325" s="184">
        <v>2590</v>
      </c>
      <c r="AX325" s="184">
        <v>2590</v>
      </c>
      <c r="AY325" s="184">
        <v>2590</v>
      </c>
      <c r="AZ325" s="184">
        <v>2350</v>
      </c>
      <c r="BA325" s="184">
        <v>2350</v>
      </c>
      <c r="BB325" s="184">
        <v>2480</v>
      </c>
      <c r="BC325" s="184">
        <v>2480</v>
      </c>
      <c r="BD325" s="184">
        <v>2480</v>
      </c>
      <c r="BE325" s="184">
        <v>2480</v>
      </c>
      <c r="BF325" s="184">
        <v>2380</v>
      </c>
      <c r="BG325" s="184">
        <v>2380</v>
      </c>
      <c r="BH325" s="184">
        <v>2380</v>
      </c>
      <c r="BI325" s="184">
        <v>2400</v>
      </c>
      <c r="BJ325" s="184">
        <v>2400</v>
      </c>
      <c r="BK325" s="184">
        <v>2400</v>
      </c>
      <c r="BL325" s="203">
        <v>2500</v>
      </c>
      <c r="BM325" s="203">
        <v>2500</v>
      </c>
      <c r="BN325" s="203">
        <v>2500</v>
      </c>
      <c r="BO325" s="184"/>
      <c r="BP325" s="184"/>
      <c r="BQ325" s="184"/>
      <c r="BR325" s="184"/>
      <c r="BS325" s="184"/>
      <c r="BT325" s="184"/>
      <c r="BU325" s="146" cm="1">
        <f t="array" ref="BU325">LOOKUP(2,1/(Y325:BT325&lt;&gt;""),Y325:BH325)</f>
        <v>2500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46174</v>
      </c>
      <c r="BW325" s="211" cm="1">
        <f t="array" ref="BW325">(LOOKUP(2,1/(BH325:BT325&lt;&gt;""),BH325:BT325))/(INDEX(BH325:BT325,MATCH(TRUE,INDEX((BH325:BT325&lt;&gt;0),0),0)))-1</f>
        <v>5.0420168067226934E-2</v>
      </c>
      <c r="BX325" s="212">
        <f t="shared" si="93"/>
        <v>2.5</v>
      </c>
      <c r="BY325" s="212">
        <f t="shared" si="92"/>
        <v>14.75</v>
      </c>
      <c r="BZ325" s="212">
        <f ca="1">IF(L325="BR",'Impostos e Frete'!$F$6,IF(L325="EU",'Impostos e Frete'!$I$3,IF(L325="CN",'Impostos e Frete'!$I$4,IF(L325="JP",'Impostos e Frete'!$I$5,IF(L325="RU",'Impostos e Frete'!$I$7,"ERRO")))))</f>
        <v>0.14176320000000001</v>
      </c>
      <c r="CA325" s="212">
        <f>VLOOKUP(L325,'Impostos e Frete'!$A$3:$B$7,2,0)*'Preços e Condições'!BY325</f>
        <v>1.9175</v>
      </c>
      <c r="CB325" s="147">
        <f t="shared" si="94"/>
        <v>0</v>
      </c>
      <c r="CC325" s="147">
        <f>IF(X325="BRL",'Impostos e Frete'!$B$11,'Impostos e Frete'!$B$12)</f>
        <v>9.1999999999999998E-2</v>
      </c>
      <c r="CD325" s="213">
        <f t="shared" ca="1" si="95"/>
        <v>16.901263199999999</v>
      </c>
      <c r="CE325" s="214">
        <f t="shared" ca="1" si="96"/>
        <v>1.1999896872</v>
      </c>
      <c r="CF325" s="215">
        <f>VLOOKUP(L325,'Impostos e Frete'!$A$3:$C$7,3,0)</f>
        <v>105</v>
      </c>
      <c r="CG325" s="215">
        <f t="shared" si="97"/>
        <v>120</v>
      </c>
      <c r="CH325" s="215">
        <f t="shared" si="98"/>
        <v>15</v>
      </c>
      <c r="CI325" s="216">
        <f t="shared" ca="1" si="99"/>
        <v>-0.12535102462380721</v>
      </c>
      <c r="CJ325" s="217">
        <f t="shared" ca="1" si="100"/>
        <v>16.775912175376192</v>
      </c>
      <c r="CK325" s="218">
        <f t="shared" ca="1" si="101"/>
        <v>1.1910897644517098</v>
      </c>
    </row>
    <row r="326" spans="1:89">
      <c r="A326" s="176">
        <v>17042</v>
      </c>
      <c r="B326" s="177">
        <v>8292</v>
      </c>
      <c r="C326" s="178">
        <v>70</v>
      </c>
      <c r="D326" s="178">
        <v>1870</v>
      </c>
      <c r="E326" s="178" t="s">
        <v>50</v>
      </c>
      <c r="F326" s="179" t="s">
        <v>47</v>
      </c>
      <c r="G326" s="185" t="s">
        <v>302</v>
      </c>
      <c r="H326" s="178" t="s">
        <v>42</v>
      </c>
      <c r="I326" s="178">
        <v>6795</v>
      </c>
      <c r="J326" s="178"/>
      <c r="K326" s="178"/>
      <c r="L326" s="178" t="s">
        <v>59</v>
      </c>
      <c r="M326" s="178">
        <v>120</v>
      </c>
      <c r="N326" s="178">
        <v>300</v>
      </c>
      <c r="O326" s="178"/>
      <c r="P326" s="178"/>
      <c r="Q326" s="178"/>
      <c r="R326" s="178" t="s">
        <v>19</v>
      </c>
      <c r="S326" s="181"/>
      <c r="T326" s="181"/>
      <c r="U326" s="182"/>
      <c r="V326" s="182" t="s">
        <v>35</v>
      </c>
      <c r="W326" s="183">
        <v>50</v>
      </c>
      <c r="X326" s="182" t="s">
        <v>51</v>
      </c>
      <c r="Y326" s="184">
        <v>2560</v>
      </c>
      <c r="Z326" s="184">
        <v>2560</v>
      </c>
      <c r="AA326" s="184">
        <v>2560</v>
      </c>
      <c r="AB326" s="184">
        <v>2560</v>
      </c>
      <c r="AC326" s="184">
        <v>2560</v>
      </c>
      <c r="AD326" s="184">
        <v>2560</v>
      </c>
      <c r="AE326" s="184">
        <v>2190</v>
      </c>
      <c r="AF326" s="184">
        <v>2190</v>
      </c>
      <c r="AG326" s="184">
        <v>2190</v>
      </c>
      <c r="AH326" s="184">
        <v>2040</v>
      </c>
      <c r="AI326" s="184">
        <v>2040</v>
      </c>
      <c r="AJ326" s="184">
        <v>2040</v>
      </c>
      <c r="AK326" s="184">
        <v>2100</v>
      </c>
      <c r="AL326" s="184">
        <v>2100</v>
      </c>
      <c r="AM326" s="184">
        <v>2100</v>
      </c>
      <c r="AN326" s="184">
        <v>2230</v>
      </c>
      <c r="AO326" s="184">
        <v>2230</v>
      </c>
      <c r="AP326" s="184">
        <v>2230</v>
      </c>
      <c r="AQ326" s="184">
        <v>2380</v>
      </c>
      <c r="AR326" s="184">
        <v>2380</v>
      </c>
      <c r="AS326" s="184">
        <v>2380</v>
      </c>
      <c r="AT326" s="184">
        <v>2380</v>
      </c>
      <c r="AU326" s="184">
        <v>2380</v>
      </c>
      <c r="AV326" s="184">
        <v>2380</v>
      </c>
      <c r="AW326" s="184">
        <v>2300</v>
      </c>
      <c r="AX326" s="184">
        <v>2300</v>
      </c>
      <c r="AY326" s="184">
        <v>2300</v>
      </c>
      <c r="AZ326" s="184">
        <v>2100</v>
      </c>
      <c r="BA326" s="184">
        <v>2100</v>
      </c>
      <c r="BB326" s="184">
        <v>2400</v>
      </c>
      <c r="BC326" s="184">
        <v>2400</v>
      </c>
      <c r="BD326" s="184">
        <v>2400</v>
      </c>
      <c r="BE326" s="184">
        <v>2400</v>
      </c>
      <c r="BF326" s="184">
        <v>2320</v>
      </c>
      <c r="BG326" s="184">
        <v>2320</v>
      </c>
      <c r="BH326" s="184">
        <v>2320</v>
      </c>
      <c r="BI326" s="184">
        <v>2350</v>
      </c>
      <c r="BJ326" s="184">
        <v>2350</v>
      </c>
      <c r="BK326" s="184">
        <v>2350</v>
      </c>
      <c r="BL326" s="184">
        <v>2450</v>
      </c>
      <c r="BM326" s="184">
        <v>2450</v>
      </c>
      <c r="BN326" s="184">
        <v>2450</v>
      </c>
      <c r="BO326" s="184"/>
      <c r="BP326" s="184"/>
      <c r="BQ326" s="184"/>
      <c r="BR326" s="184"/>
      <c r="BS326" s="184"/>
      <c r="BT326" s="184"/>
      <c r="BU326" s="146" cm="1">
        <f t="array" ref="BU326">LOOKUP(2,1/(Y326:BT326&lt;&gt;""),Y326:BH326)</f>
        <v>2450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46174</v>
      </c>
      <c r="BW326" s="211" cm="1">
        <f t="array" ref="BW326">(LOOKUP(2,1/(BH326:BT326&lt;&gt;""),BH326:BT326))/(INDEX(BH326:BT326,MATCH(TRUE,INDEX((BH326:BT326&lt;&gt;0),0),0)))-1</f>
        <v>5.6034482758620774E-2</v>
      </c>
      <c r="BX326" s="212">
        <f t="shared" si="93"/>
        <v>2.4500000000000002</v>
      </c>
      <c r="BY326" s="212">
        <f t="shared" si="92"/>
        <v>14.455000000000002</v>
      </c>
      <c r="BZ326" s="212">
        <f ca="1">IF(L326="BR",'Impostos e Frete'!$F$6,IF(L326="EU",'Impostos e Frete'!$I$3,IF(L326="CN",'Impostos e Frete'!$I$4,IF(L326="JP",'Impostos e Frete'!$I$5,IF(L326="RU",'Impostos e Frete'!$I$7,"ERRO")))))</f>
        <v>0.14176320000000001</v>
      </c>
      <c r="CA326" s="212">
        <f>VLOOKUP(L326,'Impostos e Frete'!$A$3:$B$7,2,0)*'Preços e Condições'!BY326</f>
        <v>1.8791500000000003</v>
      </c>
      <c r="CB326" s="147">
        <f t="shared" si="94"/>
        <v>0</v>
      </c>
      <c r="CC326" s="147">
        <f>IF(X326="BRL",'Impostos e Frete'!$B$11,'Impostos e Frete'!$B$12)</f>
        <v>9.1999999999999998E-2</v>
      </c>
      <c r="CD326" s="213">
        <f t="shared" ca="1" si="95"/>
        <v>16.5679132</v>
      </c>
      <c r="CE326" s="214">
        <f t="shared" ca="1" si="96"/>
        <v>1.1597539239999999</v>
      </c>
      <c r="CF326" s="215">
        <f>VLOOKUP(L326,'Impostos e Frete'!$A$3:$C$7,3,0)</f>
        <v>105</v>
      </c>
      <c r="CG326" s="215">
        <f t="shared" si="97"/>
        <v>120</v>
      </c>
      <c r="CH326" s="215">
        <f t="shared" si="98"/>
        <v>15</v>
      </c>
      <c r="CI326" s="216">
        <f t="shared" ca="1" si="99"/>
        <v>-0.12287867900301563</v>
      </c>
      <c r="CJ326" s="217">
        <f t="shared" ca="1" si="100"/>
        <v>16.445034520996984</v>
      </c>
      <c r="CK326" s="218">
        <f t="shared" ca="1" si="101"/>
        <v>1.1511524164697888</v>
      </c>
    </row>
    <row r="327" spans="1:89">
      <c r="A327" s="176">
        <v>17042</v>
      </c>
      <c r="B327" s="177">
        <v>8292</v>
      </c>
      <c r="C327" s="178">
        <v>70</v>
      </c>
      <c r="D327" s="178">
        <v>1870</v>
      </c>
      <c r="E327" s="178" t="s">
        <v>50</v>
      </c>
      <c r="F327" s="179" t="s">
        <v>47</v>
      </c>
      <c r="G327" s="185" t="s">
        <v>302</v>
      </c>
      <c r="H327" s="178" t="s">
        <v>42</v>
      </c>
      <c r="I327" s="178">
        <v>6795</v>
      </c>
      <c r="J327" s="178"/>
      <c r="K327" s="178"/>
      <c r="L327" s="178" t="s">
        <v>59</v>
      </c>
      <c r="M327" s="178">
        <v>120</v>
      </c>
      <c r="N327" s="178">
        <v>300</v>
      </c>
      <c r="O327" s="178"/>
      <c r="P327" s="178"/>
      <c r="Q327" s="178"/>
      <c r="R327" s="178" t="s">
        <v>19</v>
      </c>
      <c r="S327" s="181"/>
      <c r="T327" s="181"/>
      <c r="U327" s="182"/>
      <c r="V327" s="182" t="s">
        <v>35</v>
      </c>
      <c r="W327" s="183">
        <v>30</v>
      </c>
      <c r="X327" s="182" t="s">
        <v>51</v>
      </c>
      <c r="Y327" s="184">
        <v>2610</v>
      </c>
      <c r="Z327" s="184">
        <v>2610</v>
      </c>
      <c r="AA327" s="184">
        <v>2610</v>
      </c>
      <c r="AB327" s="184">
        <v>2610</v>
      </c>
      <c r="AC327" s="184">
        <v>2610</v>
      </c>
      <c r="AD327" s="184">
        <v>2610</v>
      </c>
      <c r="AE327" s="184">
        <v>2240</v>
      </c>
      <c r="AF327" s="184">
        <v>2240</v>
      </c>
      <c r="AG327" s="184">
        <v>2240</v>
      </c>
      <c r="AH327" s="184">
        <v>2045</v>
      </c>
      <c r="AI327" s="184">
        <v>2045</v>
      </c>
      <c r="AJ327" s="184">
        <v>2045</v>
      </c>
      <c r="AK327" s="146">
        <f>AK326+50</f>
        <v>2150</v>
      </c>
      <c r="AL327" s="146">
        <f>AL326+50</f>
        <v>2150</v>
      </c>
      <c r="AM327" s="146">
        <f>AM326+50</f>
        <v>2150</v>
      </c>
      <c r="AN327" s="184">
        <v>2280</v>
      </c>
      <c r="AO327" s="184">
        <v>2280</v>
      </c>
      <c r="AP327" s="184">
        <v>2280</v>
      </c>
      <c r="AQ327" s="184">
        <v>2430</v>
      </c>
      <c r="AR327" s="184">
        <v>2430</v>
      </c>
      <c r="AS327" s="184">
        <v>2430</v>
      </c>
      <c r="AT327" s="184">
        <v>2430</v>
      </c>
      <c r="AU327" s="184">
        <v>2430</v>
      </c>
      <c r="AV327" s="184">
        <v>2430</v>
      </c>
      <c r="AW327" s="184">
        <v>2350</v>
      </c>
      <c r="AX327" s="184">
        <v>2350</v>
      </c>
      <c r="AY327" s="184">
        <v>2350</v>
      </c>
      <c r="AZ327" s="184">
        <v>2150</v>
      </c>
      <c r="BA327" s="184">
        <v>2150</v>
      </c>
      <c r="BB327" s="184">
        <v>2450</v>
      </c>
      <c r="BC327" s="184">
        <v>2450</v>
      </c>
      <c r="BD327" s="184">
        <v>2450</v>
      </c>
      <c r="BE327" s="184">
        <v>2450</v>
      </c>
      <c r="BF327" s="184">
        <v>2370</v>
      </c>
      <c r="BG327" s="184">
        <v>2370</v>
      </c>
      <c r="BH327" s="184">
        <v>2370</v>
      </c>
      <c r="BI327" s="184"/>
      <c r="BJ327" s="184"/>
      <c r="BK327" s="184"/>
      <c r="BL327" s="184"/>
      <c r="BM327" s="184"/>
      <c r="BN327" s="184"/>
      <c r="BO327" s="184"/>
      <c r="BP327" s="184"/>
      <c r="BQ327" s="184"/>
      <c r="BR327" s="184"/>
      <c r="BS327" s="184"/>
      <c r="BT327" s="184"/>
      <c r="BU327" s="146" cm="1">
        <f t="array" ref="BU327">LOOKUP(2,1/(Y327:BT327&lt;&gt;""),Y327:BH327)</f>
        <v>2370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45992</v>
      </c>
      <c r="BW327" s="211" cm="1">
        <f t="array" ref="BW327">(LOOKUP(2,1/(BH327:BT327&lt;&gt;""),BH327:BT327))/(INDEX(BH327:BT327,MATCH(TRUE,INDEX((BH327:BT327&lt;&gt;0),0),0)))-1</f>
        <v>0</v>
      </c>
      <c r="BX327" s="212">
        <f t="shared" si="93"/>
        <v>2.37</v>
      </c>
      <c r="BY327" s="212">
        <f t="shared" si="92"/>
        <v>13.983000000000002</v>
      </c>
      <c r="BZ327" s="212">
        <f ca="1">IF(L327="BR",'Impostos e Frete'!$F$6,IF(L327="EU",'Impostos e Frete'!$I$3,IF(L327="CN",'Impostos e Frete'!$I$4,IF(L327="JP",'Impostos e Frete'!$I$5,IF(L327="RU",'Impostos e Frete'!$I$7,"ERRO")))))</f>
        <v>0.14176320000000001</v>
      </c>
      <c r="CA327" s="212">
        <f>VLOOKUP(L327,'Impostos e Frete'!$A$3:$B$7,2,0)*'Preços e Condições'!BY327</f>
        <v>1.8177900000000005</v>
      </c>
      <c r="CB327" s="147">
        <f t="shared" si="94"/>
        <v>0</v>
      </c>
      <c r="CC327" s="147">
        <f>IF(X327="BRL",'Impostos e Frete'!$B$11,'Impostos e Frete'!$B$12)</f>
        <v>9.1999999999999998E-2</v>
      </c>
      <c r="CD327" s="213">
        <f t="shared" ca="1" si="95"/>
        <v>16.034553200000001</v>
      </c>
      <c r="CE327" s="214">
        <f t="shared" ca="1" si="96"/>
        <v>1.1224187240000001</v>
      </c>
      <c r="CF327" s="215">
        <f>VLOOKUP(L327,'Impostos e Frete'!$A$3:$C$7,3,0)</f>
        <v>105</v>
      </c>
      <c r="CG327" s="215">
        <f t="shared" si="97"/>
        <v>120</v>
      </c>
      <c r="CH327" s="215">
        <f t="shared" si="98"/>
        <v>15</v>
      </c>
      <c r="CI327" s="216">
        <f t="shared" ca="1" si="99"/>
        <v>-0.11892292600975196</v>
      </c>
      <c r="CJ327" s="217">
        <f t="shared" ca="1" si="100"/>
        <v>15.915630273990249</v>
      </c>
      <c r="CK327" s="218">
        <f t="shared" ca="1" si="101"/>
        <v>1.1140941191793174</v>
      </c>
    </row>
    <row r="328" spans="1:89">
      <c r="A328" s="176">
        <v>17042</v>
      </c>
      <c r="B328" s="177">
        <v>8292</v>
      </c>
      <c r="C328" s="178">
        <v>70</v>
      </c>
      <c r="D328" s="178">
        <v>1870</v>
      </c>
      <c r="E328" s="178" t="s">
        <v>50</v>
      </c>
      <c r="F328" s="179" t="s">
        <v>47</v>
      </c>
      <c r="G328" s="185" t="s">
        <v>302</v>
      </c>
      <c r="H328" s="178" t="s">
        <v>42</v>
      </c>
      <c r="I328" s="178">
        <v>6795</v>
      </c>
      <c r="J328" s="178"/>
      <c r="K328" s="178"/>
      <c r="L328" s="178" t="s">
        <v>59</v>
      </c>
      <c r="M328" s="178">
        <v>120</v>
      </c>
      <c r="N328" s="178">
        <v>300</v>
      </c>
      <c r="O328" s="178"/>
      <c r="P328" s="178"/>
      <c r="Q328" s="178"/>
      <c r="R328" s="178" t="s">
        <v>19</v>
      </c>
      <c r="S328" s="181"/>
      <c r="T328" s="181"/>
      <c r="U328" s="182"/>
      <c r="V328" s="182" t="s">
        <v>35</v>
      </c>
      <c r="W328" s="183">
        <v>20</v>
      </c>
      <c r="X328" s="182" t="s">
        <v>51</v>
      </c>
      <c r="Y328" s="184">
        <v>2660</v>
      </c>
      <c r="Z328" s="184">
        <v>2660</v>
      </c>
      <c r="AA328" s="184">
        <v>2660</v>
      </c>
      <c r="AB328" s="184">
        <v>2660</v>
      </c>
      <c r="AC328" s="184">
        <v>2660</v>
      </c>
      <c r="AD328" s="184">
        <v>2660</v>
      </c>
      <c r="AE328" s="184">
        <v>2290</v>
      </c>
      <c r="AF328" s="184">
        <v>2290</v>
      </c>
      <c r="AG328" s="184">
        <v>2290</v>
      </c>
      <c r="AH328" s="184">
        <v>2050</v>
      </c>
      <c r="AI328" s="184">
        <v>2050</v>
      </c>
      <c r="AJ328" s="184">
        <v>2050</v>
      </c>
      <c r="AK328" s="146">
        <f>AK326+100</f>
        <v>2200</v>
      </c>
      <c r="AL328" s="146">
        <f>AL326+100</f>
        <v>2200</v>
      </c>
      <c r="AM328" s="146">
        <f>AM326+100</f>
        <v>2200</v>
      </c>
      <c r="AN328" s="184">
        <v>2330</v>
      </c>
      <c r="AO328" s="184">
        <v>2330</v>
      </c>
      <c r="AP328" s="184">
        <v>2330</v>
      </c>
      <c r="AQ328" s="184">
        <v>2480</v>
      </c>
      <c r="AR328" s="184">
        <v>2480</v>
      </c>
      <c r="AS328" s="184">
        <v>2480</v>
      </c>
      <c r="AT328" s="184">
        <v>2480</v>
      </c>
      <c r="AU328" s="184">
        <v>2480</v>
      </c>
      <c r="AV328" s="184">
        <v>2480</v>
      </c>
      <c r="AW328" s="184">
        <v>2400</v>
      </c>
      <c r="AX328" s="184">
        <v>2400</v>
      </c>
      <c r="AY328" s="184">
        <v>2400</v>
      </c>
      <c r="AZ328" s="184">
        <v>2200</v>
      </c>
      <c r="BA328" s="184">
        <v>2200</v>
      </c>
      <c r="BB328" s="184">
        <v>2500</v>
      </c>
      <c r="BC328" s="184">
        <v>2500</v>
      </c>
      <c r="BD328" s="184">
        <v>2500</v>
      </c>
      <c r="BE328" s="184">
        <v>2500</v>
      </c>
      <c r="BF328" s="184">
        <v>2420</v>
      </c>
      <c r="BG328" s="184">
        <v>2420</v>
      </c>
      <c r="BH328" s="184">
        <v>2420</v>
      </c>
      <c r="BI328" s="184"/>
      <c r="BJ328" s="184"/>
      <c r="BK328" s="184"/>
      <c r="BL328" s="184"/>
      <c r="BM328" s="184"/>
      <c r="BN328" s="184"/>
      <c r="BO328" s="184"/>
      <c r="BP328" s="184"/>
      <c r="BQ328" s="184"/>
      <c r="BR328" s="184"/>
      <c r="BS328" s="184"/>
      <c r="BT328" s="184"/>
      <c r="BU328" s="146" cm="1">
        <f t="array" ref="BU328">LOOKUP(2,1/(Y328:BT328&lt;&gt;""),Y328:BH328)</f>
        <v>2420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45992</v>
      </c>
      <c r="BW328" s="211" cm="1">
        <f t="array" ref="BW328">(LOOKUP(2,1/(BH328:BT328&lt;&gt;""),BH328:BT328))/(INDEX(BH328:BT328,MATCH(TRUE,INDEX((BH328:BT328&lt;&gt;0),0),0)))-1</f>
        <v>0</v>
      </c>
      <c r="BX328" s="212">
        <f t="shared" si="93"/>
        <v>2.42</v>
      </c>
      <c r="BY328" s="212">
        <f t="shared" si="92"/>
        <v>14.278</v>
      </c>
      <c r="BZ328" s="212">
        <f ca="1">IF(L328="BR",'Impostos e Frete'!$F$6,IF(L328="EU",'Impostos e Frete'!$I$3,IF(L328="CN",'Impostos e Frete'!$I$4,IF(L328="JP",'Impostos e Frete'!$I$5,IF(L328="RU",'Impostos e Frete'!$I$7,"ERRO")))))</f>
        <v>0.14176320000000001</v>
      </c>
      <c r="CA328" s="212">
        <f>VLOOKUP(L328,'Impostos e Frete'!$A$3:$B$7,2,0)*'Preços e Condições'!BY328</f>
        <v>1.8561400000000001</v>
      </c>
      <c r="CB328" s="147">
        <f t="shared" si="94"/>
        <v>0</v>
      </c>
      <c r="CC328" s="147">
        <f>IF(X328="BRL",'Impostos e Frete'!$B$11,'Impostos e Frete'!$B$12)</f>
        <v>9.1999999999999998E-2</v>
      </c>
      <c r="CD328" s="213">
        <f t="shared" ca="1" si="95"/>
        <v>16.367903200000001</v>
      </c>
      <c r="CE328" s="214">
        <f t="shared" ca="1" si="96"/>
        <v>1.1457532240000001</v>
      </c>
      <c r="CF328" s="215">
        <f>VLOOKUP(L328,'Impostos e Frete'!$A$3:$C$7,3,0)</f>
        <v>105</v>
      </c>
      <c r="CG328" s="215">
        <f t="shared" si="97"/>
        <v>120</v>
      </c>
      <c r="CH328" s="215">
        <f t="shared" si="98"/>
        <v>15</v>
      </c>
      <c r="CI328" s="216">
        <f t="shared" ca="1" si="99"/>
        <v>-0.12139527163054353</v>
      </c>
      <c r="CJ328" s="217">
        <f t="shared" ca="1" si="100"/>
        <v>16.246507928369457</v>
      </c>
      <c r="CK328" s="218">
        <f t="shared" ca="1" si="101"/>
        <v>1.1372555549858621</v>
      </c>
    </row>
    <row r="329" spans="1:89">
      <c r="A329" s="176">
        <v>17042</v>
      </c>
      <c r="B329" s="177">
        <v>8292</v>
      </c>
      <c r="C329" s="178">
        <v>70</v>
      </c>
      <c r="D329" s="178">
        <v>1870</v>
      </c>
      <c r="E329" s="178" t="s">
        <v>50</v>
      </c>
      <c r="F329" s="179" t="s">
        <v>47</v>
      </c>
      <c r="G329" s="185" t="s">
        <v>302</v>
      </c>
      <c r="H329" s="178" t="s">
        <v>42</v>
      </c>
      <c r="I329" s="178">
        <v>6795</v>
      </c>
      <c r="J329" s="178"/>
      <c r="K329" s="178"/>
      <c r="L329" s="178" t="s">
        <v>59</v>
      </c>
      <c r="M329" s="178">
        <v>120</v>
      </c>
      <c r="N329" s="178">
        <v>300</v>
      </c>
      <c r="O329" s="178"/>
      <c r="P329" s="178"/>
      <c r="Q329" s="178"/>
      <c r="R329" s="178" t="s">
        <v>19</v>
      </c>
      <c r="S329" s="181"/>
      <c r="T329" s="181"/>
      <c r="U329" s="182"/>
      <c r="V329" s="182" t="s">
        <v>35</v>
      </c>
      <c r="W329" s="183">
        <v>10</v>
      </c>
      <c r="X329" s="182" t="s">
        <v>51</v>
      </c>
      <c r="Y329" s="184">
        <v>2740</v>
      </c>
      <c r="Z329" s="184">
        <v>2740</v>
      </c>
      <c r="AA329" s="184">
        <v>2740</v>
      </c>
      <c r="AB329" s="184">
        <v>2740</v>
      </c>
      <c r="AC329" s="184">
        <v>2740</v>
      </c>
      <c r="AD329" s="184">
        <v>2740</v>
      </c>
      <c r="AE329" s="184">
        <v>2370</v>
      </c>
      <c r="AF329" s="184">
        <v>2370</v>
      </c>
      <c r="AG329" s="184">
        <v>2370</v>
      </c>
      <c r="AH329" s="184">
        <v>2058</v>
      </c>
      <c r="AI329" s="184">
        <v>2058</v>
      </c>
      <c r="AJ329" s="184">
        <v>2058</v>
      </c>
      <c r="AK329" s="146">
        <f>AK326+180</f>
        <v>2280</v>
      </c>
      <c r="AL329" s="146">
        <f>AL326+180</f>
        <v>2280</v>
      </c>
      <c r="AM329" s="146">
        <f>AM326+180</f>
        <v>2280</v>
      </c>
      <c r="AN329" s="184">
        <v>2410</v>
      </c>
      <c r="AO329" s="184">
        <v>2410</v>
      </c>
      <c r="AP329" s="184">
        <v>2410</v>
      </c>
      <c r="AQ329" s="184">
        <v>2560</v>
      </c>
      <c r="AR329" s="184">
        <v>2560</v>
      </c>
      <c r="AS329" s="184">
        <v>2560</v>
      </c>
      <c r="AT329" s="184">
        <v>2560</v>
      </c>
      <c r="AU329" s="184">
        <v>2560</v>
      </c>
      <c r="AV329" s="184">
        <v>2560</v>
      </c>
      <c r="AW329" s="184">
        <v>2480</v>
      </c>
      <c r="AX329" s="184">
        <v>2480</v>
      </c>
      <c r="AY329" s="184">
        <v>2480</v>
      </c>
      <c r="AZ329" s="184">
        <v>2280</v>
      </c>
      <c r="BA329" s="184">
        <v>2280</v>
      </c>
      <c r="BB329" s="184">
        <v>2580</v>
      </c>
      <c r="BC329" s="184">
        <v>2580</v>
      </c>
      <c r="BD329" s="184">
        <v>2580</v>
      </c>
      <c r="BE329" s="184">
        <v>2580</v>
      </c>
      <c r="BF329" s="184">
        <v>2500</v>
      </c>
      <c r="BG329" s="184">
        <v>2500</v>
      </c>
      <c r="BH329" s="184">
        <v>2500</v>
      </c>
      <c r="BI329" s="184"/>
      <c r="BJ329" s="184"/>
      <c r="BK329" s="184"/>
      <c r="BL329" s="184"/>
      <c r="BM329" s="184"/>
      <c r="BN329" s="184"/>
      <c r="BO329" s="184"/>
      <c r="BP329" s="184"/>
      <c r="BQ329" s="184"/>
      <c r="BR329" s="184"/>
      <c r="BS329" s="184"/>
      <c r="BT329" s="184"/>
      <c r="BU329" s="146" cm="1">
        <f t="array" ref="BU329">LOOKUP(2,1/(Y329:BT329&lt;&gt;""),Y329:BH329)</f>
        <v>2500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45992</v>
      </c>
      <c r="BW329" s="211" cm="1">
        <f t="array" ref="BW329">(LOOKUP(2,1/(BH329:BT329&lt;&gt;""),BH329:BT329))/(INDEX(BH329:BT329,MATCH(TRUE,INDEX((BH329:BT329&lt;&gt;0),0),0)))-1</f>
        <v>0</v>
      </c>
      <c r="BX329" s="212">
        <f t="shared" si="93"/>
        <v>2.5</v>
      </c>
      <c r="BY329" s="212">
        <f t="shared" si="92"/>
        <v>14.75</v>
      </c>
      <c r="BZ329" s="212">
        <f ca="1">IF(L329="BR",'Impostos e Frete'!$F$6,IF(L329="EU",'Impostos e Frete'!$I$3,IF(L329="CN",'Impostos e Frete'!$I$4,IF(L329="JP",'Impostos e Frete'!$I$5,IF(L329="RU",'Impostos e Frete'!$I$7,"ERRO")))))</f>
        <v>0.14176320000000001</v>
      </c>
      <c r="CA329" s="212">
        <f>VLOOKUP(L329,'Impostos e Frete'!$A$3:$B$7,2,0)*'Preços e Condições'!BY329</f>
        <v>1.9175</v>
      </c>
      <c r="CB329" s="147">
        <f t="shared" si="94"/>
        <v>0</v>
      </c>
      <c r="CC329" s="147">
        <f>IF(X329="BRL",'Impostos e Frete'!$B$11,'Impostos e Frete'!$B$12)</f>
        <v>9.1999999999999998E-2</v>
      </c>
      <c r="CD329" s="213">
        <f t="shared" ca="1" si="95"/>
        <v>16.901263199999999</v>
      </c>
      <c r="CE329" s="214">
        <f t="shared" ca="1" si="96"/>
        <v>1.1830884239999999</v>
      </c>
      <c r="CF329" s="215">
        <f>VLOOKUP(L329,'Impostos e Frete'!$A$3:$C$7,3,0)</f>
        <v>105</v>
      </c>
      <c r="CG329" s="215">
        <f t="shared" si="97"/>
        <v>120</v>
      </c>
      <c r="CH329" s="215">
        <f t="shared" si="98"/>
        <v>15</v>
      </c>
      <c r="CI329" s="216">
        <f t="shared" ca="1" si="99"/>
        <v>-0.12535102462380721</v>
      </c>
      <c r="CJ329" s="217">
        <f t="shared" ca="1" si="100"/>
        <v>16.775912175376192</v>
      </c>
      <c r="CK329" s="218">
        <f t="shared" ca="1" si="101"/>
        <v>1.1743138522763334</v>
      </c>
    </row>
    <row r="330" spans="1:89">
      <c r="A330" s="176">
        <v>17045</v>
      </c>
      <c r="B330" s="177">
        <v>8292</v>
      </c>
      <c r="C330" s="178">
        <v>70</v>
      </c>
      <c r="D330" s="178">
        <v>1920</v>
      </c>
      <c r="E330" s="178" t="s">
        <v>50</v>
      </c>
      <c r="F330" s="179" t="s">
        <v>47</v>
      </c>
      <c r="G330" s="185" t="s">
        <v>302</v>
      </c>
      <c r="H330" s="178" t="s">
        <v>42</v>
      </c>
      <c r="I330" s="178">
        <v>6795</v>
      </c>
      <c r="J330" s="178"/>
      <c r="K330" s="178"/>
      <c r="L330" s="178" t="s">
        <v>59</v>
      </c>
      <c r="M330" s="178">
        <v>120</v>
      </c>
      <c r="N330" s="178">
        <v>300</v>
      </c>
      <c r="O330" s="178"/>
      <c r="P330" s="178"/>
      <c r="Q330" s="178"/>
      <c r="R330" s="178" t="s">
        <v>19</v>
      </c>
      <c r="S330" s="181"/>
      <c r="T330" s="181"/>
      <c r="U330" s="182"/>
      <c r="V330" s="182" t="s">
        <v>35</v>
      </c>
      <c r="W330" s="183">
        <v>50</v>
      </c>
      <c r="X330" s="182" t="s">
        <v>51</v>
      </c>
      <c r="Y330" s="184">
        <v>2560</v>
      </c>
      <c r="Z330" s="184">
        <v>2560</v>
      </c>
      <c r="AA330" s="184">
        <v>2560</v>
      </c>
      <c r="AB330" s="184">
        <v>2560</v>
      </c>
      <c r="AC330" s="184">
        <v>2560</v>
      </c>
      <c r="AD330" s="184">
        <v>2560</v>
      </c>
      <c r="AE330" s="184">
        <v>2190</v>
      </c>
      <c r="AF330" s="184">
        <v>2190</v>
      </c>
      <c r="AG330" s="184">
        <v>2190</v>
      </c>
      <c r="AH330" s="184">
        <v>2040</v>
      </c>
      <c r="AI330" s="184">
        <v>2040</v>
      </c>
      <c r="AJ330" s="184">
        <v>2040</v>
      </c>
      <c r="AK330" s="184">
        <v>2100</v>
      </c>
      <c r="AL330" s="184">
        <v>2100</v>
      </c>
      <c r="AM330" s="184">
        <v>2100</v>
      </c>
      <c r="AN330" s="184">
        <v>2230</v>
      </c>
      <c r="AO330" s="184">
        <v>2230</v>
      </c>
      <c r="AP330" s="184">
        <v>2230</v>
      </c>
      <c r="AQ330" s="184">
        <v>2380</v>
      </c>
      <c r="AR330" s="184">
        <v>2380</v>
      </c>
      <c r="AS330" s="184">
        <v>2380</v>
      </c>
      <c r="AT330" s="184">
        <v>2380</v>
      </c>
      <c r="AU330" s="184">
        <v>2380</v>
      </c>
      <c r="AV330" s="184">
        <v>2380</v>
      </c>
      <c r="AW330" s="184">
        <v>2300</v>
      </c>
      <c r="AX330" s="184">
        <v>2300</v>
      </c>
      <c r="AY330" s="184">
        <v>2300</v>
      </c>
      <c r="AZ330" s="184">
        <v>2100</v>
      </c>
      <c r="BA330" s="184">
        <v>2100</v>
      </c>
      <c r="BB330" s="184">
        <v>2400</v>
      </c>
      <c r="BC330" s="184">
        <v>2400</v>
      </c>
      <c r="BD330" s="184">
        <v>2400</v>
      </c>
      <c r="BE330" s="184">
        <v>2400</v>
      </c>
      <c r="BF330" s="184">
        <v>2320</v>
      </c>
      <c r="BG330" s="184">
        <v>2320</v>
      </c>
      <c r="BH330" s="184">
        <v>2320</v>
      </c>
      <c r="BI330" s="184">
        <v>2350</v>
      </c>
      <c r="BJ330" s="184">
        <v>2350</v>
      </c>
      <c r="BK330" s="184">
        <v>2350</v>
      </c>
      <c r="BL330" s="184">
        <v>2450</v>
      </c>
      <c r="BM330" s="184">
        <v>2450</v>
      </c>
      <c r="BN330" s="184">
        <v>2450</v>
      </c>
      <c r="BO330" s="184"/>
      <c r="BP330" s="184"/>
      <c r="BQ330" s="184"/>
      <c r="BR330" s="184"/>
      <c r="BS330" s="184"/>
      <c r="BT330" s="184"/>
      <c r="BU330" s="146" cm="1">
        <f t="array" ref="BU330">LOOKUP(2,1/(Y330:BT330&lt;&gt;""),Y330:BH330)</f>
        <v>2450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46174</v>
      </c>
      <c r="BW330" s="211" cm="1">
        <f t="array" ref="BW330">(LOOKUP(2,1/(BH330:BT330&lt;&gt;""),BH330:BT330))/(INDEX(BH330:BT330,MATCH(TRUE,INDEX((BH330:BT330&lt;&gt;0),0),0)))-1</f>
        <v>5.6034482758620774E-2</v>
      </c>
      <c r="BX330" s="212">
        <f t="shared" si="93"/>
        <v>2.4500000000000002</v>
      </c>
      <c r="BY330" s="212">
        <f t="shared" si="92"/>
        <v>14.455000000000002</v>
      </c>
      <c r="BZ330" s="212">
        <f ca="1">IF(L330="BR",'Impostos e Frete'!$F$6,IF(L330="EU",'Impostos e Frete'!$I$3,IF(L330="CN",'Impostos e Frete'!$I$4,IF(L330="JP",'Impostos e Frete'!$I$5,IF(L330="RU",'Impostos e Frete'!$I$7,"ERRO")))))</f>
        <v>0.14176320000000001</v>
      </c>
      <c r="CA330" s="212">
        <f>VLOOKUP(L330,'Impostos e Frete'!$A$3:$B$7,2,0)*'Preços e Condições'!BY330</f>
        <v>1.8791500000000003</v>
      </c>
      <c r="CB330" s="147">
        <f t="shared" si="94"/>
        <v>0</v>
      </c>
      <c r="CC330" s="147">
        <f>IF(X330="BRL",'Impostos e Frete'!$B$11,'Impostos e Frete'!$B$12)</f>
        <v>9.1999999999999998E-2</v>
      </c>
      <c r="CD330" s="213">
        <f t="shared" ca="1" si="95"/>
        <v>16.5679132</v>
      </c>
      <c r="CE330" s="214">
        <f t="shared" ca="1" si="96"/>
        <v>1.1597539239999999</v>
      </c>
      <c r="CF330" s="215">
        <f>VLOOKUP(L330,'Impostos e Frete'!$A$3:$C$7,3,0)</f>
        <v>105</v>
      </c>
      <c r="CG330" s="215">
        <f t="shared" si="97"/>
        <v>120</v>
      </c>
      <c r="CH330" s="215">
        <f t="shared" si="98"/>
        <v>15</v>
      </c>
      <c r="CI330" s="216">
        <f t="shared" ca="1" si="99"/>
        <v>-0.12287867900301563</v>
      </c>
      <c r="CJ330" s="217">
        <f t="shared" ca="1" si="100"/>
        <v>16.445034520996984</v>
      </c>
      <c r="CK330" s="218">
        <f t="shared" ca="1" si="101"/>
        <v>1.1511524164697888</v>
      </c>
    </row>
    <row r="331" spans="1:89">
      <c r="A331" s="176">
        <v>17045</v>
      </c>
      <c r="B331" s="177">
        <v>8292</v>
      </c>
      <c r="C331" s="178">
        <v>70</v>
      </c>
      <c r="D331" s="178">
        <v>1920</v>
      </c>
      <c r="E331" s="178" t="s">
        <v>50</v>
      </c>
      <c r="F331" s="179" t="s">
        <v>47</v>
      </c>
      <c r="G331" s="185" t="s">
        <v>302</v>
      </c>
      <c r="H331" s="178" t="s">
        <v>42</v>
      </c>
      <c r="I331" s="178">
        <v>6795</v>
      </c>
      <c r="J331" s="178"/>
      <c r="K331" s="178"/>
      <c r="L331" s="178" t="s">
        <v>59</v>
      </c>
      <c r="M331" s="178">
        <v>120</v>
      </c>
      <c r="N331" s="178">
        <v>300</v>
      </c>
      <c r="O331" s="178"/>
      <c r="P331" s="178"/>
      <c r="Q331" s="178"/>
      <c r="R331" s="178" t="s">
        <v>19</v>
      </c>
      <c r="S331" s="181"/>
      <c r="T331" s="181"/>
      <c r="U331" s="182"/>
      <c r="V331" s="182" t="s">
        <v>35</v>
      </c>
      <c r="W331" s="183">
        <v>30</v>
      </c>
      <c r="X331" s="182" t="s">
        <v>51</v>
      </c>
      <c r="Y331" s="184">
        <v>2610</v>
      </c>
      <c r="Z331" s="184">
        <v>2610</v>
      </c>
      <c r="AA331" s="184">
        <v>2610</v>
      </c>
      <c r="AB331" s="184">
        <v>2610</v>
      </c>
      <c r="AC331" s="184">
        <v>2610</v>
      </c>
      <c r="AD331" s="184">
        <v>2610</v>
      </c>
      <c r="AE331" s="184">
        <v>2240</v>
      </c>
      <c r="AF331" s="184">
        <v>2240</v>
      </c>
      <c r="AG331" s="184">
        <v>2240</v>
      </c>
      <c r="AH331" s="184">
        <v>2045</v>
      </c>
      <c r="AI331" s="184">
        <v>2045</v>
      </c>
      <c r="AJ331" s="184">
        <v>2045</v>
      </c>
      <c r="AK331" s="146">
        <f>AK330+50</f>
        <v>2150</v>
      </c>
      <c r="AL331" s="146">
        <f>AL330+50</f>
        <v>2150</v>
      </c>
      <c r="AM331" s="146">
        <f>AM330+50</f>
        <v>2150</v>
      </c>
      <c r="AN331" s="184">
        <v>2280</v>
      </c>
      <c r="AO331" s="184">
        <v>2280</v>
      </c>
      <c r="AP331" s="184">
        <v>2280</v>
      </c>
      <c r="AQ331" s="184">
        <v>2430</v>
      </c>
      <c r="AR331" s="184">
        <v>2430</v>
      </c>
      <c r="AS331" s="184">
        <v>2430</v>
      </c>
      <c r="AT331" s="184">
        <v>2430</v>
      </c>
      <c r="AU331" s="184">
        <v>2430</v>
      </c>
      <c r="AV331" s="184">
        <v>2430</v>
      </c>
      <c r="AW331" s="184">
        <v>2350</v>
      </c>
      <c r="AX331" s="184">
        <v>2350</v>
      </c>
      <c r="AY331" s="184">
        <v>2350</v>
      </c>
      <c r="AZ331" s="184">
        <v>2150</v>
      </c>
      <c r="BA331" s="184">
        <v>2150</v>
      </c>
      <c r="BB331" s="184">
        <v>2450</v>
      </c>
      <c r="BC331" s="184">
        <v>2450</v>
      </c>
      <c r="BD331" s="184">
        <v>2450</v>
      </c>
      <c r="BE331" s="184">
        <v>2450</v>
      </c>
      <c r="BF331" s="184">
        <v>2370</v>
      </c>
      <c r="BG331" s="184">
        <v>2370</v>
      </c>
      <c r="BH331" s="184">
        <v>2370</v>
      </c>
      <c r="BI331" s="184"/>
      <c r="BJ331" s="184"/>
      <c r="BK331" s="184"/>
      <c r="BL331" s="184"/>
      <c r="BM331" s="184"/>
      <c r="BN331" s="184"/>
      <c r="BO331" s="184"/>
      <c r="BP331" s="184"/>
      <c r="BQ331" s="184"/>
      <c r="BR331" s="184"/>
      <c r="BS331" s="184"/>
      <c r="BT331" s="184"/>
      <c r="BU331" s="146" cm="1">
        <f t="array" ref="BU331">LOOKUP(2,1/(Y331:BT331&lt;&gt;""),Y331:BH331)</f>
        <v>2370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45992</v>
      </c>
      <c r="BW331" s="211" cm="1">
        <f t="array" ref="BW331">(LOOKUP(2,1/(BH331:BT331&lt;&gt;""),BH331:BT331))/(INDEX(BH331:BT331,MATCH(TRUE,INDEX((BH331:BT331&lt;&gt;0),0),0)))-1</f>
        <v>0</v>
      </c>
      <c r="BX331" s="212">
        <f t="shared" si="93"/>
        <v>2.37</v>
      </c>
      <c r="BY331" s="212">
        <f t="shared" si="92"/>
        <v>13.983000000000002</v>
      </c>
      <c r="BZ331" s="212">
        <f ca="1">IF(L331="BR",'Impostos e Frete'!$F$6,IF(L331="EU",'Impostos e Frete'!$I$3,IF(L331="CN",'Impostos e Frete'!$I$4,IF(L331="JP",'Impostos e Frete'!$I$5,IF(L331="RU",'Impostos e Frete'!$I$7,"ERRO")))))</f>
        <v>0.14176320000000001</v>
      </c>
      <c r="CA331" s="212">
        <f>VLOOKUP(L331,'Impostos e Frete'!$A$3:$B$7,2,0)*'Preços e Condições'!BY331</f>
        <v>1.8177900000000005</v>
      </c>
      <c r="CB331" s="147">
        <f t="shared" si="94"/>
        <v>0</v>
      </c>
      <c r="CC331" s="147">
        <f>IF(X331="BRL",'Impostos e Frete'!$B$11,'Impostos e Frete'!$B$12)</f>
        <v>9.1999999999999998E-2</v>
      </c>
      <c r="CD331" s="213">
        <f t="shared" ca="1" si="95"/>
        <v>16.034553200000001</v>
      </c>
      <c r="CE331" s="214">
        <f t="shared" ca="1" si="96"/>
        <v>1.1224187240000001</v>
      </c>
      <c r="CF331" s="215">
        <f>VLOOKUP(L331,'Impostos e Frete'!$A$3:$C$7,3,0)</f>
        <v>105</v>
      </c>
      <c r="CG331" s="215">
        <f t="shared" si="97"/>
        <v>120</v>
      </c>
      <c r="CH331" s="215">
        <f t="shared" si="98"/>
        <v>15</v>
      </c>
      <c r="CI331" s="216">
        <f t="shared" ca="1" si="99"/>
        <v>-0.11892292600975196</v>
      </c>
      <c r="CJ331" s="217">
        <f t="shared" ca="1" si="100"/>
        <v>15.915630273990249</v>
      </c>
      <c r="CK331" s="218">
        <f t="shared" ca="1" si="101"/>
        <v>1.1140941191793174</v>
      </c>
    </row>
    <row r="332" spans="1:89">
      <c r="A332" s="176">
        <v>17045</v>
      </c>
      <c r="B332" s="177">
        <v>8292</v>
      </c>
      <c r="C332" s="178">
        <v>70</v>
      </c>
      <c r="D332" s="178">
        <v>1920</v>
      </c>
      <c r="E332" s="178" t="s">
        <v>50</v>
      </c>
      <c r="F332" s="179" t="s">
        <v>47</v>
      </c>
      <c r="G332" s="185" t="s">
        <v>302</v>
      </c>
      <c r="H332" s="178" t="s">
        <v>42</v>
      </c>
      <c r="I332" s="178">
        <v>6795</v>
      </c>
      <c r="J332" s="178"/>
      <c r="K332" s="178"/>
      <c r="L332" s="178" t="s">
        <v>59</v>
      </c>
      <c r="M332" s="178">
        <v>120</v>
      </c>
      <c r="N332" s="178">
        <v>300</v>
      </c>
      <c r="O332" s="178"/>
      <c r="P332" s="178"/>
      <c r="Q332" s="178"/>
      <c r="R332" s="178" t="s">
        <v>19</v>
      </c>
      <c r="S332" s="181"/>
      <c r="T332" s="181"/>
      <c r="U332" s="182"/>
      <c r="V332" s="182" t="s">
        <v>35</v>
      </c>
      <c r="W332" s="183">
        <v>20</v>
      </c>
      <c r="X332" s="182" t="s">
        <v>51</v>
      </c>
      <c r="Y332" s="184">
        <v>2660</v>
      </c>
      <c r="Z332" s="184">
        <v>2660</v>
      </c>
      <c r="AA332" s="184">
        <v>2660</v>
      </c>
      <c r="AB332" s="184">
        <v>2660</v>
      </c>
      <c r="AC332" s="184">
        <v>2660</v>
      </c>
      <c r="AD332" s="184">
        <v>2660</v>
      </c>
      <c r="AE332" s="184">
        <v>2290</v>
      </c>
      <c r="AF332" s="184">
        <v>2290</v>
      </c>
      <c r="AG332" s="184">
        <v>2290</v>
      </c>
      <c r="AH332" s="184">
        <v>2050</v>
      </c>
      <c r="AI332" s="184">
        <v>2050</v>
      </c>
      <c r="AJ332" s="184">
        <v>2050</v>
      </c>
      <c r="AK332" s="146">
        <f>AK330+100</f>
        <v>2200</v>
      </c>
      <c r="AL332" s="146">
        <f>AL330+100</f>
        <v>2200</v>
      </c>
      <c r="AM332" s="146">
        <f>AM330+100</f>
        <v>2200</v>
      </c>
      <c r="AN332" s="184">
        <v>2330</v>
      </c>
      <c r="AO332" s="184">
        <v>2330</v>
      </c>
      <c r="AP332" s="184">
        <v>2330</v>
      </c>
      <c r="AQ332" s="184">
        <v>2480</v>
      </c>
      <c r="AR332" s="184">
        <v>2480</v>
      </c>
      <c r="AS332" s="184">
        <v>2480</v>
      </c>
      <c r="AT332" s="184">
        <v>2480</v>
      </c>
      <c r="AU332" s="184">
        <v>2480</v>
      </c>
      <c r="AV332" s="184">
        <v>2480</v>
      </c>
      <c r="AW332" s="184">
        <v>2400</v>
      </c>
      <c r="AX332" s="184">
        <v>2400</v>
      </c>
      <c r="AY332" s="184">
        <v>2400</v>
      </c>
      <c r="AZ332" s="184">
        <v>2200</v>
      </c>
      <c r="BA332" s="184">
        <v>2200</v>
      </c>
      <c r="BB332" s="184">
        <v>2500</v>
      </c>
      <c r="BC332" s="184">
        <v>2500</v>
      </c>
      <c r="BD332" s="184">
        <v>2500</v>
      </c>
      <c r="BE332" s="184">
        <v>2500</v>
      </c>
      <c r="BF332" s="184">
        <v>2420</v>
      </c>
      <c r="BG332" s="184">
        <v>2420</v>
      </c>
      <c r="BH332" s="184">
        <v>2420</v>
      </c>
      <c r="BI332" s="184"/>
      <c r="BJ332" s="184"/>
      <c r="BK332" s="184"/>
      <c r="BL332" s="184"/>
      <c r="BM332" s="184"/>
      <c r="BN332" s="184"/>
      <c r="BO332" s="184"/>
      <c r="BP332" s="184"/>
      <c r="BQ332" s="184"/>
      <c r="BR332" s="184"/>
      <c r="BS332" s="184"/>
      <c r="BT332" s="184"/>
      <c r="BU332" s="146" cm="1">
        <f t="array" ref="BU332">LOOKUP(2,1/(Y332:BT332&lt;&gt;""),Y332:BH332)</f>
        <v>2420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45992</v>
      </c>
      <c r="BW332" s="211" cm="1">
        <f t="array" ref="BW332">(LOOKUP(2,1/(BH332:BT332&lt;&gt;""),BH332:BT332))/(INDEX(BH332:BT332,MATCH(TRUE,INDEX((BH332:BT332&lt;&gt;0),0),0)))-1</f>
        <v>0</v>
      </c>
      <c r="BX332" s="212">
        <f t="shared" si="93"/>
        <v>2.42</v>
      </c>
      <c r="BY332" s="212">
        <f t="shared" si="92"/>
        <v>14.278</v>
      </c>
      <c r="BZ332" s="212">
        <f ca="1">IF(L332="BR",'Impostos e Frete'!$F$6,IF(L332="EU",'Impostos e Frete'!$I$3,IF(L332="CN",'Impostos e Frete'!$I$4,IF(L332="JP",'Impostos e Frete'!$I$5,IF(L332="RU",'Impostos e Frete'!$I$7,"ERRO")))))</f>
        <v>0.14176320000000001</v>
      </c>
      <c r="CA332" s="212">
        <f>VLOOKUP(L332,'Impostos e Frete'!$A$3:$B$7,2,0)*'Preços e Condições'!BY332</f>
        <v>1.8561400000000001</v>
      </c>
      <c r="CB332" s="147">
        <f t="shared" si="94"/>
        <v>0</v>
      </c>
      <c r="CC332" s="147">
        <f>IF(X332="BRL",'Impostos e Frete'!$B$11,'Impostos e Frete'!$B$12)</f>
        <v>9.1999999999999998E-2</v>
      </c>
      <c r="CD332" s="213">
        <f t="shared" ca="1" si="95"/>
        <v>16.367903200000001</v>
      </c>
      <c r="CE332" s="214">
        <f t="shared" ca="1" si="96"/>
        <v>1.1457532240000001</v>
      </c>
      <c r="CF332" s="215">
        <f>VLOOKUP(L332,'Impostos e Frete'!$A$3:$C$7,3,0)</f>
        <v>105</v>
      </c>
      <c r="CG332" s="215">
        <f t="shared" si="97"/>
        <v>120</v>
      </c>
      <c r="CH332" s="215">
        <f t="shared" si="98"/>
        <v>15</v>
      </c>
      <c r="CI332" s="216">
        <f t="shared" ca="1" si="99"/>
        <v>-0.12139527163054353</v>
      </c>
      <c r="CJ332" s="217">
        <f t="shared" ca="1" si="100"/>
        <v>16.246507928369457</v>
      </c>
      <c r="CK332" s="218">
        <f t="shared" ca="1" si="101"/>
        <v>1.1372555549858621</v>
      </c>
    </row>
    <row r="333" spans="1:89">
      <c r="A333" s="176">
        <v>17045</v>
      </c>
      <c r="B333" s="177">
        <v>8292</v>
      </c>
      <c r="C333" s="178">
        <v>70</v>
      </c>
      <c r="D333" s="178">
        <v>1920</v>
      </c>
      <c r="E333" s="178" t="s">
        <v>50</v>
      </c>
      <c r="F333" s="179" t="s">
        <v>47</v>
      </c>
      <c r="G333" s="185" t="s">
        <v>302</v>
      </c>
      <c r="H333" s="178" t="s">
        <v>42</v>
      </c>
      <c r="I333" s="178">
        <v>6795</v>
      </c>
      <c r="J333" s="178"/>
      <c r="K333" s="178"/>
      <c r="L333" s="178" t="s">
        <v>59</v>
      </c>
      <c r="M333" s="178">
        <v>120</v>
      </c>
      <c r="N333" s="178">
        <v>300</v>
      </c>
      <c r="O333" s="178"/>
      <c r="P333" s="178"/>
      <c r="Q333" s="178"/>
      <c r="R333" s="178" t="s">
        <v>19</v>
      </c>
      <c r="S333" s="181"/>
      <c r="T333" s="181"/>
      <c r="U333" s="182"/>
      <c r="V333" s="182" t="s">
        <v>35</v>
      </c>
      <c r="W333" s="183">
        <v>10</v>
      </c>
      <c r="X333" s="182" t="s">
        <v>51</v>
      </c>
      <c r="Y333" s="184">
        <v>2740</v>
      </c>
      <c r="Z333" s="184">
        <v>2740</v>
      </c>
      <c r="AA333" s="184">
        <v>2740</v>
      </c>
      <c r="AB333" s="184">
        <v>2740</v>
      </c>
      <c r="AC333" s="184">
        <v>2740</v>
      </c>
      <c r="AD333" s="184">
        <v>2740</v>
      </c>
      <c r="AE333" s="184">
        <v>2370</v>
      </c>
      <c r="AF333" s="184">
        <v>2370</v>
      </c>
      <c r="AG333" s="184">
        <v>2370</v>
      </c>
      <c r="AH333" s="184">
        <v>2058</v>
      </c>
      <c r="AI333" s="184">
        <v>2058</v>
      </c>
      <c r="AJ333" s="184">
        <v>2058</v>
      </c>
      <c r="AK333" s="146">
        <f>AK330+180</f>
        <v>2280</v>
      </c>
      <c r="AL333" s="146">
        <f>AL330+180</f>
        <v>2280</v>
      </c>
      <c r="AM333" s="146">
        <f>AM330+180</f>
        <v>2280</v>
      </c>
      <c r="AN333" s="184">
        <v>2410</v>
      </c>
      <c r="AO333" s="184">
        <v>2410</v>
      </c>
      <c r="AP333" s="184">
        <v>2410</v>
      </c>
      <c r="AQ333" s="184">
        <v>2560</v>
      </c>
      <c r="AR333" s="184">
        <v>2560</v>
      </c>
      <c r="AS333" s="184">
        <v>2560</v>
      </c>
      <c r="AT333" s="184">
        <v>2560</v>
      </c>
      <c r="AU333" s="184">
        <v>2560</v>
      </c>
      <c r="AV333" s="184">
        <v>2560</v>
      </c>
      <c r="AW333" s="184">
        <v>2480</v>
      </c>
      <c r="AX333" s="184">
        <v>2480</v>
      </c>
      <c r="AY333" s="184">
        <v>2480</v>
      </c>
      <c r="AZ333" s="184">
        <v>2280</v>
      </c>
      <c r="BA333" s="184">
        <v>2280</v>
      </c>
      <c r="BB333" s="184">
        <v>2580</v>
      </c>
      <c r="BC333" s="184">
        <v>2580</v>
      </c>
      <c r="BD333" s="184">
        <v>2580</v>
      </c>
      <c r="BE333" s="184">
        <v>2580</v>
      </c>
      <c r="BF333" s="184">
        <v>2500</v>
      </c>
      <c r="BG333" s="184">
        <v>2500</v>
      </c>
      <c r="BH333" s="184">
        <v>2500</v>
      </c>
      <c r="BI333" s="184"/>
      <c r="BJ333" s="184"/>
      <c r="BK333" s="184"/>
      <c r="BL333" s="184"/>
      <c r="BM333" s="184"/>
      <c r="BN333" s="184"/>
      <c r="BO333" s="184"/>
      <c r="BP333" s="184"/>
      <c r="BQ333" s="184"/>
      <c r="BR333" s="184"/>
      <c r="BS333" s="184"/>
      <c r="BT333" s="184"/>
      <c r="BU333" s="146" cm="1">
        <f t="array" ref="BU333">LOOKUP(2,1/(Y333:BT333&lt;&gt;""),Y333:BH333)</f>
        <v>2500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45992</v>
      </c>
      <c r="BW333" s="211" cm="1">
        <f t="array" ref="BW333">(LOOKUP(2,1/(BH333:BT333&lt;&gt;""),BH333:BT333))/(INDEX(BH333:BT333,MATCH(TRUE,INDEX((BH333:BT333&lt;&gt;0),0),0)))-1</f>
        <v>0</v>
      </c>
      <c r="BX333" s="212">
        <f t="shared" si="93"/>
        <v>2.5</v>
      </c>
      <c r="BY333" s="212">
        <f t="shared" si="92"/>
        <v>14.75</v>
      </c>
      <c r="BZ333" s="212">
        <f ca="1">IF(L333="BR",'Impostos e Frete'!$F$6,IF(L333="EU",'Impostos e Frete'!$I$3,IF(L333="CN",'Impostos e Frete'!$I$4,IF(L333="JP",'Impostos e Frete'!$I$5,IF(L333="RU",'Impostos e Frete'!$I$7,"ERRO")))))</f>
        <v>0.14176320000000001</v>
      </c>
      <c r="CA333" s="212">
        <f>VLOOKUP(L333,'Impostos e Frete'!$A$3:$B$7,2,0)*'Preços e Condições'!BY333</f>
        <v>1.9175</v>
      </c>
      <c r="CB333" s="147">
        <f t="shared" si="94"/>
        <v>0</v>
      </c>
      <c r="CC333" s="147">
        <f>IF(X333="BRL",'Impostos e Frete'!$B$11,'Impostos e Frete'!$B$12)</f>
        <v>9.1999999999999998E-2</v>
      </c>
      <c r="CD333" s="213">
        <f t="shared" ca="1" si="95"/>
        <v>16.901263199999999</v>
      </c>
      <c r="CE333" s="214">
        <f t="shared" ca="1" si="96"/>
        <v>1.1830884239999999</v>
      </c>
      <c r="CF333" s="215">
        <f>VLOOKUP(L333,'Impostos e Frete'!$A$3:$C$7,3,0)</f>
        <v>105</v>
      </c>
      <c r="CG333" s="215">
        <f t="shared" si="97"/>
        <v>120</v>
      </c>
      <c r="CH333" s="215">
        <f t="shared" si="98"/>
        <v>15</v>
      </c>
      <c r="CI333" s="216">
        <f t="shared" ca="1" si="99"/>
        <v>-0.12535102462380721</v>
      </c>
      <c r="CJ333" s="217">
        <f t="shared" ca="1" si="100"/>
        <v>16.775912175376192</v>
      </c>
      <c r="CK333" s="218">
        <f t="shared" ca="1" si="101"/>
        <v>1.1743138522763334</v>
      </c>
    </row>
    <row r="334" spans="1:89">
      <c r="A334" s="176">
        <v>17002</v>
      </c>
      <c r="B334" s="177">
        <v>104</v>
      </c>
      <c r="C334" s="178">
        <v>70</v>
      </c>
      <c r="D334" s="178">
        <v>1870</v>
      </c>
      <c r="E334" s="178" t="s">
        <v>50</v>
      </c>
      <c r="F334" s="179" t="s">
        <v>47</v>
      </c>
      <c r="G334" s="185" t="s">
        <v>93</v>
      </c>
      <c r="H334" s="178" t="s">
        <v>43</v>
      </c>
      <c r="I334" s="178">
        <v>6412</v>
      </c>
      <c r="J334" s="178"/>
      <c r="K334" s="178"/>
      <c r="L334" s="178" t="s">
        <v>59</v>
      </c>
      <c r="M334" s="178">
        <v>120</v>
      </c>
      <c r="N334" s="178">
        <v>300</v>
      </c>
      <c r="O334" s="178"/>
      <c r="P334" s="178"/>
      <c r="Q334" s="178"/>
      <c r="R334" s="178" t="s">
        <v>19</v>
      </c>
      <c r="S334" s="181"/>
      <c r="T334" s="181"/>
      <c r="U334" s="182"/>
      <c r="V334" s="182" t="s">
        <v>35</v>
      </c>
      <c r="W334" s="183">
        <v>50</v>
      </c>
      <c r="X334" s="182" t="s">
        <v>51</v>
      </c>
      <c r="Y334" s="184">
        <v>3010</v>
      </c>
      <c r="Z334" s="184">
        <v>3010</v>
      </c>
      <c r="AA334" s="184">
        <v>3010</v>
      </c>
      <c r="AB334" s="184">
        <v>3010</v>
      </c>
      <c r="AC334" s="184">
        <v>3010</v>
      </c>
      <c r="AD334" s="184">
        <v>3010</v>
      </c>
      <c r="AE334" s="184">
        <v>2350</v>
      </c>
      <c r="AF334" s="184">
        <v>2350</v>
      </c>
      <c r="AG334" s="184">
        <v>2350</v>
      </c>
      <c r="AH334" s="184">
        <v>2200</v>
      </c>
      <c r="AI334" s="184">
        <v>2200</v>
      </c>
      <c r="AJ334" s="184">
        <v>2200</v>
      </c>
      <c r="AK334" s="184">
        <v>2260</v>
      </c>
      <c r="AL334" s="184">
        <v>2260</v>
      </c>
      <c r="AM334" s="184">
        <v>2260</v>
      </c>
      <c r="AN334" s="184">
        <v>2390</v>
      </c>
      <c r="AO334" s="184">
        <v>2390</v>
      </c>
      <c r="AP334" s="184">
        <v>2390</v>
      </c>
      <c r="AQ334" s="184">
        <v>2540</v>
      </c>
      <c r="AR334" s="184">
        <v>2540</v>
      </c>
      <c r="AS334" s="184">
        <v>2540</v>
      </c>
      <c r="AT334" s="184">
        <v>2540</v>
      </c>
      <c r="AU334" s="184">
        <v>2540</v>
      </c>
      <c r="AV334" s="184">
        <v>2540</v>
      </c>
      <c r="AW334" s="184">
        <v>2460</v>
      </c>
      <c r="AX334" s="184">
        <v>2460</v>
      </c>
      <c r="AY334" s="184">
        <v>2460</v>
      </c>
      <c r="AZ334" s="184">
        <v>2220</v>
      </c>
      <c r="BA334" s="184">
        <v>2220</v>
      </c>
      <c r="BB334" s="184">
        <v>2350</v>
      </c>
      <c r="BC334" s="184">
        <v>2350</v>
      </c>
      <c r="BD334" s="184">
        <v>2350</v>
      </c>
      <c r="BE334" s="184">
        <v>2350</v>
      </c>
      <c r="BF334" s="184">
        <v>2250</v>
      </c>
      <c r="BG334" s="184">
        <v>2250</v>
      </c>
      <c r="BH334" s="184">
        <v>2250</v>
      </c>
      <c r="BI334" s="184">
        <v>2280</v>
      </c>
      <c r="BJ334" s="184">
        <v>2280</v>
      </c>
      <c r="BK334" s="184">
        <v>2280</v>
      </c>
      <c r="BL334" s="184">
        <v>2380</v>
      </c>
      <c r="BM334" s="184">
        <v>2380</v>
      </c>
      <c r="BN334" s="184">
        <v>2380</v>
      </c>
      <c r="BO334" s="184"/>
      <c r="BP334" s="184"/>
      <c r="BQ334" s="184"/>
      <c r="BR334" s="184"/>
      <c r="BS334" s="184"/>
      <c r="BT334" s="184"/>
      <c r="BU334" s="146" cm="1">
        <f t="array" ref="BU334">LOOKUP(2,1/(Y334:BT334&lt;&gt;""),Y334:BH334)</f>
        <v>2380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46174</v>
      </c>
      <c r="BW334" s="211" cm="1">
        <f t="array" ref="BW334">(LOOKUP(2,1/(BH334:BT334&lt;&gt;""),BH334:BT334))/(INDEX(BH334:BT334,MATCH(TRUE,INDEX((BH334:BT334&lt;&gt;0),0),0)))-1</f>
        <v>5.7777777777777706E-2</v>
      </c>
      <c r="BX334" s="212">
        <f t="shared" si="93"/>
        <v>2.38</v>
      </c>
      <c r="BY334" s="212">
        <f t="shared" si="92"/>
        <v>14.042</v>
      </c>
      <c r="BZ334" s="212">
        <f ca="1">IF(L334="BR",'Impostos e Frete'!$F$6,IF(L334="EU",'Impostos e Frete'!$I$3,IF(L334="CN",'Impostos e Frete'!$I$4,IF(L334="JP",'Impostos e Frete'!$I$5,IF(L334="RU",'Impostos e Frete'!$I$7,"ERRO")))))</f>
        <v>0.14176320000000001</v>
      </c>
      <c r="CA334" s="212">
        <f>VLOOKUP(L334,'Impostos e Frete'!$A$3:$B$7,2,0)*'Preços e Condições'!BY334</f>
        <v>1.8254600000000001</v>
      </c>
      <c r="CB334" s="147">
        <f t="shared" si="94"/>
        <v>0</v>
      </c>
      <c r="CC334" s="147">
        <f>IF(X334="BRL",'Impostos e Frete'!$B$11,'Impostos e Frete'!$B$12)</f>
        <v>9.1999999999999998E-2</v>
      </c>
      <c r="CD334" s="213">
        <f t="shared" ca="1" si="95"/>
        <v>16.1012232</v>
      </c>
      <c r="CE334" s="214">
        <f t="shared" ca="1" si="96"/>
        <v>1.127085624</v>
      </c>
      <c r="CF334" s="215">
        <f>VLOOKUP(L334,'Impostos e Frete'!$A$3:$C$7,3,0)</f>
        <v>105</v>
      </c>
      <c r="CG334" s="215">
        <f t="shared" si="97"/>
        <v>120</v>
      </c>
      <c r="CH334" s="215">
        <f t="shared" si="98"/>
        <v>15</v>
      </c>
      <c r="CI334" s="216">
        <f t="shared" ca="1" si="99"/>
        <v>-0.11941739513390992</v>
      </c>
      <c r="CJ334" s="217">
        <f t="shared" ca="1" si="100"/>
        <v>15.98180580486609</v>
      </c>
      <c r="CK334" s="218">
        <f t="shared" ca="1" si="101"/>
        <v>1.1187264063406261</v>
      </c>
    </row>
    <row r="335" spans="1:89">
      <c r="A335" s="176">
        <v>17002</v>
      </c>
      <c r="B335" s="177">
        <v>104</v>
      </c>
      <c r="C335" s="178">
        <v>70</v>
      </c>
      <c r="D335" s="178">
        <v>1870</v>
      </c>
      <c r="E335" s="178" t="s">
        <v>50</v>
      </c>
      <c r="F335" s="179" t="s">
        <v>47</v>
      </c>
      <c r="G335" s="185" t="s">
        <v>93</v>
      </c>
      <c r="H335" s="178" t="s">
        <v>43</v>
      </c>
      <c r="I335" s="178">
        <v>6412</v>
      </c>
      <c r="J335" s="178"/>
      <c r="K335" s="178"/>
      <c r="L335" s="178" t="s">
        <v>59</v>
      </c>
      <c r="M335" s="178">
        <v>120</v>
      </c>
      <c r="N335" s="178">
        <v>300</v>
      </c>
      <c r="O335" s="178"/>
      <c r="P335" s="178"/>
      <c r="Q335" s="178"/>
      <c r="R335" s="178" t="s">
        <v>19</v>
      </c>
      <c r="S335" s="181"/>
      <c r="T335" s="181"/>
      <c r="U335" s="182"/>
      <c r="V335" s="182" t="s">
        <v>35</v>
      </c>
      <c r="W335" s="183">
        <v>30</v>
      </c>
      <c r="X335" s="182" t="s">
        <v>51</v>
      </c>
      <c r="Y335" s="184">
        <v>3060</v>
      </c>
      <c r="Z335" s="184">
        <v>3060</v>
      </c>
      <c r="AA335" s="184">
        <v>3060</v>
      </c>
      <c r="AB335" s="184">
        <v>3060</v>
      </c>
      <c r="AC335" s="184">
        <v>3060</v>
      </c>
      <c r="AD335" s="184">
        <v>3060</v>
      </c>
      <c r="AE335" s="184">
        <v>2400</v>
      </c>
      <c r="AF335" s="184">
        <v>2400</v>
      </c>
      <c r="AG335" s="184">
        <v>2400</v>
      </c>
      <c r="AH335" s="184">
        <v>2250</v>
      </c>
      <c r="AI335" s="184">
        <v>2250</v>
      </c>
      <c r="AJ335" s="184">
        <v>2250</v>
      </c>
      <c r="AK335" s="146">
        <f>AK334+50</f>
        <v>2310</v>
      </c>
      <c r="AL335" s="146">
        <f>AL334+50</f>
        <v>2310</v>
      </c>
      <c r="AM335" s="146">
        <f>AM334+50</f>
        <v>2310</v>
      </c>
      <c r="AN335" s="184">
        <v>2440</v>
      </c>
      <c r="AO335" s="184">
        <v>2440</v>
      </c>
      <c r="AP335" s="184">
        <v>2440</v>
      </c>
      <c r="AQ335" s="184">
        <v>2590</v>
      </c>
      <c r="AR335" s="184">
        <v>2590</v>
      </c>
      <c r="AS335" s="184">
        <v>2590</v>
      </c>
      <c r="AT335" s="184">
        <v>2590</v>
      </c>
      <c r="AU335" s="184">
        <v>2590</v>
      </c>
      <c r="AV335" s="184">
        <v>2590</v>
      </c>
      <c r="AW335" s="184">
        <v>2510</v>
      </c>
      <c r="AX335" s="184">
        <v>2510</v>
      </c>
      <c r="AY335" s="184">
        <v>2510</v>
      </c>
      <c r="AZ335" s="184">
        <v>2270</v>
      </c>
      <c r="BA335" s="184">
        <v>2270</v>
      </c>
      <c r="BB335" s="184">
        <v>2400</v>
      </c>
      <c r="BC335" s="184">
        <v>2400</v>
      </c>
      <c r="BD335" s="184">
        <v>2400</v>
      </c>
      <c r="BE335" s="184">
        <v>2400</v>
      </c>
      <c r="BF335" s="184">
        <v>2300</v>
      </c>
      <c r="BG335" s="184">
        <v>2300</v>
      </c>
      <c r="BH335" s="184">
        <v>2300</v>
      </c>
      <c r="BI335" s="184">
        <v>2330</v>
      </c>
      <c r="BJ335" s="184">
        <v>2330</v>
      </c>
      <c r="BK335" s="184">
        <v>2330</v>
      </c>
      <c r="BL335" s="184">
        <v>2430</v>
      </c>
      <c r="BM335" s="184">
        <v>2430</v>
      </c>
      <c r="BN335" s="184">
        <v>2430</v>
      </c>
      <c r="BO335" s="184"/>
      <c r="BP335" s="184"/>
      <c r="BQ335" s="184"/>
      <c r="BR335" s="184"/>
      <c r="BS335" s="184"/>
      <c r="BT335" s="184"/>
      <c r="BU335" s="146" cm="1">
        <f t="array" ref="BU335">LOOKUP(2,1/(Y335:BT335&lt;&gt;""),Y335:BH335)</f>
        <v>2430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46174</v>
      </c>
      <c r="BW335" s="211" cm="1">
        <f t="array" ref="BW335">(LOOKUP(2,1/(BH335:BT335&lt;&gt;""),BH335:BT335))/(INDEX(BH335:BT335,MATCH(TRUE,INDEX((BH335:BT335&lt;&gt;0),0),0)))-1</f>
        <v>5.6521739130434678E-2</v>
      </c>
      <c r="BX335" s="212">
        <f t="shared" si="93"/>
        <v>2.4300000000000002</v>
      </c>
      <c r="BY335" s="212">
        <f t="shared" si="92"/>
        <v>14.337000000000002</v>
      </c>
      <c r="BZ335" s="212">
        <f ca="1">IF(L335="BR",'Impostos e Frete'!$F$6,IF(L335="EU",'Impostos e Frete'!$I$3,IF(L335="CN",'Impostos e Frete'!$I$4,IF(L335="JP",'Impostos e Frete'!$I$5,IF(L335="RU",'Impostos e Frete'!$I$7,"ERRO")))))</f>
        <v>0.14176320000000001</v>
      </c>
      <c r="CA335" s="212">
        <f>VLOOKUP(L335,'Impostos e Frete'!$A$3:$B$7,2,0)*'Preços e Condições'!BY335</f>
        <v>1.8638100000000002</v>
      </c>
      <c r="CB335" s="147">
        <f t="shared" si="94"/>
        <v>0</v>
      </c>
      <c r="CC335" s="147">
        <f>IF(X335="BRL",'Impostos e Frete'!$B$11,'Impostos e Frete'!$B$12)</f>
        <v>9.1999999999999998E-2</v>
      </c>
      <c r="CD335" s="213">
        <f t="shared" ca="1" si="95"/>
        <v>16.434573199999999</v>
      </c>
      <c r="CE335" s="214">
        <f t="shared" ca="1" si="96"/>
        <v>1.150420124</v>
      </c>
      <c r="CF335" s="215">
        <f>VLOOKUP(L335,'Impostos e Frete'!$A$3:$C$7,3,0)</f>
        <v>105</v>
      </c>
      <c r="CG335" s="215">
        <f t="shared" si="97"/>
        <v>120</v>
      </c>
      <c r="CH335" s="215">
        <f t="shared" si="98"/>
        <v>15</v>
      </c>
      <c r="CI335" s="216">
        <f t="shared" ca="1" si="99"/>
        <v>-0.12188974075469972</v>
      </c>
      <c r="CJ335" s="217">
        <f t="shared" ca="1" si="100"/>
        <v>16.312683459245299</v>
      </c>
      <c r="CK335" s="218">
        <f t="shared" ca="1" si="101"/>
        <v>1.141887842147171</v>
      </c>
    </row>
    <row r="336" spans="1:89">
      <c r="A336" s="176">
        <v>17002</v>
      </c>
      <c r="B336" s="177">
        <v>104</v>
      </c>
      <c r="C336" s="178">
        <v>70</v>
      </c>
      <c r="D336" s="178">
        <v>1870</v>
      </c>
      <c r="E336" s="178" t="s">
        <v>50</v>
      </c>
      <c r="F336" s="179" t="s">
        <v>47</v>
      </c>
      <c r="G336" s="185" t="s">
        <v>93</v>
      </c>
      <c r="H336" s="178" t="s">
        <v>43</v>
      </c>
      <c r="I336" s="178">
        <v>6412</v>
      </c>
      <c r="J336" s="178"/>
      <c r="K336" s="178"/>
      <c r="L336" s="178" t="s">
        <v>59</v>
      </c>
      <c r="M336" s="178">
        <v>120</v>
      </c>
      <c r="N336" s="178">
        <v>300</v>
      </c>
      <c r="O336" s="178"/>
      <c r="P336" s="178"/>
      <c r="Q336" s="178"/>
      <c r="R336" s="178" t="s">
        <v>19</v>
      </c>
      <c r="S336" s="181"/>
      <c r="T336" s="181"/>
      <c r="U336" s="182"/>
      <c r="V336" s="182" t="s">
        <v>35</v>
      </c>
      <c r="W336" s="183">
        <v>20</v>
      </c>
      <c r="X336" s="182" t="s">
        <v>51</v>
      </c>
      <c r="Y336" s="184">
        <v>3110</v>
      </c>
      <c r="Z336" s="184">
        <v>3110</v>
      </c>
      <c r="AA336" s="184">
        <v>3110</v>
      </c>
      <c r="AB336" s="184">
        <v>3110</v>
      </c>
      <c r="AC336" s="184">
        <v>3110</v>
      </c>
      <c r="AD336" s="184">
        <v>3110</v>
      </c>
      <c r="AE336" s="184">
        <v>2450</v>
      </c>
      <c r="AF336" s="184">
        <v>2450</v>
      </c>
      <c r="AG336" s="184">
        <v>2450</v>
      </c>
      <c r="AH336" s="184">
        <v>2300</v>
      </c>
      <c r="AI336" s="184">
        <v>2300</v>
      </c>
      <c r="AJ336" s="184">
        <v>2300</v>
      </c>
      <c r="AK336" s="146">
        <f>AK334+100</f>
        <v>2360</v>
      </c>
      <c r="AL336" s="146">
        <f>AL334+100</f>
        <v>2360</v>
      </c>
      <c r="AM336" s="146">
        <f>AM334+100</f>
        <v>2360</v>
      </c>
      <c r="AN336" s="184">
        <v>2490</v>
      </c>
      <c r="AO336" s="184">
        <v>2490</v>
      </c>
      <c r="AP336" s="184">
        <v>2490</v>
      </c>
      <c r="AQ336" s="184">
        <v>2640</v>
      </c>
      <c r="AR336" s="184">
        <v>2640</v>
      </c>
      <c r="AS336" s="184">
        <v>2640</v>
      </c>
      <c r="AT336" s="184">
        <v>2640</v>
      </c>
      <c r="AU336" s="184">
        <v>2640</v>
      </c>
      <c r="AV336" s="184">
        <v>2640</v>
      </c>
      <c r="AW336" s="184">
        <v>2560</v>
      </c>
      <c r="AX336" s="184">
        <v>2560</v>
      </c>
      <c r="AY336" s="184">
        <v>2560</v>
      </c>
      <c r="AZ336" s="184">
        <v>2320</v>
      </c>
      <c r="BA336" s="184">
        <v>2320</v>
      </c>
      <c r="BB336" s="184">
        <v>2450</v>
      </c>
      <c r="BC336" s="184">
        <v>2450</v>
      </c>
      <c r="BD336" s="184">
        <v>2450</v>
      </c>
      <c r="BE336" s="184">
        <v>2450</v>
      </c>
      <c r="BF336" s="184">
        <v>2350</v>
      </c>
      <c r="BG336" s="184">
        <v>2350</v>
      </c>
      <c r="BH336" s="184">
        <v>2350</v>
      </c>
      <c r="BI336" s="184">
        <v>2380</v>
      </c>
      <c r="BJ336" s="184">
        <v>2380</v>
      </c>
      <c r="BK336" s="184">
        <v>2380</v>
      </c>
      <c r="BL336" s="184">
        <v>2480</v>
      </c>
      <c r="BM336" s="184">
        <v>2480</v>
      </c>
      <c r="BN336" s="184">
        <v>2480</v>
      </c>
      <c r="BO336" s="184"/>
      <c r="BP336" s="184"/>
      <c r="BQ336" s="184"/>
      <c r="BR336" s="184"/>
      <c r="BS336" s="184"/>
      <c r="BT336" s="184"/>
      <c r="BU336" s="146" cm="1">
        <f t="array" ref="BU336">LOOKUP(2,1/(Y336:BT336&lt;&gt;""),Y336:BH336)</f>
        <v>2480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46174</v>
      </c>
      <c r="BW336" s="211" cm="1">
        <f t="array" ref="BW336">(LOOKUP(2,1/(BH336:BT336&lt;&gt;""),BH336:BT336))/(INDEX(BH336:BT336,MATCH(TRUE,INDEX((BH336:BT336&lt;&gt;0),0),0)))-1</f>
        <v>5.5319148936170182E-2</v>
      </c>
      <c r="BX336" s="212">
        <f t="shared" si="93"/>
        <v>2.48</v>
      </c>
      <c r="BY336" s="212">
        <f t="shared" si="92"/>
        <v>14.632000000000001</v>
      </c>
      <c r="BZ336" s="212">
        <f ca="1">IF(L336="BR",'Impostos e Frete'!$F$6,IF(L336="EU",'Impostos e Frete'!$I$3,IF(L336="CN",'Impostos e Frete'!$I$4,IF(L336="JP",'Impostos e Frete'!$I$5,IF(L336="RU",'Impostos e Frete'!$I$7,"ERRO")))))</f>
        <v>0.14176320000000001</v>
      </c>
      <c r="CA336" s="212">
        <f>VLOOKUP(L336,'Impostos e Frete'!$A$3:$B$7,2,0)*'Preços e Condições'!BY336</f>
        <v>1.9021600000000003</v>
      </c>
      <c r="CB336" s="147">
        <f t="shared" si="94"/>
        <v>0</v>
      </c>
      <c r="CC336" s="147">
        <f>IF(X336="BRL",'Impostos e Frete'!$B$11,'Impostos e Frete'!$B$12)</f>
        <v>9.1999999999999998E-2</v>
      </c>
      <c r="CD336" s="213">
        <f t="shared" ca="1" si="95"/>
        <v>16.767923199999998</v>
      </c>
      <c r="CE336" s="214">
        <f t="shared" ca="1" si="96"/>
        <v>1.1737546240000001</v>
      </c>
      <c r="CF336" s="215">
        <f>VLOOKUP(L336,'Impostos e Frete'!$A$3:$C$7,3,0)</f>
        <v>105</v>
      </c>
      <c r="CG336" s="215">
        <f t="shared" si="97"/>
        <v>120</v>
      </c>
      <c r="CH336" s="215">
        <f t="shared" si="98"/>
        <v>15</v>
      </c>
      <c r="CI336" s="216">
        <f t="shared" ca="1" si="99"/>
        <v>-0.12436208637549129</v>
      </c>
      <c r="CJ336" s="217">
        <f t="shared" ca="1" si="100"/>
        <v>16.643561113624507</v>
      </c>
      <c r="CK336" s="218">
        <f t="shared" ca="1" si="101"/>
        <v>1.1650492779537154</v>
      </c>
    </row>
    <row r="337" spans="1:89">
      <c r="A337" s="176">
        <v>17002</v>
      </c>
      <c r="B337" s="177">
        <v>104</v>
      </c>
      <c r="C337" s="178">
        <v>70</v>
      </c>
      <c r="D337" s="178">
        <v>1870</v>
      </c>
      <c r="E337" s="178" t="s">
        <v>50</v>
      </c>
      <c r="F337" s="179" t="s">
        <v>47</v>
      </c>
      <c r="G337" s="185" t="s">
        <v>93</v>
      </c>
      <c r="H337" s="178" t="s">
        <v>43</v>
      </c>
      <c r="I337" s="178">
        <v>6412</v>
      </c>
      <c r="J337" s="178"/>
      <c r="K337" s="178"/>
      <c r="L337" s="178" t="s">
        <v>59</v>
      </c>
      <c r="M337" s="178">
        <v>120</v>
      </c>
      <c r="N337" s="178">
        <v>300</v>
      </c>
      <c r="O337" s="178"/>
      <c r="P337" s="178"/>
      <c r="Q337" s="178"/>
      <c r="R337" s="178" t="s">
        <v>19</v>
      </c>
      <c r="S337" s="181"/>
      <c r="T337" s="181"/>
      <c r="U337" s="182"/>
      <c r="V337" s="182" t="s">
        <v>35</v>
      </c>
      <c r="W337" s="183">
        <v>10</v>
      </c>
      <c r="X337" s="182" t="s">
        <v>51</v>
      </c>
      <c r="Y337" s="184">
        <v>3190</v>
      </c>
      <c r="Z337" s="184">
        <v>3190</v>
      </c>
      <c r="AA337" s="184">
        <v>3190</v>
      </c>
      <c r="AB337" s="184">
        <v>3190</v>
      </c>
      <c r="AC337" s="184">
        <v>3190</v>
      </c>
      <c r="AD337" s="184">
        <v>3190</v>
      </c>
      <c r="AE337" s="184">
        <v>2530</v>
      </c>
      <c r="AF337" s="184">
        <v>2530</v>
      </c>
      <c r="AG337" s="184">
        <v>2530</v>
      </c>
      <c r="AH337" s="184">
        <v>2380</v>
      </c>
      <c r="AI337" s="184">
        <v>2380</v>
      </c>
      <c r="AJ337" s="184">
        <v>2380</v>
      </c>
      <c r="AK337" s="146">
        <f>AK334+180</f>
        <v>2440</v>
      </c>
      <c r="AL337" s="146">
        <f>AL334+180</f>
        <v>2440</v>
      </c>
      <c r="AM337" s="146">
        <f>AM334+180</f>
        <v>2440</v>
      </c>
      <c r="AN337" s="184">
        <v>2570</v>
      </c>
      <c r="AO337" s="184">
        <v>2570</v>
      </c>
      <c r="AP337" s="184">
        <v>2570</v>
      </c>
      <c r="AQ337" s="184">
        <v>2720</v>
      </c>
      <c r="AR337" s="184">
        <v>2720</v>
      </c>
      <c r="AS337" s="184">
        <v>2720</v>
      </c>
      <c r="AT337" s="184">
        <v>2720</v>
      </c>
      <c r="AU337" s="184">
        <v>2720</v>
      </c>
      <c r="AV337" s="184">
        <v>2720</v>
      </c>
      <c r="AW337" s="184">
        <v>2640</v>
      </c>
      <c r="AX337" s="184">
        <v>2640</v>
      </c>
      <c r="AY337" s="184">
        <v>2640</v>
      </c>
      <c r="AZ337" s="184">
        <v>2400</v>
      </c>
      <c r="BA337" s="184">
        <v>2400</v>
      </c>
      <c r="BB337" s="184">
        <v>2530</v>
      </c>
      <c r="BC337" s="184">
        <v>2530</v>
      </c>
      <c r="BD337" s="184">
        <v>2530</v>
      </c>
      <c r="BE337" s="184">
        <v>2530</v>
      </c>
      <c r="BF337" s="184">
        <v>2430</v>
      </c>
      <c r="BG337" s="184">
        <v>2430</v>
      </c>
      <c r="BH337" s="184">
        <v>2430</v>
      </c>
      <c r="BI337" s="184">
        <v>2460</v>
      </c>
      <c r="BJ337" s="184">
        <v>2460</v>
      </c>
      <c r="BK337" s="184">
        <v>2460</v>
      </c>
      <c r="BL337" s="184">
        <v>2560</v>
      </c>
      <c r="BM337" s="184">
        <v>2560</v>
      </c>
      <c r="BN337" s="184">
        <v>2560</v>
      </c>
      <c r="BO337" s="184"/>
      <c r="BP337" s="184"/>
      <c r="BQ337" s="184"/>
      <c r="BR337" s="184"/>
      <c r="BS337" s="184"/>
      <c r="BT337" s="184"/>
      <c r="BU337" s="146" cm="1">
        <f t="array" ref="BU337">LOOKUP(2,1/(Y337:BT337&lt;&gt;""),Y337:BH337)</f>
        <v>2560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46174</v>
      </c>
      <c r="BW337" s="211" cm="1">
        <f t="array" ref="BW337">(LOOKUP(2,1/(BH337:BT337&lt;&gt;""),BH337:BT337))/(INDEX(BH337:BT337,MATCH(TRUE,INDEX((BH337:BT337&lt;&gt;0),0),0)))-1</f>
        <v>5.3497942386831365E-2</v>
      </c>
      <c r="BX337" s="212">
        <f t="shared" si="93"/>
        <v>2.56</v>
      </c>
      <c r="BY337" s="212">
        <f t="shared" si="92"/>
        <v>15.104000000000001</v>
      </c>
      <c r="BZ337" s="212">
        <f ca="1">IF(L337="BR",'Impostos e Frete'!$F$6,IF(L337="EU",'Impostos e Frete'!$I$3,IF(L337="CN",'Impostos e Frete'!$I$4,IF(L337="JP",'Impostos e Frete'!$I$5,IF(L337="RU",'Impostos e Frete'!$I$7,"ERRO")))))</f>
        <v>0.14176320000000001</v>
      </c>
      <c r="CA337" s="212">
        <f>VLOOKUP(L337,'Impostos e Frete'!$A$3:$B$7,2,0)*'Preços e Condições'!BY337</f>
        <v>1.9635200000000002</v>
      </c>
      <c r="CB337" s="147">
        <f t="shared" si="94"/>
        <v>0</v>
      </c>
      <c r="CC337" s="147">
        <f>IF(X337="BRL",'Impostos e Frete'!$B$11,'Impostos e Frete'!$B$12)</f>
        <v>9.1999999999999998E-2</v>
      </c>
      <c r="CD337" s="213">
        <f t="shared" ca="1" si="95"/>
        <v>17.3012832</v>
      </c>
      <c r="CE337" s="214">
        <f t="shared" ca="1" si="96"/>
        <v>1.2110898240000001</v>
      </c>
      <c r="CF337" s="215">
        <f>VLOOKUP(L337,'Impostos e Frete'!$A$3:$C$7,3,0)</f>
        <v>105</v>
      </c>
      <c r="CG337" s="215">
        <f t="shared" si="97"/>
        <v>120</v>
      </c>
      <c r="CH337" s="215">
        <f t="shared" si="98"/>
        <v>15</v>
      </c>
      <c r="CI337" s="216">
        <f t="shared" ca="1" si="99"/>
        <v>-0.12831783936875496</v>
      </c>
      <c r="CJ337" s="217">
        <f t="shared" ca="1" si="100"/>
        <v>17.172965360631245</v>
      </c>
      <c r="CK337" s="218">
        <f t="shared" ca="1" si="101"/>
        <v>1.2021075752441872</v>
      </c>
    </row>
    <row r="338" spans="1:89">
      <c r="A338" s="176">
        <v>17036</v>
      </c>
      <c r="B338" s="177">
        <v>104</v>
      </c>
      <c r="C338" s="178">
        <v>70</v>
      </c>
      <c r="D338" s="178">
        <v>2175</v>
      </c>
      <c r="E338" s="178" t="s">
        <v>50</v>
      </c>
      <c r="F338" s="179" t="s">
        <v>47</v>
      </c>
      <c r="G338" s="185" t="s">
        <v>93</v>
      </c>
      <c r="H338" s="178" t="s">
        <v>43</v>
      </c>
      <c r="I338" s="178">
        <v>6412</v>
      </c>
      <c r="J338" s="178"/>
      <c r="K338" s="178"/>
      <c r="L338" s="178" t="s">
        <v>59</v>
      </c>
      <c r="M338" s="178">
        <v>120</v>
      </c>
      <c r="N338" s="178">
        <v>300</v>
      </c>
      <c r="O338" s="178"/>
      <c r="P338" s="178"/>
      <c r="Q338" s="178"/>
      <c r="R338" s="178" t="s">
        <v>19</v>
      </c>
      <c r="S338" s="181"/>
      <c r="T338" s="181"/>
      <c r="U338" s="182"/>
      <c r="V338" s="182" t="s">
        <v>35</v>
      </c>
      <c r="W338" s="183">
        <v>50</v>
      </c>
      <c r="X338" s="182" t="s">
        <v>51</v>
      </c>
      <c r="Y338" s="184">
        <v>3010</v>
      </c>
      <c r="Z338" s="184">
        <v>3010</v>
      </c>
      <c r="AA338" s="184">
        <v>3010</v>
      </c>
      <c r="AB338" s="184">
        <v>3010</v>
      </c>
      <c r="AC338" s="184">
        <v>3010</v>
      </c>
      <c r="AD338" s="184">
        <v>3010</v>
      </c>
      <c r="AE338" s="184">
        <v>2350</v>
      </c>
      <c r="AF338" s="184">
        <v>2350</v>
      </c>
      <c r="AG338" s="184">
        <v>2350</v>
      </c>
      <c r="AH338" s="184">
        <v>2200</v>
      </c>
      <c r="AI338" s="184">
        <v>2200</v>
      </c>
      <c r="AJ338" s="184">
        <v>2200</v>
      </c>
      <c r="AK338" s="184">
        <v>2260</v>
      </c>
      <c r="AL338" s="184">
        <v>2260</v>
      </c>
      <c r="AM338" s="184">
        <v>2260</v>
      </c>
      <c r="AN338" s="184">
        <v>2390</v>
      </c>
      <c r="AO338" s="184">
        <v>2390</v>
      </c>
      <c r="AP338" s="184">
        <v>2390</v>
      </c>
      <c r="AQ338" s="184">
        <v>2540</v>
      </c>
      <c r="AR338" s="184">
        <v>2540</v>
      </c>
      <c r="AS338" s="184">
        <v>2540</v>
      </c>
      <c r="AT338" s="184">
        <v>2540</v>
      </c>
      <c r="AU338" s="184">
        <v>2540</v>
      </c>
      <c r="AV338" s="184">
        <v>2540</v>
      </c>
      <c r="AW338" s="184">
        <v>2460</v>
      </c>
      <c r="AX338" s="184">
        <v>2460</v>
      </c>
      <c r="AY338" s="184">
        <v>2460</v>
      </c>
      <c r="AZ338" s="184">
        <v>2220</v>
      </c>
      <c r="BA338" s="184">
        <v>2220</v>
      </c>
      <c r="BB338" s="184">
        <v>2350</v>
      </c>
      <c r="BC338" s="184">
        <v>2350</v>
      </c>
      <c r="BD338" s="184">
        <v>2350</v>
      </c>
      <c r="BE338" s="184">
        <v>2350</v>
      </c>
      <c r="BF338" s="184">
        <v>2250</v>
      </c>
      <c r="BG338" s="184">
        <v>2250</v>
      </c>
      <c r="BH338" s="184">
        <v>2250</v>
      </c>
      <c r="BI338" s="184">
        <v>2280</v>
      </c>
      <c r="BJ338" s="184">
        <v>2280</v>
      </c>
      <c r="BK338" s="184">
        <v>2280</v>
      </c>
      <c r="BL338" s="184">
        <v>2380</v>
      </c>
      <c r="BM338" s="184">
        <v>2380</v>
      </c>
      <c r="BN338" s="184">
        <v>2380</v>
      </c>
      <c r="BO338" s="184"/>
      <c r="BP338" s="184"/>
      <c r="BQ338" s="184"/>
      <c r="BR338" s="184"/>
      <c r="BS338" s="184"/>
      <c r="BT338" s="184"/>
      <c r="BU338" s="146" cm="1">
        <f t="array" ref="BU338">LOOKUP(2,1/(Y338:BT338&lt;&gt;""),Y338:BH338)</f>
        <v>2380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46174</v>
      </c>
      <c r="BW338" s="211" cm="1">
        <f t="array" ref="BW338">(LOOKUP(2,1/(BH338:BT338&lt;&gt;""),BH338:BT338))/(INDEX(BH338:BT338,MATCH(TRUE,INDEX((BH338:BT338&lt;&gt;0),0),0)))-1</f>
        <v>5.7777777777777706E-2</v>
      </c>
      <c r="BX338" s="212">
        <f t="shared" si="93"/>
        <v>2.38</v>
      </c>
      <c r="BY338" s="212">
        <f t="shared" si="92"/>
        <v>14.042</v>
      </c>
      <c r="BZ338" s="212">
        <f ca="1">IF(L338="BR",'Impostos e Frete'!$F$6,IF(L338="EU",'Impostos e Frete'!$I$3,IF(L338="CN",'Impostos e Frete'!$I$4,IF(L338="JP",'Impostos e Frete'!$I$5,IF(L338="RU",'Impostos e Frete'!$I$7,"ERRO")))))</f>
        <v>0.14176320000000001</v>
      </c>
      <c r="CA338" s="212">
        <f>VLOOKUP(L338,'Impostos e Frete'!$A$3:$B$7,2,0)*'Preços e Condições'!BY338</f>
        <v>1.8254600000000001</v>
      </c>
      <c r="CB338" s="147">
        <f t="shared" si="94"/>
        <v>0</v>
      </c>
      <c r="CC338" s="147">
        <f>IF(X338="BRL",'Impostos e Frete'!$B$11,'Impostos e Frete'!$B$12)</f>
        <v>9.1999999999999998E-2</v>
      </c>
      <c r="CD338" s="213">
        <f t="shared" ca="1" si="95"/>
        <v>16.1012232</v>
      </c>
      <c r="CE338" s="214">
        <f t="shared" ca="1" si="96"/>
        <v>1.127085624</v>
      </c>
      <c r="CF338" s="215">
        <f>VLOOKUP(L338,'Impostos e Frete'!$A$3:$C$7,3,0)</f>
        <v>105</v>
      </c>
      <c r="CG338" s="215">
        <f t="shared" si="97"/>
        <v>120</v>
      </c>
      <c r="CH338" s="215">
        <f t="shared" si="98"/>
        <v>15</v>
      </c>
      <c r="CI338" s="216">
        <f t="shared" ca="1" si="99"/>
        <v>-0.11941739513390992</v>
      </c>
      <c r="CJ338" s="217">
        <f t="shared" ca="1" si="100"/>
        <v>15.98180580486609</v>
      </c>
      <c r="CK338" s="218">
        <f t="shared" ca="1" si="101"/>
        <v>1.1187264063406261</v>
      </c>
    </row>
    <row r="339" spans="1:89">
      <c r="A339" s="176">
        <v>17036</v>
      </c>
      <c r="B339" s="177">
        <v>104</v>
      </c>
      <c r="C339" s="178">
        <v>70</v>
      </c>
      <c r="D339" s="178">
        <v>2175</v>
      </c>
      <c r="E339" s="178" t="s">
        <v>50</v>
      </c>
      <c r="F339" s="179" t="s">
        <v>47</v>
      </c>
      <c r="G339" s="185" t="s">
        <v>93</v>
      </c>
      <c r="H339" s="178" t="s">
        <v>43</v>
      </c>
      <c r="I339" s="178">
        <v>6412</v>
      </c>
      <c r="J339" s="178"/>
      <c r="K339" s="178"/>
      <c r="L339" s="178" t="s">
        <v>59</v>
      </c>
      <c r="M339" s="178">
        <v>120</v>
      </c>
      <c r="N339" s="178">
        <v>300</v>
      </c>
      <c r="O339" s="178"/>
      <c r="P339" s="178"/>
      <c r="Q339" s="178"/>
      <c r="R339" s="178" t="s">
        <v>19</v>
      </c>
      <c r="S339" s="181"/>
      <c r="T339" s="181"/>
      <c r="U339" s="182"/>
      <c r="V339" s="182" t="s">
        <v>35</v>
      </c>
      <c r="W339" s="183">
        <v>30</v>
      </c>
      <c r="X339" s="182" t="s">
        <v>51</v>
      </c>
      <c r="Y339" s="184">
        <v>3060</v>
      </c>
      <c r="Z339" s="184">
        <v>3060</v>
      </c>
      <c r="AA339" s="184">
        <v>3060</v>
      </c>
      <c r="AB339" s="184">
        <v>3060</v>
      </c>
      <c r="AC339" s="184">
        <v>3060</v>
      </c>
      <c r="AD339" s="184">
        <v>3060</v>
      </c>
      <c r="AE339" s="184">
        <v>2400</v>
      </c>
      <c r="AF339" s="184">
        <v>2400</v>
      </c>
      <c r="AG339" s="184">
        <v>2400</v>
      </c>
      <c r="AH339" s="184">
        <v>2250</v>
      </c>
      <c r="AI339" s="184">
        <v>2250</v>
      </c>
      <c r="AJ339" s="184">
        <v>2250</v>
      </c>
      <c r="AK339" s="146">
        <f>AK338+50</f>
        <v>2310</v>
      </c>
      <c r="AL339" s="146">
        <f>AL338+50</f>
        <v>2310</v>
      </c>
      <c r="AM339" s="146">
        <f>AM338+50</f>
        <v>2310</v>
      </c>
      <c r="AN339" s="184">
        <v>2440</v>
      </c>
      <c r="AO339" s="184">
        <v>2440</v>
      </c>
      <c r="AP339" s="184">
        <v>2440</v>
      </c>
      <c r="AQ339" s="184">
        <v>2590</v>
      </c>
      <c r="AR339" s="184">
        <v>2590</v>
      </c>
      <c r="AS339" s="184">
        <v>2590</v>
      </c>
      <c r="AT339" s="184">
        <v>2590</v>
      </c>
      <c r="AU339" s="184">
        <v>2590</v>
      </c>
      <c r="AV339" s="184">
        <v>2590</v>
      </c>
      <c r="AW339" s="184">
        <v>2510</v>
      </c>
      <c r="AX339" s="184">
        <v>2510</v>
      </c>
      <c r="AY339" s="184">
        <v>2510</v>
      </c>
      <c r="AZ339" s="184">
        <v>2270</v>
      </c>
      <c r="BA339" s="184">
        <v>2270</v>
      </c>
      <c r="BB339" s="184">
        <v>2400</v>
      </c>
      <c r="BC339" s="184">
        <v>2400</v>
      </c>
      <c r="BD339" s="184">
        <v>2400</v>
      </c>
      <c r="BE339" s="184">
        <v>2400</v>
      </c>
      <c r="BF339" s="184">
        <v>2300</v>
      </c>
      <c r="BG339" s="184">
        <v>2300</v>
      </c>
      <c r="BH339" s="184">
        <v>2300</v>
      </c>
      <c r="BI339" s="184">
        <v>2330</v>
      </c>
      <c r="BJ339" s="184">
        <v>2330</v>
      </c>
      <c r="BK339" s="184">
        <v>2330</v>
      </c>
      <c r="BL339" s="184">
        <v>2430</v>
      </c>
      <c r="BM339" s="184">
        <v>2430</v>
      </c>
      <c r="BN339" s="184">
        <v>2430</v>
      </c>
      <c r="BO339" s="184"/>
      <c r="BP339" s="184"/>
      <c r="BQ339" s="184"/>
      <c r="BR339" s="184"/>
      <c r="BS339" s="184"/>
      <c r="BT339" s="184"/>
      <c r="BU339" s="146" cm="1">
        <f t="array" ref="BU339">LOOKUP(2,1/(Y339:BT339&lt;&gt;""),Y339:BH339)</f>
        <v>2430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46174</v>
      </c>
      <c r="BW339" s="211" cm="1">
        <f t="array" ref="BW339">(LOOKUP(2,1/(BH339:BT339&lt;&gt;""),BH339:BT339))/(INDEX(BH339:BT339,MATCH(TRUE,INDEX((BH339:BT339&lt;&gt;0),0),0)))-1</f>
        <v>5.6521739130434678E-2</v>
      </c>
      <c r="BX339" s="212">
        <f t="shared" si="93"/>
        <v>2.4300000000000002</v>
      </c>
      <c r="BY339" s="212">
        <f t="shared" si="92"/>
        <v>14.337000000000002</v>
      </c>
      <c r="BZ339" s="212">
        <f ca="1">IF(L339="BR",'Impostos e Frete'!$F$6,IF(L339="EU",'Impostos e Frete'!$I$3,IF(L339="CN",'Impostos e Frete'!$I$4,IF(L339="JP",'Impostos e Frete'!$I$5,IF(L339="RU",'Impostos e Frete'!$I$7,"ERRO")))))</f>
        <v>0.14176320000000001</v>
      </c>
      <c r="CA339" s="212">
        <f>VLOOKUP(L339,'Impostos e Frete'!$A$3:$B$7,2,0)*'Preços e Condições'!BY339</f>
        <v>1.8638100000000002</v>
      </c>
      <c r="CB339" s="147">
        <f t="shared" si="94"/>
        <v>0</v>
      </c>
      <c r="CC339" s="147">
        <f>IF(X339="BRL",'Impostos e Frete'!$B$11,'Impostos e Frete'!$B$12)</f>
        <v>9.1999999999999998E-2</v>
      </c>
      <c r="CD339" s="213">
        <f t="shared" ca="1" si="95"/>
        <v>16.434573199999999</v>
      </c>
      <c r="CE339" s="214">
        <f t="shared" ca="1" si="96"/>
        <v>1.150420124</v>
      </c>
      <c r="CF339" s="215">
        <f>VLOOKUP(L339,'Impostos e Frete'!$A$3:$C$7,3,0)</f>
        <v>105</v>
      </c>
      <c r="CG339" s="215">
        <f t="shared" si="97"/>
        <v>120</v>
      </c>
      <c r="CH339" s="215">
        <f t="shared" si="98"/>
        <v>15</v>
      </c>
      <c r="CI339" s="216">
        <f t="shared" ca="1" si="99"/>
        <v>-0.12188974075469972</v>
      </c>
      <c r="CJ339" s="217">
        <f t="shared" ca="1" si="100"/>
        <v>16.312683459245299</v>
      </c>
      <c r="CK339" s="218">
        <f t="shared" ca="1" si="101"/>
        <v>1.141887842147171</v>
      </c>
    </row>
    <row r="340" spans="1:89">
      <c r="A340" s="176">
        <v>17036</v>
      </c>
      <c r="B340" s="177">
        <v>104</v>
      </c>
      <c r="C340" s="178">
        <v>70</v>
      </c>
      <c r="D340" s="178">
        <v>2175</v>
      </c>
      <c r="E340" s="178" t="s">
        <v>50</v>
      </c>
      <c r="F340" s="179" t="s">
        <v>47</v>
      </c>
      <c r="G340" s="185" t="s">
        <v>93</v>
      </c>
      <c r="H340" s="178" t="s">
        <v>43</v>
      </c>
      <c r="I340" s="178">
        <v>6412</v>
      </c>
      <c r="J340" s="178"/>
      <c r="K340" s="178"/>
      <c r="L340" s="178" t="s">
        <v>59</v>
      </c>
      <c r="M340" s="178">
        <v>120</v>
      </c>
      <c r="N340" s="178">
        <v>300</v>
      </c>
      <c r="O340" s="178"/>
      <c r="P340" s="178"/>
      <c r="Q340" s="178"/>
      <c r="R340" s="178" t="s">
        <v>19</v>
      </c>
      <c r="S340" s="181"/>
      <c r="T340" s="181"/>
      <c r="U340" s="182"/>
      <c r="V340" s="182" t="s">
        <v>35</v>
      </c>
      <c r="W340" s="183">
        <v>20</v>
      </c>
      <c r="X340" s="182" t="s">
        <v>51</v>
      </c>
      <c r="Y340" s="184">
        <v>3110</v>
      </c>
      <c r="Z340" s="184">
        <v>3110</v>
      </c>
      <c r="AA340" s="184">
        <v>3110</v>
      </c>
      <c r="AB340" s="184">
        <v>3110</v>
      </c>
      <c r="AC340" s="184">
        <v>3110</v>
      </c>
      <c r="AD340" s="184">
        <v>3110</v>
      </c>
      <c r="AE340" s="184">
        <v>2450</v>
      </c>
      <c r="AF340" s="184">
        <v>2450</v>
      </c>
      <c r="AG340" s="184">
        <v>2450</v>
      </c>
      <c r="AH340" s="184">
        <v>2300</v>
      </c>
      <c r="AI340" s="184">
        <v>2300</v>
      </c>
      <c r="AJ340" s="184">
        <v>2300</v>
      </c>
      <c r="AK340" s="146">
        <f>AK338+100</f>
        <v>2360</v>
      </c>
      <c r="AL340" s="146">
        <f>AL338+100</f>
        <v>2360</v>
      </c>
      <c r="AM340" s="146">
        <f>AM338+100</f>
        <v>2360</v>
      </c>
      <c r="AN340" s="184">
        <v>2490</v>
      </c>
      <c r="AO340" s="184">
        <v>2490</v>
      </c>
      <c r="AP340" s="184">
        <v>2490</v>
      </c>
      <c r="AQ340" s="184">
        <v>2640</v>
      </c>
      <c r="AR340" s="184">
        <v>2640</v>
      </c>
      <c r="AS340" s="184">
        <v>2640</v>
      </c>
      <c r="AT340" s="184">
        <v>2640</v>
      </c>
      <c r="AU340" s="184">
        <v>2640</v>
      </c>
      <c r="AV340" s="184">
        <v>2640</v>
      </c>
      <c r="AW340" s="184">
        <v>2560</v>
      </c>
      <c r="AX340" s="184">
        <v>2560</v>
      </c>
      <c r="AY340" s="184">
        <v>2560</v>
      </c>
      <c r="AZ340" s="184">
        <v>2320</v>
      </c>
      <c r="BA340" s="184">
        <v>2320</v>
      </c>
      <c r="BB340" s="184">
        <v>2450</v>
      </c>
      <c r="BC340" s="184">
        <v>2450</v>
      </c>
      <c r="BD340" s="184">
        <v>2450</v>
      </c>
      <c r="BE340" s="184">
        <v>2450</v>
      </c>
      <c r="BF340" s="184">
        <v>2350</v>
      </c>
      <c r="BG340" s="184">
        <v>2350</v>
      </c>
      <c r="BH340" s="184">
        <v>2350</v>
      </c>
      <c r="BI340" s="184">
        <v>2380</v>
      </c>
      <c r="BJ340" s="184">
        <v>2380</v>
      </c>
      <c r="BK340" s="184">
        <v>2380</v>
      </c>
      <c r="BL340" s="184">
        <v>2480</v>
      </c>
      <c r="BM340" s="184">
        <v>2480</v>
      </c>
      <c r="BN340" s="184">
        <v>2480</v>
      </c>
      <c r="BO340" s="184"/>
      <c r="BP340" s="184"/>
      <c r="BQ340" s="184"/>
      <c r="BR340" s="184"/>
      <c r="BS340" s="184"/>
      <c r="BT340" s="184"/>
      <c r="BU340" s="146" cm="1">
        <f t="array" ref="BU340">LOOKUP(2,1/(Y340:BT340&lt;&gt;""),Y340:BH340)</f>
        <v>2480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46174</v>
      </c>
      <c r="BW340" s="211" cm="1">
        <f t="array" ref="BW340">(LOOKUP(2,1/(BH340:BT340&lt;&gt;""),BH340:BT340))/(INDEX(BH340:BT340,MATCH(TRUE,INDEX((BH340:BT340&lt;&gt;0),0),0)))-1</f>
        <v>5.5319148936170182E-2</v>
      </c>
      <c r="BX340" s="212">
        <f t="shared" si="93"/>
        <v>2.48</v>
      </c>
      <c r="BY340" s="212">
        <f t="shared" si="92"/>
        <v>14.632000000000001</v>
      </c>
      <c r="BZ340" s="212">
        <f ca="1">IF(L340="BR",'Impostos e Frete'!$F$6,IF(L340="EU",'Impostos e Frete'!$I$3,IF(L340="CN",'Impostos e Frete'!$I$4,IF(L340="JP",'Impostos e Frete'!$I$5,IF(L340="RU",'Impostos e Frete'!$I$7,"ERRO")))))</f>
        <v>0.14176320000000001</v>
      </c>
      <c r="CA340" s="212">
        <f>VLOOKUP(L340,'Impostos e Frete'!$A$3:$B$7,2,0)*'Preços e Condições'!BY340</f>
        <v>1.9021600000000003</v>
      </c>
      <c r="CB340" s="147">
        <f t="shared" si="94"/>
        <v>0</v>
      </c>
      <c r="CC340" s="147">
        <f>IF(X340="BRL",'Impostos e Frete'!$B$11,'Impostos e Frete'!$B$12)</f>
        <v>9.1999999999999998E-2</v>
      </c>
      <c r="CD340" s="213">
        <f t="shared" ca="1" si="95"/>
        <v>16.767923199999998</v>
      </c>
      <c r="CE340" s="214">
        <f t="shared" ca="1" si="96"/>
        <v>1.1737546240000001</v>
      </c>
      <c r="CF340" s="215">
        <f>VLOOKUP(L340,'Impostos e Frete'!$A$3:$C$7,3,0)</f>
        <v>105</v>
      </c>
      <c r="CG340" s="215">
        <f t="shared" si="97"/>
        <v>120</v>
      </c>
      <c r="CH340" s="215">
        <f t="shared" si="98"/>
        <v>15</v>
      </c>
      <c r="CI340" s="216">
        <f t="shared" ca="1" si="99"/>
        <v>-0.12436208637549129</v>
      </c>
      <c r="CJ340" s="217">
        <f t="shared" ca="1" si="100"/>
        <v>16.643561113624507</v>
      </c>
      <c r="CK340" s="218">
        <f t="shared" ca="1" si="101"/>
        <v>1.1650492779537154</v>
      </c>
    </row>
    <row r="341" spans="1:89">
      <c r="A341" s="176">
        <v>17036</v>
      </c>
      <c r="B341" s="177">
        <v>104</v>
      </c>
      <c r="C341" s="178">
        <v>70</v>
      </c>
      <c r="D341" s="178">
        <v>2175</v>
      </c>
      <c r="E341" s="178" t="s">
        <v>50</v>
      </c>
      <c r="F341" s="179" t="s">
        <v>47</v>
      </c>
      <c r="G341" s="185" t="s">
        <v>93</v>
      </c>
      <c r="H341" s="178" t="s">
        <v>43</v>
      </c>
      <c r="I341" s="178">
        <v>6412</v>
      </c>
      <c r="J341" s="178"/>
      <c r="K341" s="178"/>
      <c r="L341" s="178" t="s">
        <v>59</v>
      </c>
      <c r="M341" s="178">
        <v>120</v>
      </c>
      <c r="N341" s="178">
        <v>300</v>
      </c>
      <c r="O341" s="178"/>
      <c r="P341" s="178"/>
      <c r="Q341" s="178"/>
      <c r="R341" s="178" t="s">
        <v>19</v>
      </c>
      <c r="S341" s="181"/>
      <c r="T341" s="181"/>
      <c r="U341" s="182"/>
      <c r="V341" s="182" t="s">
        <v>35</v>
      </c>
      <c r="W341" s="183">
        <v>10</v>
      </c>
      <c r="X341" s="182" t="s">
        <v>51</v>
      </c>
      <c r="Y341" s="184">
        <v>3190</v>
      </c>
      <c r="Z341" s="184">
        <v>3190</v>
      </c>
      <c r="AA341" s="184">
        <v>3190</v>
      </c>
      <c r="AB341" s="184">
        <v>3190</v>
      </c>
      <c r="AC341" s="184">
        <v>3190</v>
      </c>
      <c r="AD341" s="184">
        <v>3190</v>
      </c>
      <c r="AE341" s="184">
        <v>2530</v>
      </c>
      <c r="AF341" s="184">
        <v>2530</v>
      </c>
      <c r="AG341" s="184">
        <v>2530</v>
      </c>
      <c r="AH341" s="184">
        <v>2380</v>
      </c>
      <c r="AI341" s="184">
        <v>2380</v>
      </c>
      <c r="AJ341" s="184">
        <v>2380</v>
      </c>
      <c r="AK341" s="146">
        <f>AK338+180</f>
        <v>2440</v>
      </c>
      <c r="AL341" s="146">
        <f>AL338+180</f>
        <v>2440</v>
      </c>
      <c r="AM341" s="146">
        <f>AM338+180</f>
        <v>2440</v>
      </c>
      <c r="AN341" s="184">
        <v>2570</v>
      </c>
      <c r="AO341" s="184">
        <v>2570</v>
      </c>
      <c r="AP341" s="184">
        <v>2570</v>
      </c>
      <c r="AQ341" s="184">
        <v>2720</v>
      </c>
      <c r="AR341" s="184">
        <v>2720</v>
      </c>
      <c r="AS341" s="184">
        <v>2720</v>
      </c>
      <c r="AT341" s="184">
        <v>2720</v>
      </c>
      <c r="AU341" s="184">
        <v>2720</v>
      </c>
      <c r="AV341" s="184">
        <v>2720</v>
      </c>
      <c r="AW341" s="184">
        <v>2640</v>
      </c>
      <c r="AX341" s="184">
        <v>2640</v>
      </c>
      <c r="AY341" s="184">
        <v>2640</v>
      </c>
      <c r="AZ341" s="184">
        <v>2400</v>
      </c>
      <c r="BA341" s="184">
        <v>2400</v>
      </c>
      <c r="BB341" s="184">
        <v>2530</v>
      </c>
      <c r="BC341" s="184">
        <v>2530</v>
      </c>
      <c r="BD341" s="184">
        <v>2530</v>
      </c>
      <c r="BE341" s="184">
        <v>2530</v>
      </c>
      <c r="BF341" s="184">
        <v>2430</v>
      </c>
      <c r="BG341" s="184">
        <v>2430</v>
      </c>
      <c r="BH341" s="184">
        <v>2430</v>
      </c>
      <c r="BI341" s="184">
        <v>2460</v>
      </c>
      <c r="BJ341" s="184">
        <v>2460</v>
      </c>
      <c r="BK341" s="184">
        <v>2460</v>
      </c>
      <c r="BL341" s="184">
        <v>2560</v>
      </c>
      <c r="BM341" s="184">
        <v>2560</v>
      </c>
      <c r="BN341" s="184">
        <v>2560</v>
      </c>
      <c r="BO341" s="184"/>
      <c r="BP341" s="184"/>
      <c r="BQ341" s="184"/>
      <c r="BR341" s="184"/>
      <c r="BS341" s="184"/>
      <c r="BT341" s="184"/>
      <c r="BU341" s="146" cm="1">
        <f t="array" ref="BU341">LOOKUP(2,1/(Y341:BT341&lt;&gt;""),Y341:BH341)</f>
        <v>2560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46174</v>
      </c>
      <c r="BW341" s="211" cm="1">
        <f t="array" ref="BW341">(LOOKUP(2,1/(BH341:BT341&lt;&gt;""),BH341:BT341))/(INDEX(BH341:BT341,MATCH(TRUE,INDEX((BH341:BT341&lt;&gt;0),0),0)))-1</f>
        <v>5.3497942386831365E-2</v>
      </c>
      <c r="BX341" s="212">
        <f t="shared" si="93"/>
        <v>2.56</v>
      </c>
      <c r="BY341" s="212">
        <f t="shared" si="92"/>
        <v>15.104000000000001</v>
      </c>
      <c r="BZ341" s="212">
        <f ca="1">IF(L341="BR",'Impostos e Frete'!$F$6,IF(L341="EU",'Impostos e Frete'!$I$3,IF(L341="CN",'Impostos e Frete'!$I$4,IF(L341="JP",'Impostos e Frete'!$I$5,IF(L341="RU",'Impostos e Frete'!$I$7,"ERRO")))))</f>
        <v>0.14176320000000001</v>
      </c>
      <c r="CA341" s="212">
        <f>VLOOKUP(L341,'Impostos e Frete'!$A$3:$B$7,2,0)*'Preços e Condições'!BY341</f>
        <v>1.9635200000000002</v>
      </c>
      <c r="CB341" s="147">
        <f t="shared" si="94"/>
        <v>0</v>
      </c>
      <c r="CC341" s="147">
        <f>IF(X341="BRL",'Impostos e Frete'!$B$11,'Impostos e Frete'!$B$12)</f>
        <v>9.1999999999999998E-2</v>
      </c>
      <c r="CD341" s="213">
        <f t="shared" ca="1" si="95"/>
        <v>17.3012832</v>
      </c>
      <c r="CE341" s="214">
        <f t="shared" ca="1" si="96"/>
        <v>1.2110898240000001</v>
      </c>
      <c r="CF341" s="215">
        <f>VLOOKUP(L341,'Impostos e Frete'!$A$3:$C$7,3,0)</f>
        <v>105</v>
      </c>
      <c r="CG341" s="215">
        <f t="shared" si="97"/>
        <v>120</v>
      </c>
      <c r="CH341" s="215">
        <f t="shared" si="98"/>
        <v>15</v>
      </c>
      <c r="CI341" s="216">
        <f t="shared" ca="1" si="99"/>
        <v>-0.12831783936875496</v>
      </c>
      <c r="CJ341" s="217">
        <f t="shared" ca="1" si="100"/>
        <v>17.172965360631245</v>
      </c>
      <c r="CK341" s="218">
        <f t="shared" ca="1" si="101"/>
        <v>1.2021075752441872</v>
      </c>
    </row>
    <row r="342" spans="1:89">
      <c r="A342" s="176">
        <v>17039</v>
      </c>
      <c r="B342" s="177">
        <v>104</v>
      </c>
      <c r="C342" s="178">
        <v>70</v>
      </c>
      <c r="D342" s="178">
        <v>1270</v>
      </c>
      <c r="E342" s="178" t="s">
        <v>50</v>
      </c>
      <c r="F342" s="179" t="s">
        <v>47</v>
      </c>
      <c r="G342" s="185" t="s">
        <v>93</v>
      </c>
      <c r="H342" s="178" t="s">
        <v>43</v>
      </c>
      <c r="I342" s="178">
        <v>6412</v>
      </c>
      <c r="J342" s="178"/>
      <c r="K342" s="178"/>
      <c r="L342" s="178" t="s">
        <v>59</v>
      </c>
      <c r="M342" s="178">
        <v>120</v>
      </c>
      <c r="N342" s="178">
        <v>300</v>
      </c>
      <c r="O342" s="178"/>
      <c r="P342" s="178"/>
      <c r="Q342" s="178"/>
      <c r="R342" s="178" t="s">
        <v>19</v>
      </c>
      <c r="S342" s="181"/>
      <c r="T342" s="181"/>
      <c r="U342" s="182"/>
      <c r="V342" s="182" t="s">
        <v>35</v>
      </c>
      <c r="W342" s="183">
        <v>50</v>
      </c>
      <c r="X342" s="182" t="s">
        <v>51</v>
      </c>
      <c r="Y342" s="184">
        <v>3010</v>
      </c>
      <c r="Z342" s="184">
        <v>3010</v>
      </c>
      <c r="AA342" s="184">
        <v>3010</v>
      </c>
      <c r="AB342" s="184">
        <v>3010</v>
      </c>
      <c r="AC342" s="184">
        <v>3010</v>
      </c>
      <c r="AD342" s="184">
        <v>3010</v>
      </c>
      <c r="AE342" s="184">
        <v>2350</v>
      </c>
      <c r="AF342" s="184">
        <v>2350</v>
      </c>
      <c r="AG342" s="184">
        <v>2350</v>
      </c>
      <c r="AH342" s="184">
        <v>2200</v>
      </c>
      <c r="AI342" s="184">
        <v>2200</v>
      </c>
      <c r="AJ342" s="184">
        <v>2200</v>
      </c>
      <c r="AK342" s="184">
        <v>2260</v>
      </c>
      <c r="AL342" s="184">
        <v>2260</v>
      </c>
      <c r="AM342" s="184">
        <v>2260</v>
      </c>
      <c r="AN342" s="184">
        <v>2390</v>
      </c>
      <c r="AO342" s="184">
        <v>2390</v>
      </c>
      <c r="AP342" s="184">
        <v>2390</v>
      </c>
      <c r="AQ342" s="184">
        <v>2540</v>
      </c>
      <c r="AR342" s="184">
        <v>2540</v>
      </c>
      <c r="AS342" s="184">
        <v>2540</v>
      </c>
      <c r="AT342" s="184">
        <v>2540</v>
      </c>
      <c r="AU342" s="184">
        <v>2540</v>
      </c>
      <c r="AV342" s="184">
        <v>2540</v>
      </c>
      <c r="AW342" s="184">
        <v>2460</v>
      </c>
      <c r="AX342" s="184">
        <v>2460</v>
      </c>
      <c r="AY342" s="184">
        <v>2460</v>
      </c>
      <c r="AZ342" s="184">
        <v>2220</v>
      </c>
      <c r="BA342" s="184">
        <v>2220</v>
      </c>
      <c r="BB342" s="184">
        <v>2350</v>
      </c>
      <c r="BC342" s="184">
        <v>2350</v>
      </c>
      <c r="BD342" s="184">
        <v>2350</v>
      </c>
      <c r="BE342" s="184">
        <v>2350</v>
      </c>
      <c r="BF342" s="184">
        <v>2250</v>
      </c>
      <c r="BG342" s="184">
        <v>2250</v>
      </c>
      <c r="BH342" s="184">
        <v>2250</v>
      </c>
      <c r="BI342" s="184">
        <v>2280</v>
      </c>
      <c r="BJ342" s="184">
        <v>2280</v>
      </c>
      <c r="BK342" s="184">
        <v>2280</v>
      </c>
      <c r="BL342" s="184">
        <v>2380</v>
      </c>
      <c r="BM342" s="184">
        <v>2380</v>
      </c>
      <c r="BN342" s="184">
        <v>2380</v>
      </c>
      <c r="BO342" s="184"/>
      <c r="BP342" s="184"/>
      <c r="BQ342" s="184"/>
      <c r="BR342" s="184"/>
      <c r="BS342" s="184"/>
      <c r="BT342" s="184"/>
      <c r="BU342" s="146" cm="1">
        <f t="array" ref="BU342">LOOKUP(2,1/(Y342:BT342&lt;&gt;""),Y342:BH342)</f>
        <v>2380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46174</v>
      </c>
      <c r="BW342" s="211" cm="1">
        <f t="array" ref="BW342">(LOOKUP(2,1/(BH342:BT342&lt;&gt;""),BH342:BT342))/(INDEX(BH342:BT342,MATCH(TRUE,INDEX((BH342:BT342&lt;&gt;0),0),0)))-1</f>
        <v>5.7777777777777706E-2</v>
      </c>
      <c r="BX342" s="212">
        <f t="shared" si="93"/>
        <v>2.38</v>
      </c>
      <c r="BY342" s="212">
        <f t="shared" si="92"/>
        <v>14.042</v>
      </c>
      <c r="BZ342" s="212">
        <f ca="1">IF(L342="BR",'Impostos e Frete'!$F$6,IF(L342="EU",'Impostos e Frete'!$I$3,IF(L342="CN",'Impostos e Frete'!$I$4,IF(L342="JP",'Impostos e Frete'!$I$5,IF(L342="RU",'Impostos e Frete'!$I$7,"ERRO")))))</f>
        <v>0.14176320000000001</v>
      </c>
      <c r="CA342" s="212">
        <f>VLOOKUP(L342,'Impostos e Frete'!$A$3:$B$7,2,0)*'Preços e Condições'!BY342</f>
        <v>1.8254600000000001</v>
      </c>
      <c r="CB342" s="147">
        <f t="shared" si="94"/>
        <v>0</v>
      </c>
      <c r="CC342" s="147">
        <f>IF(X342="BRL",'Impostos e Frete'!$B$11,'Impostos e Frete'!$B$12)</f>
        <v>9.1999999999999998E-2</v>
      </c>
      <c r="CD342" s="213">
        <f t="shared" ca="1" si="95"/>
        <v>16.1012232</v>
      </c>
      <c r="CE342" s="214">
        <f t="shared" ca="1" si="96"/>
        <v>1.127085624</v>
      </c>
      <c r="CF342" s="215">
        <f>VLOOKUP(L342,'Impostos e Frete'!$A$3:$C$7,3,0)</f>
        <v>105</v>
      </c>
      <c r="CG342" s="215">
        <f t="shared" si="97"/>
        <v>120</v>
      </c>
      <c r="CH342" s="215">
        <f t="shared" si="98"/>
        <v>15</v>
      </c>
      <c r="CI342" s="216">
        <f t="shared" ca="1" si="99"/>
        <v>-0.11941739513390992</v>
      </c>
      <c r="CJ342" s="217">
        <f t="shared" ca="1" si="100"/>
        <v>15.98180580486609</v>
      </c>
      <c r="CK342" s="218">
        <f t="shared" ca="1" si="101"/>
        <v>1.1187264063406261</v>
      </c>
    </row>
    <row r="343" spans="1:89">
      <c r="A343" s="176">
        <v>17039</v>
      </c>
      <c r="B343" s="177">
        <v>104</v>
      </c>
      <c r="C343" s="178">
        <v>70</v>
      </c>
      <c r="D343" s="178">
        <v>1270</v>
      </c>
      <c r="E343" s="178" t="s">
        <v>50</v>
      </c>
      <c r="F343" s="179" t="s">
        <v>47</v>
      </c>
      <c r="G343" s="185" t="s">
        <v>93</v>
      </c>
      <c r="H343" s="178" t="s">
        <v>43</v>
      </c>
      <c r="I343" s="178">
        <v>6412</v>
      </c>
      <c r="J343" s="178"/>
      <c r="K343" s="178"/>
      <c r="L343" s="178" t="s">
        <v>59</v>
      </c>
      <c r="M343" s="178">
        <v>120</v>
      </c>
      <c r="N343" s="178">
        <v>300</v>
      </c>
      <c r="O343" s="178"/>
      <c r="P343" s="178"/>
      <c r="Q343" s="178"/>
      <c r="R343" s="178" t="s">
        <v>19</v>
      </c>
      <c r="S343" s="181"/>
      <c r="T343" s="181"/>
      <c r="U343" s="182"/>
      <c r="V343" s="182" t="s">
        <v>35</v>
      </c>
      <c r="W343" s="183">
        <v>30</v>
      </c>
      <c r="X343" s="182" t="s">
        <v>51</v>
      </c>
      <c r="Y343" s="184">
        <v>3060</v>
      </c>
      <c r="Z343" s="184">
        <v>3060</v>
      </c>
      <c r="AA343" s="184">
        <v>3060</v>
      </c>
      <c r="AB343" s="184">
        <v>3060</v>
      </c>
      <c r="AC343" s="184">
        <v>3060</v>
      </c>
      <c r="AD343" s="184">
        <v>3060</v>
      </c>
      <c r="AE343" s="184">
        <v>2400</v>
      </c>
      <c r="AF343" s="184">
        <v>2400</v>
      </c>
      <c r="AG343" s="184">
        <v>2400</v>
      </c>
      <c r="AH343" s="184">
        <v>2250</v>
      </c>
      <c r="AI343" s="184">
        <v>2250</v>
      </c>
      <c r="AJ343" s="184">
        <v>2250</v>
      </c>
      <c r="AK343" s="146">
        <f>AK342+50</f>
        <v>2310</v>
      </c>
      <c r="AL343" s="146">
        <f>AL342+50</f>
        <v>2310</v>
      </c>
      <c r="AM343" s="146">
        <f>AM342+50</f>
        <v>2310</v>
      </c>
      <c r="AN343" s="184">
        <v>2440</v>
      </c>
      <c r="AO343" s="184">
        <v>2440</v>
      </c>
      <c r="AP343" s="184">
        <v>2440</v>
      </c>
      <c r="AQ343" s="184">
        <v>2590</v>
      </c>
      <c r="AR343" s="184">
        <v>2590</v>
      </c>
      <c r="AS343" s="184">
        <v>2590</v>
      </c>
      <c r="AT343" s="184">
        <v>2590</v>
      </c>
      <c r="AU343" s="184">
        <v>2590</v>
      </c>
      <c r="AV343" s="184">
        <v>2590</v>
      </c>
      <c r="AW343" s="184">
        <v>2510</v>
      </c>
      <c r="AX343" s="184">
        <v>2510</v>
      </c>
      <c r="AY343" s="184">
        <v>2510</v>
      </c>
      <c r="AZ343" s="184">
        <v>2270</v>
      </c>
      <c r="BA343" s="184">
        <v>2270</v>
      </c>
      <c r="BB343" s="184">
        <v>2400</v>
      </c>
      <c r="BC343" s="184">
        <v>2400</v>
      </c>
      <c r="BD343" s="184">
        <v>2400</v>
      </c>
      <c r="BE343" s="184">
        <v>2400</v>
      </c>
      <c r="BF343" s="184">
        <v>2300</v>
      </c>
      <c r="BG343" s="184">
        <v>2300</v>
      </c>
      <c r="BH343" s="184">
        <v>2300</v>
      </c>
      <c r="BI343" s="184">
        <v>2330</v>
      </c>
      <c r="BJ343" s="184">
        <v>2330</v>
      </c>
      <c r="BK343" s="184">
        <v>2330</v>
      </c>
      <c r="BL343" s="184">
        <v>2430</v>
      </c>
      <c r="BM343" s="184">
        <v>2430</v>
      </c>
      <c r="BN343" s="184">
        <v>2430</v>
      </c>
      <c r="BO343" s="184"/>
      <c r="BP343" s="184"/>
      <c r="BQ343" s="184"/>
      <c r="BR343" s="184"/>
      <c r="BS343" s="184"/>
      <c r="BT343" s="184"/>
      <c r="BU343" s="146" cm="1">
        <f t="array" ref="BU343">LOOKUP(2,1/(Y343:BT343&lt;&gt;""),Y343:BH343)</f>
        <v>2430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46174</v>
      </c>
      <c r="BW343" s="211" cm="1">
        <f t="array" ref="BW343">(LOOKUP(2,1/(BH343:BT343&lt;&gt;""),BH343:BT343))/(INDEX(BH343:BT343,MATCH(TRUE,INDEX((BH343:BT343&lt;&gt;0),0),0)))-1</f>
        <v>5.6521739130434678E-2</v>
      </c>
      <c r="BX343" s="212">
        <f t="shared" si="93"/>
        <v>2.4300000000000002</v>
      </c>
      <c r="BY343" s="212">
        <f t="shared" si="92"/>
        <v>14.337000000000002</v>
      </c>
      <c r="BZ343" s="212">
        <f ca="1">IF(L343="BR",'Impostos e Frete'!$F$6,IF(L343="EU",'Impostos e Frete'!$I$3,IF(L343="CN",'Impostos e Frete'!$I$4,IF(L343="JP",'Impostos e Frete'!$I$5,IF(L343="RU",'Impostos e Frete'!$I$7,"ERRO")))))</f>
        <v>0.14176320000000001</v>
      </c>
      <c r="CA343" s="212">
        <f>VLOOKUP(L343,'Impostos e Frete'!$A$3:$B$7,2,0)*'Preços e Condições'!BY343</f>
        <v>1.8638100000000002</v>
      </c>
      <c r="CB343" s="147">
        <f t="shared" si="94"/>
        <v>0</v>
      </c>
      <c r="CC343" s="147">
        <f>IF(X343="BRL",'Impostos e Frete'!$B$11,'Impostos e Frete'!$B$12)</f>
        <v>9.1999999999999998E-2</v>
      </c>
      <c r="CD343" s="213">
        <f t="shared" ca="1" si="95"/>
        <v>16.434573199999999</v>
      </c>
      <c r="CE343" s="214">
        <f t="shared" ca="1" si="96"/>
        <v>1.150420124</v>
      </c>
      <c r="CF343" s="215">
        <f>VLOOKUP(L343,'Impostos e Frete'!$A$3:$C$7,3,0)</f>
        <v>105</v>
      </c>
      <c r="CG343" s="215">
        <f t="shared" si="97"/>
        <v>120</v>
      </c>
      <c r="CH343" s="215">
        <f t="shared" si="98"/>
        <v>15</v>
      </c>
      <c r="CI343" s="216">
        <f t="shared" ca="1" si="99"/>
        <v>-0.12188974075469972</v>
      </c>
      <c r="CJ343" s="217">
        <f t="shared" ca="1" si="100"/>
        <v>16.312683459245299</v>
      </c>
      <c r="CK343" s="218">
        <f t="shared" ca="1" si="101"/>
        <v>1.141887842147171</v>
      </c>
    </row>
    <row r="344" spans="1:89">
      <c r="A344" s="176">
        <v>17039</v>
      </c>
      <c r="B344" s="177">
        <v>104</v>
      </c>
      <c r="C344" s="178">
        <v>70</v>
      </c>
      <c r="D344" s="178">
        <v>1270</v>
      </c>
      <c r="E344" s="178" t="s">
        <v>50</v>
      </c>
      <c r="F344" s="179" t="s">
        <v>47</v>
      </c>
      <c r="G344" s="185" t="s">
        <v>93</v>
      </c>
      <c r="H344" s="178" t="s">
        <v>43</v>
      </c>
      <c r="I344" s="178">
        <v>6412</v>
      </c>
      <c r="J344" s="178"/>
      <c r="K344" s="178"/>
      <c r="L344" s="178" t="s">
        <v>59</v>
      </c>
      <c r="M344" s="178">
        <v>120</v>
      </c>
      <c r="N344" s="178">
        <v>300</v>
      </c>
      <c r="O344" s="178"/>
      <c r="P344" s="178"/>
      <c r="Q344" s="178"/>
      <c r="R344" s="178" t="s">
        <v>19</v>
      </c>
      <c r="S344" s="181"/>
      <c r="T344" s="181"/>
      <c r="U344" s="182"/>
      <c r="V344" s="182" t="s">
        <v>35</v>
      </c>
      <c r="W344" s="183">
        <v>20</v>
      </c>
      <c r="X344" s="182" t="s">
        <v>51</v>
      </c>
      <c r="Y344" s="184">
        <v>3110</v>
      </c>
      <c r="Z344" s="184">
        <v>3110</v>
      </c>
      <c r="AA344" s="184">
        <v>3110</v>
      </c>
      <c r="AB344" s="184">
        <v>3110</v>
      </c>
      <c r="AC344" s="184">
        <v>3110</v>
      </c>
      <c r="AD344" s="184">
        <v>3110</v>
      </c>
      <c r="AE344" s="184">
        <v>2450</v>
      </c>
      <c r="AF344" s="184">
        <v>2450</v>
      </c>
      <c r="AG344" s="184">
        <v>2450</v>
      </c>
      <c r="AH344" s="184">
        <v>2300</v>
      </c>
      <c r="AI344" s="184">
        <v>2300</v>
      </c>
      <c r="AJ344" s="184">
        <v>2300</v>
      </c>
      <c r="AK344" s="146">
        <f>AK342+100</f>
        <v>2360</v>
      </c>
      <c r="AL344" s="146">
        <f>AL342+100</f>
        <v>2360</v>
      </c>
      <c r="AM344" s="146">
        <f>AM342+100</f>
        <v>2360</v>
      </c>
      <c r="AN344" s="184">
        <v>2490</v>
      </c>
      <c r="AO344" s="184">
        <v>2490</v>
      </c>
      <c r="AP344" s="184">
        <v>2490</v>
      </c>
      <c r="AQ344" s="184">
        <v>2640</v>
      </c>
      <c r="AR344" s="184">
        <v>2640</v>
      </c>
      <c r="AS344" s="184">
        <v>2640</v>
      </c>
      <c r="AT344" s="184">
        <v>2640</v>
      </c>
      <c r="AU344" s="184">
        <v>2640</v>
      </c>
      <c r="AV344" s="184">
        <v>2640</v>
      </c>
      <c r="AW344" s="184">
        <v>2560</v>
      </c>
      <c r="AX344" s="184">
        <v>2560</v>
      </c>
      <c r="AY344" s="184">
        <v>2560</v>
      </c>
      <c r="AZ344" s="184">
        <v>2320</v>
      </c>
      <c r="BA344" s="184">
        <v>2320</v>
      </c>
      <c r="BB344" s="184">
        <v>2450</v>
      </c>
      <c r="BC344" s="184">
        <v>2450</v>
      </c>
      <c r="BD344" s="184">
        <v>2450</v>
      </c>
      <c r="BE344" s="184">
        <v>2450</v>
      </c>
      <c r="BF344" s="184">
        <v>2350</v>
      </c>
      <c r="BG344" s="184">
        <v>2350</v>
      </c>
      <c r="BH344" s="184">
        <v>2350</v>
      </c>
      <c r="BI344" s="184">
        <v>2380</v>
      </c>
      <c r="BJ344" s="184">
        <v>2380</v>
      </c>
      <c r="BK344" s="184">
        <v>2380</v>
      </c>
      <c r="BL344" s="184">
        <v>2480</v>
      </c>
      <c r="BM344" s="184">
        <v>2480</v>
      </c>
      <c r="BN344" s="184">
        <v>2480</v>
      </c>
      <c r="BO344" s="184"/>
      <c r="BP344" s="184"/>
      <c r="BQ344" s="184"/>
      <c r="BR344" s="184"/>
      <c r="BS344" s="184"/>
      <c r="BT344" s="184"/>
      <c r="BU344" s="146" cm="1">
        <f t="array" ref="BU344">LOOKUP(2,1/(Y344:BT344&lt;&gt;""),Y344:BH344)</f>
        <v>2480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46174</v>
      </c>
      <c r="BW344" s="211" cm="1">
        <f t="array" ref="BW344">(LOOKUP(2,1/(BH344:BT344&lt;&gt;""),BH344:BT344))/(INDEX(BH344:BT344,MATCH(TRUE,INDEX((BH344:BT344&lt;&gt;0),0),0)))-1</f>
        <v>5.5319148936170182E-2</v>
      </c>
      <c r="BX344" s="212">
        <f t="shared" si="93"/>
        <v>2.48</v>
      </c>
      <c r="BY344" s="212">
        <f t="shared" si="92"/>
        <v>14.632000000000001</v>
      </c>
      <c r="BZ344" s="212">
        <f ca="1">IF(L344="BR",'Impostos e Frete'!$F$6,IF(L344="EU",'Impostos e Frete'!$I$3,IF(L344="CN",'Impostos e Frete'!$I$4,IF(L344="JP",'Impostos e Frete'!$I$5,IF(L344="RU",'Impostos e Frete'!$I$7,"ERRO")))))</f>
        <v>0.14176320000000001</v>
      </c>
      <c r="CA344" s="212">
        <f>VLOOKUP(L344,'Impostos e Frete'!$A$3:$B$7,2,0)*'Preços e Condições'!BY344</f>
        <v>1.9021600000000003</v>
      </c>
      <c r="CB344" s="147">
        <f t="shared" si="94"/>
        <v>0</v>
      </c>
      <c r="CC344" s="147">
        <f>IF(X344="BRL",'Impostos e Frete'!$B$11,'Impostos e Frete'!$B$12)</f>
        <v>9.1999999999999998E-2</v>
      </c>
      <c r="CD344" s="213">
        <f t="shared" ca="1" si="95"/>
        <v>16.767923199999998</v>
      </c>
      <c r="CE344" s="214">
        <f t="shared" ca="1" si="96"/>
        <v>1.1737546240000001</v>
      </c>
      <c r="CF344" s="215">
        <f>VLOOKUP(L344,'Impostos e Frete'!$A$3:$C$7,3,0)</f>
        <v>105</v>
      </c>
      <c r="CG344" s="215">
        <f t="shared" si="97"/>
        <v>120</v>
      </c>
      <c r="CH344" s="215">
        <f t="shared" si="98"/>
        <v>15</v>
      </c>
      <c r="CI344" s="216">
        <f t="shared" ca="1" si="99"/>
        <v>-0.12436208637549129</v>
      </c>
      <c r="CJ344" s="217">
        <f t="shared" ca="1" si="100"/>
        <v>16.643561113624507</v>
      </c>
      <c r="CK344" s="218">
        <f t="shared" ca="1" si="101"/>
        <v>1.1650492779537154</v>
      </c>
    </row>
    <row r="345" spans="1:89">
      <c r="A345" s="176">
        <v>17039</v>
      </c>
      <c r="B345" s="177">
        <v>104</v>
      </c>
      <c r="C345" s="178">
        <v>70</v>
      </c>
      <c r="D345" s="178">
        <v>1270</v>
      </c>
      <c r="E345" s="178" t="s">
        <v>50</v>
      </c>
      <c r="F345" s="179" t="s">
        <v>47</v>
      </c>
      <c r="G345" s="185" t="s">
        <v>93</v>
      </c>
      <c r="H345" s="178" t="s">
        <v>43</v>
      </c>
      <c r="I345" s="178">
        <v>6412</v>
      </c>
      <c r="J345" s="178"/>
      <c r="K345" s="178"/>
      <c r="L345" s="178" t="s">
        <v>59</v>
      </c>
      <c r="M345" s="178">
        <v>120</v>
      </c>
      <c r="N345" s="178">
        <v>300</v>
      </c>
      <c r="O345" s="178"/>
      <c r="P345" s="178"/>
      <c r="Q345" s="178"/>
      <c r="R345" s="178" t="s">
        <v>19</v>
      </c>
      <c r="S345" s="181"/>
      <c r="T345" s="181"/>
      <c r="U345" s="182"/>
      <c r="V345" s="182" t="s">
        <v>35</v>
      </c>
      <c r="W345" s="183">
        <v>10</v>
      </c>
      <c r="X345" s="182" t="s">
        <v>51</v>
      </c>
      <c r="Y345" s="184">
        <v>3190</v>
      </c>
      <c r="Z345" s="184">
        <v>3190</v>
      </c>
      <c r="AA345" s="184">
        <v>3190</v>
      </c>
      <c r="AB345" s="184">
        <v>3190</v>
      </c>
      <c r="AC345" s="184">
        <v>3190</v>
      </c>
      <c r="AD345" s="184">
        <v>3190</v>
      </c>
      <c r="AE345" s="184">
        <v>2530</v>
      </c>
      <c r="AF345" s="184">
        <v>2530</v>
      </c>
      <c r="AG345" s="184">
        <v>2530</v>
      </c>
      <c r="AH345" s="184">
        <v>2380</v>
      </c>
      <c r="AI345" s="184">
        <v>2380</v>
      </c>
      <c r="AJ345" s="184">
        <v>2380</v>
      </c>
      <c r="AK345" s="146">
        <f>AK342+180</f>
        <v>2440</v>
      </c>
      <c r="AL345" s="146">
        <f>AL342+180</f>
        <v>2440</v>
      </c>
      <c r="AM345" s="146">
        <f>AM342+180</f>
        <v>2440</v>
      </c>
      <c r="AN345" s="184">
        <v>2570</v>
      </c>
      <c r="AO345" s="184">
        <v>2570</v>
      </c>
      <c r="AP345" s="184">
        <v>2570</v>
      </c>
      <c r="AQ345" s="184">
        <v>2720</v>
      </c>
      <c r="AR345" s="184">
        <v>2720</v>
      </c>
      <c r="AS345" s="184">
        <v>2720</v>
      </c>
      <c r="AT345" s="184">
        <v>2720</v>
      </c>
      <c r="AU345" s="184">
        <v>2720</v>
      </c>
      <c r="AV345" s="184">
        <v>2720</v>
      </c>
      <c r="AW345" s="184">
        <v>2640</v>
      </c>
      <c r="AX345" s="184">
        <v>2640</v>
      </c>
      <c r="AY345" s="184">
        <v>2640</v>
      </c>
      <c r="AZ345" s="184">
        <v>2400</v>
      </c>
      <c r="BA345" s="184">
        <v>2400</v>
      </c>
      <c r="BB345" s="184">
        <v>2530</v>
      </c>
      <c r="BC345" s="184">
        <v>2530</v>
      </c>
      <c r="BD345" s="184">
        <v>2530</v>
      </c>
      <c r="BE345" s="184">
        <v>2530</v>
      </c>
      <c r="BF345" s="184">
        <v>2430</v>
      </c>
      <c r="BG345" s="184">
        <v>2430</v>
      </c>
      <c r="BH345" s="184">
        <v>2430</v>
      </c>
      <c r="BI345" s="184">
        <v>2460</v>
      </c>
      <c r="BJ345" s="184">
        <v>2460</v>
      </c>
      <c r="BK345" s="184">
        <v>2460</v>
      </c>
      <c r="BL345" s="184">
        <v>2560</v>
      </c>
      <c r="BM345" s="184">
        <v>2560</v>
      </c>
      <c r="BN345" s="184">
        <v>2560</v>
      </c>
      <c r="BO345" s="184"/>
      <c r="BP345" s="184"/>
      <c r="BQ345" s="184"/>
      <c r="BR345" s="184"/>
      <c r="BS345" s="184"/>
      <c r="BT345" s="184"/>
      <c r="BU345" s="146" cm="1">
        <f t="array" ref="BU345">LOOKUP(2,1/(Y345:BT345&lt;&gt;""),Y345:BH345)</f>
        <v>2560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46174</v>
      </c>
      <c r="BW345" s="211" cm="1">
        <f t="array" ref="BW345">(LOOKUP(2,1/(BH345:BT345&lt;&gt;""),BH345:BT345))/(INDEX(BH345:BT345,MATCH(TRUE,INDEX((BH345:BT345&lt;&gt;0),0),0)))-1</f>
        <v>5.3497942386831365E-2</v>
      </c>
      <c r="BX345" s="212">
        <f t="shared" si="93"/>
        <v>2.56</v>
      </c>
      <c r="BY345" s="212">
        <f t="shared" si="92"/>
        <v>15.104000000000001</v>
      </c>
      <c r="BZ345" s="212">
        <f ca="1">IF(L345="BR",'Impostos e Frete'!$F$6,IF(L345="EU",'Impostos e Frete'!$I$3,IF(L345="CN",'Impostos e Frete'!$I$4,IF(L345="JP",'Impostos e Frete'!$I$5,IF(L345="RU",'Impostos e Frete'!$I$7,"ERRO")))))</f>
        <v>0.14176320000000001</v>
      </c>
      <c r="CA345" s="212">
        <f>VLOOKUP(L345,'Impostos e Frete'!$A$3:$B$7,2,0)*'Preços e Condições'!BY345</f>
        <v>1.9635200000000002</v>
      </c>
      <c r="CB345" s="147">
        <f t="shared" si="94"/>
        <v>0</v>
      </c>
      <c r="CC345" s="147">
        <f>IF(X345="BRL",'Impostos e Frete'!$B$11,'Impostos e Frete'!$B$12)</f>
        <v>9.1999999999999998E-2</v>
      </c>
      <c r="CD345" s="213">
        <f t="shared" ca="1" si="95"/>
        <v>17.3012832</v>
      </c>
      <c r="CE345" s="214">
        <f t="shared" ca="1" si="96"/>
        <v>1.2110898240000001</v>
      </c>
      <c r="CF345" s="215">
        <f>VLOOKUP(L345,'Impostos e Frete'!$A$3:$C$7,3,0)</f>
        <v>105</v>
      </c>
      <c r="CG345" s="215">
        <f t="shared" si="97"/>
        <v>120</v>
      </c>
      <c r="CH345" s="215">
        <f t="shared" si="98"/>
        <v>15</v>
      </c>
      <c r="CI345" s="216">
        <f t="shared" ca="1" si="99"/>
        <v>-0.12831783936875496</v>
      </c>
      <c r="CJ345" s="217">
        <f t="shared" ca="1" si="100"/>
        <v>17.172965360631245</v>
      </c>
      <c r="CK345" s="218">
        <f t="shared" ca="1" si="101"/>
        <v>1.2021075752441872</v>
      </c>
    </row>
    <row r="346" spans="1:89">
      <c r="A346" s="176">
        <v>17048</v>
      </c>
      <c r="B346" s="177" t="s">
        <v>348</v>
      </c>
      <c r="C346" s="178">
        <v>68</v>
      </c>
      <c r="D346" s="178">
        <v>1870</v>
      </c>
      <c r="E346" s="178" t="s">
        <v>50</v>
      </c>
      <c r="F346" s="179" t="s">
        <v>47</v>
      </c>
      <c r="G346" s="185" t="s">
        <v>94</v>
      </c>
      <c r="H346" s="178" t="s">
        <v>43</v>
      </c>
      <c r="I346" s="178" t="s">
        <v>41</v>
      </c>
      <c r="J346" s="178"/>
      <c r="K346" s="178"/>
      <c r="L346" s="178" t="s">
        <v>59</v>
      </c>
      <c r="M346" s="178">
        <v>120</v>
      </c>
      <c r="N346" s="178">
        <v>300</v>
      </c>
      <c r="O346" s="178"/>
      <c r="P346" s="178"/>
      <c r="Q346" s="178"/>
      <c r="R346" s="178" t="s">
        <v>19</v>
      </c>
      <c r="S346" s="181"/>
      <c r="T346" s="181"/>
      <c r="U346" s="182"/>
      <c r="V346" s="182" t="s">
        <v>35</v>
      </c>
      <c r="W346" s="183">
        <v>100</v>
      </c>
      <c r="X346" s="182" t="s">
        <v>51</v>
      </c>
      <c r="Y346" s="184">
        <v>3040</v>
      </c>
      <c r="Z346" s="184">
        <v>3040</v>
      </c>
      <c r="AA346" s="184">
        <v>3040</v>
      </c>
      <c r="AB346" s="184">
        <v>3040</v>
      </c>
      <c r="AC346" s="184">
        <v>3040</v>
      </c>
      <c r="AD346" s="184">
        <v>3040</v>
      </c>
      <c r="AE346" s="184">
        <v>2350</v>
      </c>
      <c r="AF346" s="184">
        <v>2350</v>
      </c>
      <c r="AG346" s="184">
        <v>2350</v>
      </c>
      <c r="AH346" s="184">
        <v>2200</v>
      </c>
      <c r="AI346" s="184">
        <v>2200</v>
      </c>
      <c r="AJ346" s="184">
        <v>2200</v>
      </c>
      <c r="AK346" s="184">
        <v>2260</v>
      </c>
      <c r="AL346" s="184">
        <v>2260</v>
      </c>
      <c r="AM346" s="184">
        <v>2260</v>
      </c>
      <c r="AN346" s="184">
        <v>2390</v>
      </c>
      <c r="AO346" s="184">
        <v>2390</v>
      </c>
      <c r="AP346" s="184">
        <v>2390</v>
      </c>
      <c r="AQ346" s="184">
        <v>2540</v>
      </c>
      <c r="AR346" s="184">
        <v>2540</v>
      </c>
      <c r="AS346" s="184">
        <v>2540</v>
      </c>
      <c r="AT346" s="184">
        <v>2540</v>
      </c>
      <c r="AU346" s="184">
        <v>2540</v>
      </c>
      <c r="AV346" s="184">
        <v>2540</v>
      </c>
      <c r="AW346" s="184">
        <v>2460</v>
      </c>
      <c r="AX346" s="184">
        <v>2460</v>
      </c>
      <c r="AY346" s="184">
        <v>2460</v>
      </c>
      <c r="AZ346" s="184">
        <v>2220</v>
      </c>
      <c r="BA346" s="184">
        <v>2220</v>
      </c>
      <c r="BB346" s="184">
        <v>2350</v>
      </c>
      <c r="BC346" s="184">
        <v>2350</v>
      </c>
      <c r="BD346" s="184">
        <v>2350</v>
      </c>
      <c r="BE346" s="184">
        <v>2350</v>
      </c>
      <c r="BF346" s="184">
        <v>2300</v>
      </c>
      <c r="BG346" s="184">
        <v>2300</v>
      </c>
      <c r="BH346" s="184">
        <v>2300</v>
      </c>
      <c r="BI346" s="184">
        <v>2300</v>
      </c>
      <c r="BJ346" s="184">
        <v>2300</v>
      </c>
      <c r="BK346" s="184">
        <v>2300</v>
      </c>
      <c r="BL346" s="184">
        <v>2400</v>
      </c>
      <c r="BM346" s="184">
        <v>2400</v>
      </c>
      <c r="BN346" s="184">
        <v>2400</v>
      </c>
      <c r="BO346" s="184"/>
      <c r="BP346" s="184"/>
      <c r="BQ346" s="184"/>
      <c r="BR346" s="184"/>
      <c r="BS346" s="184"/>
      <c r="BT346" s="184"/>
      <c r="BU346" s="146" cm="1">
        <f t="array" ref="BU346">LOOKUP(2,1/(Y346:BT346&lt;&gt;""),Y346:BH346)</f>
        <v>2400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46174</v>
      </c>
      <c r="BW346" s="211" cm="1">
        <f t="array" ref="BW346">(LOOKUP(2,1/(BH346:BT346&lt;&gt;""),BH346:BT346))/(INDEX(BH346:BT346,MATCH(TRUE,INDEX((BH346:BT346&lt;&gt;0),0),0)))-1</f>
        <v>4.3478260869565188E-2</v>
      </c>
      <c r="BX346" s="212">
        <f t="shared" ref="BX346" si="102">BU346/1000</f>
        <v>2.4</v>
      </c>
      <c r="BY346" s="212">
        <f t="shared" si="92"/>
        <v>14.16</v>
      </c>
      <c r="BZ346" s="212">
        <f ca="1">IF(L346="BR",'Impostos e Frete'!$F$6,IF(L346="EU",'Impostos e Frete'!$I$3,IF(L346="CN",'Impostos e Frete'!$I$4,IF(L346="JP",'Impostos e Frete'!$I$5,IF(L346="RU",'Impostos e Frete'!$I$7,"ERRO")))))</f>
        <v>0.14176320000000001</v>
      </c>
      <c r="CA346" s="212">
        <f>VLOOKUP(L346,'Impostos e Frete'!$A$3:$B$7,2,0)*'Preços e Condições'!BY346</f>
        <v>1.8408</v>
      </c>
      <c r="CB346" s="147">
        <f t="shared" ref="CB346" si="103">IF(R346="CFR",$CB$2,IF(R346="FOB",0,IF(R346="EXW",$CB$1,"ERRO")))</f>
        <v>0</v>
      </c>
      <c r="CC346" s="147">
        <f>IF(X346="BRL",'Impostos e Frete'!$B$11,'Impostos e Frete'!$B$12)</f>
        <v>9.1999999999999998E-2</v>
      </c>
      <c r="CD346" s="213">
        <f t="shared" ref="CD346" ca="1" si="104">SUM(BY346:CC346)</f>
        <v>16.2345632</v>
      </c>
      <c r="CE346" s="214">
        <f t="shared" ref="CE346" ca="1" si="105">IF(C346="","erro",(CD346/1000)*C346)</f>
        <v>1.1039502976</v>
      </c>
      <c r="CF346" s="215">
        <f>VLOOKUP(L346,'Impostos e Frete'!$A$3:$C$7,3,0)</f>
        <v>105</v>
      </c>
      <c r="CG346" s="215">
        <f t="shared" ref="CG346" si="106">M346</f>
        <v>120</v>
      </c>
      <c r="CH346" s="215">
        <f t="shared" ref="CH346" si="107">CG346-CF346</f>
        <v>15</v>
      </c>
      <c r="CI346" s="216">
        <f t="shared" ref="CI346" ca="1" si="108">CD346*(1+VALUE($CI$2))^((CH346*-1)/30)-CD346</f>
        <v>-0.12040633338222761</v>
      </c>
      <c r="CJ346" s="217">
        <f t="shared" ref="CJ346" ca="1" si="109">CD346+CI346</f>
        <v>16.114156866617773</v>
      </c>
      <c r="CK346" s="218">
        <f t="shared" ref="CK346" ca="1" si="110">IF(C346="","erro",(CJ346/1000)*C346)</f>
        <v>1.0957626669300085</v>
      </c>
    </row>
    <row r="347" spans="1:89">
      <c r="A347" s="176">
        <v>17048</v>
      </c>
      <c r="B347" s="177" t="s">
        <v>348</v>
      </c>
      <c r="C347" s="178">
        <v>68</v>
      </c>
      <c r="D347" s="178">
        <v>1870</v>
      </c>
      <c r="E347" s="178" t="s">
        <v>50</v>
      </c>
      <c r="F347" s="179" t="s">
        <v>47</v>
      </c>
      <c r="G347" s="185" t="s">
        <v>94</v>
      </c>
      <c r="H347" s="178" t="s">
        <v>43</v>
      </c>
      <c r="I347" s="178" t="s">
        <v>41</v>
      </c>
      <c r="J347" s="178"/>
      <c r="K347" s="178"/>
      <c r="L347" s="178" t="s">
        <v>59</v>
      </c>
      <c r="M347" s="178">
        <v>120</v>
      </c>
      <c r="N347" s="178">
        <v>300</v>
      </c>
      <c r="O347" s="178"/>
      <c r="P347" s="178"/>
      <c r="Q347" s="178"/>
      <c r="R347" s="178" t="s">
        <v>19</v>
      </c>
      <c r="S347" s="181"/>
      <c r="T347" s="181"/>
      <c r="U347" s="182"/>
      <c r="V347" s="182" t="s">
        <v>35</v>
      </c>
      <c r="W347" s="183">
        <v>50</v>
      </c>
      <c r="X347" s="182" t="s">
        <v>51</v>
      </c>
      <c r="Y347" s="184">
        <v>3040</v>
      </c>
      <c r="Z347" s="184">
        <v>3040</v>
      </c>
      <c r="AA347" s="184">
        <v>3040</v>
      </c>
      <c r="AB347" s="184">
        <v>3040</v>
      </c>
      <c r="AC347" s="184">
        <v>3040</v>
      </c>
      <c r="AD347" s="184">
        <v>3040</v>
      </c>
      <c r="AE347" s="184">
        <v>2350</v>
      </c>
      <c r="AF347" s="184">
        <v>2350</v>
      </c>
      <c r="AG347" s="184">
        <v>2350</v>
      </c>
      <c r="AH347" s="184">
        <v>2200</v>
      </c>
      <c r="AI347" s="184">
        <v>2200</v>
      </c>
      <c r="AJ347" s="184">
        <v>2200</v>
      </c>
      <c r="AK347" s="184">
        <v>2260</v>
      </c>
      <c r="AL347" s="184">
        <v>2260</v>
      </c>
      <c r="AM347" s="184">
        <v>2260</v>
      </c>
      <c r="AN347" s="184">
        <v>2390</v>
      </c>
      <c r="AO347" s="184">
        <v>2390</v>
      </c>
      <c r="AP347" s="184">
        <v>2390</v>
      </c>
      <c r="AQ347" s="184">
        <v>2540</v>
      </c>
      <c r="AR347" s="184">
        <v>2540</v>
      </c>
      <c r="AS347" s="184">
        <v>2540</v>
      </c>
      <c r="AT347" s="184">
        <v>2540</v>
      </c>
      <c r="AU347" s="184">
        <v>2540</v>
      </c>
      <c r="AV347" s="184">
        <v>2540</v>
      </c>
      <c r="AW347" s="184">
        <v>2460</v>
      </c>
      <c r="AX347" s="184">
        <v>2460</v>
      </c>
      <c r="AY347" s="184">
        <v>2460</v>
      </c>
      <c r="AZ347" s="184">
        <v>2220</v>
      </c>
      <c r="BA347" s="184">
        <v>2220</v>
      </c>
      <c r="BB347" s="184">
        <v>2350</v>
      </c>
      <c r="BC347" s="184">
        <v>2350</v>
      </c>
      <c r="BD347" s="184">
        <v>2350</v>
      </c>
      <c r="BE347" s="184">
        <v>2350</v>
      </c>
      <c r="BF347" s="184">
        <v>2300</v>
      </c>
      <c r="BG347" s="184">
        <v>2300</v>
      </c>
      <c r="BH347" s="184">
        <v>2300</v>
      </c>
      <c r="BI347" s="184">
        <v>2320</v>
      </c>
      <c r="BJ347" s="184">
        <v>2320</v>
      </c>
      <c r="BK347" s="184">
        <v>2320</v>
      </c>
      <c r="BL347" s="184">
        <v>2420</v>
      </c>
      <c r="BM347" s="184">
        <v>2420</v>
      </c>
      <c r="BN347" s="184">
        <v>2420</v>
      </c>
      <c r="BO347" s="184"/>
      <c r="BP347" s="184"/>
      <c r="BQ347" s="184"/>
      <c r="BR347" s="184"/>
      <c r="BS347" s="184"/>
      <c r="BT347" s="184"/>
      <c r="BU347" s="146" cm="1">
        <f t="array" ref="BU347">LOOKUP(2,1/(Y347:BT347&lt;&gt;""),Y347:BH347)</f>
        <v>2420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46174</v>
      </c>
      <c r="BW347" s="211" cm="1">
        <f t="array" ref="BW347">(LOOKUP(2,1/(BH347:BT347&lt;&gt;""),BH347:BT347))/(INDEX(BH347:BT347,MATCH(TRUE,INDEX((BH347:BT347&lt;&gt;0),0),0)))-1</f>
        <v>5.2173913043478182E-2</v>
      </c>
      <c r="BX347" s="212">
        <f t="shared" si="93"/>
        <v>2.42</v>
      </c>
      <c r="BY347" s="212">
        <f t="shared" si="92"/>
        <v>14.278</v>
      </c>
      <c r="BZ347" s="212">
        <f ca="1">IF(L347="BR",'Impostos e Frete'!$F$6,IF(L347="EU",'Impostos e Frete'!$I$3,IF(L347="CN",'Impostos e Frete'!$I$4,IF(L347="JP",'Impostos e Frete'!$I$5,IF(L347="RU",'Impostos e Frete'!$I$7,"ERRO")))))</f>
        <v>0.14176320000000001</v>
      </c>
      <c r="CA347" s="212">
        <f>VLOOKUP(L347,'Impostos e Frete'!$A$3:$B$7,2,0)*'Preços e Condições'!BY347</f>
        <v>1.8561400000000001</v>
      </c>
      <c r="CB347" s="147">
        <f t="shared" si="94"/>
        <v>0</v>
      </c>
      <c r="CC347" s="147">
        <f>IF(X347="BRL",'Impostos e Frete'!$B$11,'Impostos e Frete'!$B$12)</f>
        <v>9.1999999999999998E-2</v>
      </c>
      <c r="CD347" s="213">
        <f t="shared" ca="1" si="95"/>
        <v>16.367903200000001</v>
      </c>
      <c r="CE347" s="214">
        <f t="shared" ca="1" si="96"/>
        <v>1.1130174176000001</v>
      </c>
      <c r="CF347" s="215">
        <f>VLOOKUP(L347,'Impostos e Frete'!$A$3:$C$7,3,0)</f>
        <v>105</v>
      </c>
      <c r="CG347" s="215">
        <f t="shared" si="97"/>
        <v>120</v>
      </c>
      <c r="CH347" s="215">
        <f t="shared" si="98"/>
        <v>15</v>
      </c>
      <c r="CI347" s="216">
        <f t="shared" ca="1" si="99"/>
        <v>-0.12139527163054353</v>
      </c>
      <c r="CJ347" s="217">
        <f t="shared" ca="1" si="100"/>
        <v>16.246507928369457</v>
      </c>
      <c r="CK347" s="218">
        <f t="shared" ca="1" si="101"/>
        <v>1.1047625391291231</v>
      </c>
    </row>
    <row r="348" spans="1:89">
      <c r="A348" s="176">
        <v>17048</v>
      </c>
      <c r="B348" s="177" t="s">
        <v>348</v>
      </c>
      <c r="C348" s="178">
        <v>68</v>
      </c>
      <c r="D348" s="178">
        <v>1870</v>
      </c>
      <c r="E348" s="178" t="s">
        <v>50</v>
      </c>
      <c r="F348" s="179" t="s">
        <v>47</v>
      </c>
      <c r="G348" s="185" t="s">
        <v>94</v>
      </c>
      <c r="H348" s="178" t="s">
        <v>43</v>
      </c>
      <c r="I348" s="178" t="s">
        <v>41</v>
      </c>
      <c r="J348" s="178"/>
      <c r="K348" s="178"/>
      <c r="L348" s="178" t="s">
        <v>59</v>
      </c>
      <c r="M348" s="178">
        <v>120</v>
      </c>
      <c r="N348" s="178">
        <v>300</v>
      </c>
      <c r="O348" s="178"/>
      <c r="P348" s="178"/>
      <c r="Q348" s="178"/>
      <c r="R348" s="178" t="s">
        <v>19</v>
      </c>
      <c r="S348" s="181"/>
      <c r="T348" s="181"/>
      <c r="U348" s="182"/>
      <c r="V348" s="182" t="s">
        <v>35</v>
      </c>
      <c r="W348" s="183">
        <v>30</v>
      </c>
      <c r="X348" s="182" t="s">
        <v>51</v>
      </c>
      <c r="Y348" s="184">
        <v>3090</v>
      </c>
      <c r="Z348" s="184">
        <v>3090</v>
      </c>
      <c r="AA348" s="184">
        <v>3090</v>
      </c>
      <c r="AB348" s="184">
        <v>3090</v>
      </c>
      <c r="AC348" s="184">
        <v>3090</v>
      </c>
      <c r="AD348" s="184">
        <v>3090</v>
      </c>
      <c r="AE348" s="184">
        <v>2400</v>
      </c>
      <c r="AF348" s="184">
        <v>2400</v>
      </c>
      <c r="AG348" s="184">
        <v>2400</v>
      </c>
      <c r="AH348" s="184">
        <v>2250</v>
      </c>
      <c r="AI348" s="184">
        <v>2250</v>
      </c>
      <c r="AJ348" s="184">
        <v>2250</v>
      </c>
      <c r="AK348" s="146">
        <f>AK347+50</f>
        <v>2310</v>
      </c>
      <c r="AL348" s="146">
        <f>AL347+50</f>
        <v>2310</v>
      </c>
      <c r="AM348" s="146">
        <f>AM347+50</f>
        <v>2310</v>
      </c>
      <c r="AN348" s="184">
        <v>2440</v>
      </c>
      <c r="AO348" s="184">
        <v>2440</v>
      </c>
      <c r="AP348" s="184">
        <v>2440</v>
      </c>
      <c r="AQ348" s="184">
        <v>2590</v>
      </c>
      <c r="AR348" s="184">
        <v>2590</v>
      </c>
      <c r="AS348" s="184">
        <v>2590</v>
      </c>
      <c r="AT348" s="184">
        <v>2590</v>
      </c>
      <c r="AU348" s="184">
        <v>2590</v>
      </c>
      <c r="AV348" s="184">
        <v>2590</v>
      </c>
      <c r="AW348" s="184">
        <v>2510</v>
      </c>
      <c r="AX348" s="184">
        <v>2510</v>
      </c>
      <c r="AY348" s="184">
        <v>2510</v>
      </c>
      <c r="AZ348" s="184">
        <v>2270</v>
      </c>
      <c r="BA348" s="184">
        <v>2270</v>
      </c>
      <c r="BB348" s="184">
        <v>2400</v>
      </c>
      <c r="BC348" s="184">
        <v>2400</v>
      </c>
      <c r="BD348" s="184">
        <v>2400</v>
      </c>
      <c r="BE348" s="184">
        <v>2400</v>
      </c>
      <c r="BF348" s="184">
        <v>2350</v>
      </c>
      <c r="BG348" s="184">
        <v>2350</v>
      </c>
      <c r="BH348" s="184">
        <v>2350</v>
      </c>
      <c r="BI348" s="184">
        <v>2370</v>
      </c>
      <c r="BJ348" s="184">
        <v>2370</v>
      </c>
      <c r="BK348" s="184">
        <v>2370</v>
      </c>
      <c r="BL348" s="184">
        <v>2470</v>
      </c>
      <c r="BM348" s="184">
        <v>2470</v>
      </c>
      <c r="BN348" s="184">
        <v>2470</v>
      </c>
      <c r="BO348" s="184"/>
      <c r="BP348" s="184"/>
      <c r="BQ348" s="184"/>
      <c r="BR348" s="184"/>
      <c r="BS348" s="184"/>
      <c r="BT348" s="184"/>
      <c r="BU348" s="146" cm="1">
        <f t="array" ref="BU348">LOOKUP(2,1/(Y348:BT348&lt;&gt;""),Y348:BH348)</f>
        <v>2470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46174</v>
      </c>
      <c r="BW348" s="211" cm="1">
        <f t="array" ref="BW348">(LOOKUP(2,1/(BH348:BT348&lt;&gt;""),BH348:BT348))/(INDEX(BH348:BT348,MATCH(TRUE,INDEX((BH348:BT348&lt;&gt;0),0),0)))-1</f>
        <v>5.1063829787234116E-2</v>
      </c>
      <c r="BX348" s="212">
        <f t="shared" si="93"/>
        <v>2.4700000000000002</v>
      </c>
      <c r="BY348" s="212">
        <f t="shared" si="92"/>
        <v>14.573000000000002</v>
      </c>
      <c r="BZ348" s="212">
        <f ca="1">IF(L348="BR",'Impostos e Frete'!$F$6,IF(L348="EU",'Impostos e Frete'!$I$3,IF(L348="CN",'Impostos e Frete'!$I$4,IF(L348="JP",'Impostos e Frete'!$I$5,IF(L348="RU",'Impostos e Frete'!$I$7,"ERRO")))))</f>
        <v>0.14176320000000001</v>
      </c>
      <c r="CA348" s="212">
        <f>VLOOKUP(L348,'Impostos e Frete'!$A$3:$B$7,2,0)*'Preços e Condições'!BY348</f>
        <v>1.8944900000000005</v>
      </c>
      <c r="CB348" s="147">
        <f t="shared" si="94"/>
        <v>0</v>
      </c>
      <c r="CC348" s="147">
        <f>IF(X348="BRL",'Impostos e Frete'!$B$11,'Impostos e Frete'!$B$12)</f>
        <v>9.1999999999999998E-2</v>
      </c>
      <c r="CD348" s="213">
        <f t="shared" ca="1" si="95"/>
        <v>16.7012532</v>
      </c>
      <c r="CE348" s="214">
        <f t="shared" ca="1" si="96"/>
        <v>1.1356852175999999</v>
      </c>
      <c r="CF348" s="215">
        <f>VLOOKUP(L348,'Impostos e Frete'!$A$3:$C$7,3,0)</f>
        <v>105</v>
      </c>
      <c r="CG348" s="215">
        <f t="shared" si="97"/>
        <v>120</v>
      </c>
      <c r="CH348" s="215">
        <f t="shared" si="98"/>
        <v>15</v>
      </c>
      <c r="CI348" s="216">
        <f t="shared" ca="1" si="99"/>
        <v>-0.12386761725133155</v>
      </c>
      <c r="CJ348" s="217">
        <f t="shared" ca="1" si="100"/>
        <v>16.577385582748668</v>
      </c>
      <c r="CK348" s="218">
        <f t="shared" ca="1" si="101"/>
        <v>1.1272622196269095</v>
      </c>
    </row>
    <row r="349" spans="1:89">
      <c r="A349" s="176">
        <v>17048</v>
      </c>
      <c r="B349" s="177" t="s">
        <v>348</v>
      </c>
      <c r="C349" s="178">
        <v>68</v>
      </c>
      <c r="D349" s="178">
        <v>1870</v>
      </c>
      <c r="E349" s="178" t="s">
        <v>50</v>
      </c>
      <c r="F349" s="179" t="s">
        <v>47</v>
      </c>
      <c r="G349" s="185" t="s">
        <v>94</v>
      </c>
      <c r="H349" s="178" t="s">
        <v>43</v>
      </c>
      <c r="I349" s="178" t="s">
        <v>41</v>
      </c>
      <c r="J349" s="178"/>
      <c r="K349" s="178"/>
      <c r="L349" s="178" t="s">
        <v>59</v>
      </c>
      <c r="M349" s="178">
        <v>120</v>
      </c>
      <c r="N349" s="178">
        <v>300</v>
      </c>
      <c r="O349" s="178"/>
      <c r="P349" s="178"/>
      <c r="Q349" s="178"/>
      <c r="R349" s="178" t="s">
        <v>19</v>
      </c>
      <c r="S349" s="181"/>
      <c r="T349" s="181"/>
      <c r="U349" s="182"/>
      <c r="V349" s="182" t="s">
        <v>35</v>
      </c>
      <c r="W349" s="183">
        <v>20</v>
      </c>
      <c r="X349" s="182" t="s">
        <v>51</v>
      </c>
      <c r="Y349" s="184">
        <v>3140</v>
      </c>
      <c r="Z349" s="184">
        <v>3140</v>
      </c>
      <c r="AA349" s="184">
        <v>3140</v>
      </c>
      <c r="AB349" s="184">
        <v>3140</v>
      </c>
      <c r="AC349" s="184">
        <v>3140</v>
      </c>
      <c r="AD349" s="184">
        <v>3140</v>
      </c>
      <c r="AE349" s="184">
        <v>2450</v>
      </c>
      <c r="AF349" s="184">
        <v>2450</v>
      </c>
      <c r="AG349" s="184">
        <v>2450</v>
      </c>
      <c r="AH349" s="184">
        <v>2300</v>
      </c>
      <c r="AI349" s="184">
        <v>2300</v>
      </c>
      <c r="AJ349" s="184">
        <v>2300</v>
      </c>
      <c r="AK349" s="146">
        <f>AK347+100</f>
        <v>2360</v>
      </c>
      <c r="AL349" s="146">
        <f>AL347+100</f>
        <v>2360</v>
      </c>
      <c r="AM349" s="146">
        <f>AM347+100</f>
        <v>2360</v>
      </c>
      <c r="AN349" s="184">
        <v>2490</v>
      </c>
      <c r="AO349" s="184">
        <v>2490</v>
      </c>
      <c r="AP349" s="184">
        <v>2490</v>
      </c>
      <c r="AQ349" s="184">
        <v>2640</v>
      </c>
      <c r="AR349" s="184">
        <v>2640</v>
      </c>
      <c r="AS349" s="184">
        <v>2640</v>
      </c>
      <c r="AT349" s="184">
        <v>2640</v>
      </c>
      <c r="AU349" s="184">
        <v>2640</v>
      </c>
      <c r="AV349" s="184">
        <v>2640</v>
      </c>
      <c r="AW349" s="184">
        <v>2560</v>
      </c>
      <c r="AX349" s="184">
        <v>2560</v>
      </c>
      <c r="AY349" s="184">
        <v>2560</v>
      </c>
      <c r="AZ349" s="184">
        <v>2320</v>
      </c>
      <c r="BA349" s="184">
        <v>2320</v>
      </c>
      <c r="BB349" s="184">
        <v>2450</v>
      </c>
      <c r="BC349" s="184">
        <v>2450</v>
      </c>
      <c r="BD349" s="184">
        <v>2450</v>
      </c>
      <c r="BE349" s="184">
        <v>2450</v>
      </c>
      <c r="BF349" s="184">
        <v>2400</v>
      </c>
      <c r="BG349" s="184">
        <v>2400</v>
      </c>
      <c r="BH349" s="184">
        <v>2400</v>
      </c>
      <c r="BI349" s="184">
        <v>2420</v>
      </c>
      <c r="BJ349" s="184">
        <v>2420</v>
      </c>
      <c r="BK349" s="184">
        <v>2420</v>
      </c>
      <c r="BL349" s="184">
        <v>2520</v>
      </c>
      <c r="BM349" s="184">
        <v>2520</v>
      </c>
      <c r="BN349" s="184">
        <v>2520</v>
      </c>
      <c r="BO349" s="184"/>
      <c r="BP349" s="184"/>
      <c r="BQ349" s="184"/>
      <c r="BR349" s="184"/>
      <c r="BS349" s="184"/>
      <c r="BT349" s="184"/>
      <c r="BU349" s="146" cm="1">
        <f t="array" ref="BU349">LOOKUP(2,1/(Y349:BT349&lt;&gt;""),Y349:BH349)</f>
        <v>2520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46174</v>
      </c>
      <c r="BW349" s="211" cm="1">
        <f t="array" ref="BW349">(LOOKUP(2,1/(BH349:BT349&lt;&gt;""),BH349:BT349))/(INDEX(BH349:BT349,MATCH(TRUE,INDEX((BH349:BT349&lt;&gt;0),0),0)))-1</f>
        <v>5.0000000000000044E-2</v>
      </c>
      <c r="BX349" s="212">
        <f t="shared" si="93"/>
        <v>2.52</v>
      </c>
      <c r="BY349" s="212">
        <f t="shared" si="92"/>
        <v>14.868</v>
      </c>
      <c r="BZ349" s="212">
        <f ca="1">IF(L349="BR",'Impostos e Frete'!$F$6,IF(L349="EU",'Impostos e Frete'!$I$3,IF(L349="CN",'Impostos e Frete'!$I$4,IF(L349="JP",'Impostos e Frete'!$I$5,IF(L349="RU",'Impostos e Frete'!$I$7,"ERRO")))))</f>
        <v>0.14176320000000001</v>
      </c>
      <c r="CA349" s="212">
        <f>VLOOKUP(L349,'Impostos e Frete'!$A$3:$B$7,2,0)*'Preços e Condições'!BY349</f>
        <v>1.9328400000000001</v>
      </c>
      <c r="CB349" s="147">
        <f t="shared" si="94"/>
        <v>0</v>
      </c>
      <c r="CC349" s="147">
        <f>IF(X349="BRL",'Impostos e Frete'!$B$11,'Impostos e Frete'!$B$12)</f>
        <v>9.1999999999999998E-2</v>
      </c>
      <c r="CD349" s="213">
        <f t="shared" ca="1" si="95"/>
        <v>17.034603199999999</v>
      </c>
      <c r="CE349" s="214">
        <f t="shared" ca="1" si="96"/>
        <v>1.1583530175999999</v>
      </c>
      <c r="CF349" s="215">
        <f>VLOOKUP(L349,'Impostos e Frete'!$A$3:$C$7,3,0)</f>
        <v>105</v>
      </c>
      <c r="CG349" s="215">
        <f t="shared" si="97"/>
        <v>120</v>
      </c>
      <c r="CH349" s="215">
        <f t="shared" si="98"/>
        <v>15</v>
      </c>
      <c r="CI349" s="216">
        <f t="shared" ca="1" si="99"/>
        <v>-0.12633996287212312</v>
      </c>
      <c r="CJ349" s="217">
        <f t="shared" ca="1" si="100"/>
        <v>16.908263237127876</v>
      </c>
      <c r="CK349" s="218">
        <f t="shared" ca="1" si="101"/>
        <v>1.1497619001246955</v>
      </c>
    </row>
    <row r="350" spans="1:89">
      <c r="A350" s="176">
        <v>17048</v>
      </c>
      <c r="B350" s="177" t="s">
        <v>348</v>
      </c>
      <c r="C350" s="178">
        <v>68</v>
      </c>
      <c r="D350" s="178">
        <v>1870</v>
      </c>
      <c r="E350" s="178" t="s">
        <v>50</v>
      </c>
      <c r="F350" s="179" t="s">
        <v>47</v>
      </c>
      <c r="G350" s="185" t="s">
        <v>94</v>
      </c>
      <c r="H350" s="178" t="s">
        <v>43</v>
      </c>
      <c r="I350" s="178" t="s">
        <v>41</v>
      </c>
      <c r="J350" s="178"/>
      <c r="K350" s="178"/>
      <c r="L350" s="178" t="s">
        <v>59</v>
      </c>
      <c r="M350" s="178">
        <v>120</v>
      </c>
      <c r="N350" s="178">
        <v>300</v>
      </c>
      <c r="O350" s="178"/>
      <c r="P350" s="178"/>
      <c r="Q350" s="178"/>
      <c r="R350" s="178" t="s">
        <v>19</v>
      </c>
      <c r="S350" s="181"/>
      <c r="T350" s="181"/>
      <c r="U350" s="182"/>
      <c r="V350" s="182" t="s">
        <v>35</v>
      </c>
      <c r="W350" s="183">
        <v>10</v>
      </c>
      <c r="X350" s="182" t="s">
        <v>51</v>
      </c>
      <c r="Y350" s="184">
        <v>3220</v>
      </c>
      <c r="Z350" s="184">
        <v>3220</v>
      </c>
      <c r="AA350" s="184">
        <v>3220</v>
      </c>
      <c r="AB350" s="184">
        <v>3220</v>
      </c>
      <c r="AC350" s="184">
        <v>3220</v>
      </c>
      <c r="AD350" s="184">
        <v>3220</v>
      </c>
      <c r="AE350" s="184">
        <v>2530</v>
      </c>
      <c r="AF350" s="184">
        <v>2530</v>
      </c>
      <c r="AG350" s="184">
        <v>2530</v>
      </c>
      <c r="AH350" s="184">
        <v>2380</v>
      </c>
      <c r="AI350" s="184">
        <v>2380</v>
      </c>
      <c r="AJ350" s="184">
        <v>2380</v>
      </c>
      <c r="AK350" s="146">
        <f>AK347+180</f>
        <v>2440</v>
      </c>
      <c r="AL350" s="146">
        <f>AL347+180</f>
        <v>2440</v>
      </c>
      <c r="AM350" s="146">
        <f>AM347+180</f>
        <v>2440</v>
      </c>
      <c r="AN350" s="184">
        <v>2570</v>
      </c>
      <c r="AO350" s="184">
        <v>2570</v>
      </c>
      <c r="AP350" s="184">
        <v>2570</v>
      </c>
      <c r="AQ350" s="184">
        <v>2720</v>
      </c>
      <c r="AR350" s="184">
        <v>2720</v>
      </c>
      <c r="AS350" s="184">
        <v>2720</v>
      </c>
      <c r="AT350" s="184">
        <v>2720</v>
      </c>
      <c r="AU350" s="184">
        <v>2720</v>
      </c>
      <c r="AV350" s="184">
        <v>2720</v>
      </c>
      <c r="AW350" s="184">
        <v>2640</v>
      </c>
      <c r="AX350" s="184">
        <v>2640</v>
      </c>
      <c r="AY350" s="184">
        <v>2640</v>
      </c>
      <c r="AZ350" s="184">
        <v>2400</v>
      </c>
      <c r="BA350" s="184">
        <v>2400</v>
      </c>
      <c r="BB350" s="184">
        <v>2530</v>
      </c>
      <c r="BC350" s="184">
        <v>2530</v>
      </c>
      <c r="BD350" s="184">
        <v>2530</v>
      </c>
      <c r="BE350" s="184">
        <v>2530</v>
      </c>
      <c r="BF350" s="184">
        <v>2480</v>
      </c>
      <c r="BG350" s="184">
        <v>2480</v>
      </c>
      <c r="BH350" s="184">
        <v>2480</v>
      </c>
      <c r="BI350" s="184">
        <v>2500</v>
      </c>
      <c r="BJ350" s="184">
        <v>2500</v>
      </c>
      <c r="BK350" s="184">
        <v>2500</v>
      </c>
      <c r="BL350" s="184">
        <v>2600</v>
      </c>
      <c r="BM350" s="184">
        <v>2600</v>
      </c>
      <c r="BN350" s="184">
        <v>2600</v>
      </c>
      <c r="BO350" s="184"/>
      <c r="BP350" s="184"/>
      <c r="BQ350" s="184"/>
      <c r="BR350" s="184"/>
      <c r="BS350" s="184"/>
      <c r="BT350" s="184"/>
      <c r="BU350" s="146" cm="1">
        <f t="array" ref="BU350">LOOKUP(2,1/(Y350:BT350&lt;&gt;""),Y350:BH350)</f>
        <v>2600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46174</v>
      </c>
      <c r="BW350" s="211" cm="1">
        <f t="array" ref="BW350">(LOOKUP(2,1/(BH350:BT350&lt;&gt;""),BH350:BT350))/(INDEX(BH350:BT350,MATCH(TRUE,INDEX((BH350:BT350&lt;&gt;0),0),0)))-1</f>
        <v>4.8387096774193505E-2</v>
      </c>
      <c r="BX350" s="212">
        <f t="shared" si="93"/>
        <v>2.6</v>
      </c>
      <c r="BY350" s="212">
        <f t="shared" si="92"/>
        <v>15.340000000000002</v>
      </c>
      <c r="BZ350" s="212">
        <f ca="1">IF(L350="BR",'Impostos e Frete'!$F$6,IF(L350="EU",'Impostos e Frete'!$I$3,IF(L350="CN",'Impostos e Frete'!$I$4,IF(L350="JP",'Impostos e Frete'!$I$5,IF(L350="RU",'Impostos e Frete'!$I$7,"ERRO")))))</f>
        <v>0.14176320000000001</v>
      </c>
      <c r="CA350" s="212">
        <f>VLOOKUP(L350,'Impostos e Frete'!$A$3:$B$7,2,0)*'Preços e Condições'!BY350</f>
        <v>1.9942000000000002</v>
      </c>
      <c r="CB350" s="147">
        <f t="shared" si="94"/>
        <v>0</v>
      </c>
      <c r="CC350" s="147">
        <f>IF(X350="BRL",'Impostos e Frete'!$B$11,'Impostos e Frete'!$B$12)</f>
        <v>9.1999999999999998E-2</v>
      </c>
      <c r="CD350" s="213">
        <f t="shared" ca="1" si="95"/>
        <v>17.567963200000001</v>
      </c>
      <c r="CE350" s="214">
        <f t="shared" ca="1" si="96"/>
        <v>1.1946214976</v>
      </c>
      <c r="CF350" s="215">
        <f>VLOOKUP(L350,'Impostos e Frete'!$A$3:$C$7,3,0)</f>
        <v>105</v>
      </c>
      <c r="CG350" s="215">
        <f t="shared" si="97"/>
        <v>120</v>
      </c>
      <c r="CH350" s="215">
        <f t="shared" si="98"/>
        <v>15</v>
      </c>
      <c r="CI350" s="216">
        <f t="shared" ca="1" si="99"/>
        <v>-0.1302957158653868</v>
      </c>
      <c r="CJ350" s="217">
        <f t="shared" ca="1" si="100"/>
        <v>17.437667484134614</v>
      </c>
      <c r="CK350" s="218">
        <f t="shared" ca="1" si="101"/>
        <v>1.1857613889211538</v>
      </c>
    </row>
    <row r="351" spans="1:89">
      <c r="A351" s="176">
        <v>17057</v>
      </c>
      <c r="B351" s="177">
        <v>2638</v>
      </c>
      <c r="C351" s="178">
        <v>68</v>
      </c>
      <c r="D351" s="178">
        <v>1870</v>
      </c>
      <c r="E351" s="178"/>
      <c r="F351" s="179" t="s">
        <v>47</v>
      </c>
      <c r="G351" s="185" t="s">
        <v>216</v>
      </c>
      <c r="H351" s="178" t="s">
        <v>42</v>
      </c>
      <c r="I351" s="178">
        <v>2638</v>
      </c>
      <c r="J351" s="178"/>
      <c r="K351" s="178"/>
      <c r="L351" s="178" t="s">
        <v>59</v>
      </c>
      <c r="M351" s="178">
        <v>120</v>
      </c>
      <c r="N351" s="178">
        <v>300</v>
      </c>
      <c r="O351" s="178"/>
      <c r="P351" s="178"/>
      <c r="Q351" s="178"/>
      <c r="R351" s="178" t="s">
        <v>19</v>
      </c>
      <c r="S351" s="181"/>
      <c r="T351" s="181"/>
      <c r="U351" s="182"/>
      <c r="V351" s="182" t="s">
        <v>35</v>
      </c>
      <c r="W351" s="183">
        <v>50</v>
      </c>
      <c r="X351" s="182" t="s">
        <v>51</v>
      </c>
      <c r="Y351" s="184">
        <v>2550</v>
      </c>
      <c r="Z351" s="184">
        <v>2550</v>
      </c>
      <c r="AA351" s="184">
        <v>2550</v>
      </c>
      <c r="AB351" s="184"/>
      <c r="AC351" s="184"/>
      <c r="AD351" s="184"/>
      <c r="AE351" s="184"/>
      <c r="AF351" s="184"/>
      <c r="AG351" s="184"/>
      <c r="AH351" s="184"/>
      <c r="AI351" s="184"/>
      <c r="AJ351" s="184"/>
      <c r="AK351" s="184">
        <v>2210</v>
      </c>
      <c r="AL351" s="184">
        <v>2210</v>
      </c>
      <c r="AM351" s="184">
        <v>2210</v>
      </c>
      <c r="AN351" s="184">
        <v>2340</v>
      </c>
      <c r="AO351" s="184">
        <v>2340</v>
      </c>
      <c r="AP351" s="184">
        <v>2340</v>
      </c>
      <c r="AQ351" s="184">
        <v>2490</v>
      </c>
      <c r="AR351" s="184">
        <v>2490</v>
      </c>
      <c r="AS351" s="184">
        <v>2490</v>
      </c>
      <c r="AT351" s="184">
        <v>2490</v>
      </c>
      <c r="AU351" s="184">
        <v>2490</v>
      </c>
      <c r="AV351" s="184">
        <v>2490</v>
      </c>
      <c r="AW351" s="184">
        <v>2410</v>
      </c>
      <c r="AX351" s="184">
        <v>2410</v>
      </c>
      <c r="AY351" s="184">
        <v>2410</v>
      </c>
      <c r="AZ351" s="184">
        <v>2210</v>
      </c>
      <c r="BA351" s="184">
        <v>2210</v>
      </c>
      <c r="BB351" s="184">
        <v>2510</v>
      </c>
      <c r="BC351" s="184">
        <v>2510</v>
      </c>
      <c r="BD351" s="184">
        <v>2510</v>
      </c>
      <c r="BE351" s="184">
        <v>2510</v>
      </c>
      <c r="BF351" s="184">
        <v>2430</v>
      </c>
      <c r="BG351" s="184">
        <v>2430</v>
      </c>
      <c r="BH351" s="184">
        <v>2430</v>
      </c>
      <c r="BI351" s="184">
        <v>2460</v>
      </c>
      <c r="BJ351" s="184">
        <v>2460</v>
      </c>
      <c r="BK351" s="184">
        <v>2460</v>
      </c>
      <c r="BL351" s="184">
        <v>2560</v>
      </c>
      <c r="BM351" s="184">
        <v>2560</v>
      </c>
      <c r="BN351" s="184">
        <v>2560</v>
      </c>
      <c r="BO351" s="184"/>
      <c r="BP351" s="184"/>
      <c r="BQ351" s="184"/>
      <c r="BR351" s="184"/>
      <c r="BS351" s="184"/>
      <c r="BT351" s="184"/>
      <c r="BU351" s="146" cm="1">
        <f t="array" ref="BU351">LOOKUP(2,1/(Y351:BT351&lt;&gt;""),Y351:BH351)</f>
        <v>2560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46174</v>
      </c>
      <c r="BW351" s="211" cm="1">
        <f t="array" ref="BW351">(LOOKUP(2,1/(BH351:BT351&lt;&gt;""),BH351:BT351))/(INDEX(BH351:BT351,MATCH(TRUE,INDEX((BH351:BT351&lt;&gt;0),0),0)))-1</f>
        <v>5.3497942386831365E-2</v>
      </c>
      <c r="BX351" s="212">
        <f t="shared" si="93"/>
        <v>2.56</v>
      </c>
      <c r="BY351" s="212">
        <f t="shared" si="92"/>
        <v>15.104000000000001</v>
      </c>
      <c r="BZ351" s="212">
        <f ca="1">IF(L351="BR",'Impostos e Frete'!$F$6,IF(L351="EU",'Impostos e Frete'!$I$3,IF(L351="CN",'Impostos e Frete'!$I$4,IF(L351="JP",'Impostos e Frete'!$I$5,IF(L351="RU",'Impostos e Frete'!$I$7,"ERRO")))))</f>
        <v>0.14176320000000001</v>
      </c>
      <c r="CA351" s="212">
        <f>VLOOKUP(L351,'Impostos e Frete'!$A$3:$B$7,2,0)*'Preços e Condições'!BY351</f>
        <v>1.9635200000000002</v>
      </c>
      <c r="CB351" s="147">
        <f t="shared" si="94"/>
        <v>0</v>
      </c>
      <c r="CC351" s="147">
        <f>IF(X351="BRL",'Impostos e Frete'!$B$11,'Impostos e Frete'!$B$12)</f>
        <v>9.1999999999999998E-2</v>
      </c>
      <c r="CD351" s="213">
        <f t="shared" ca="1" si="95"/>
        <v>17.3012832</v>
      </c>
      <c r="CE351" s="214">
        <f t="shared" ca="1" si="96"/>
        <v>1.1764872576000001</v>
      </c>
      <c r="CF351" s="215">
        <f>VLOOKUP(L351,'Impostos e Frete'!$A$3:$C$7,3,0)</f>
        <v>105</v>
      </c>
      <c r="CG351" s="215">
        <f t="shared" si="97"/>
        <v>120</v>
      </c>
      <c r="CH351" s="215">
        <f t="shared" si="98"/>
        <v>15</v>
      </c>
      <c r="CI351" s="216">
        <f t="shared" ca="1" si="99"/>
        <v>-0.12831783936875496</v>
      </c>
      <c r="CJ351" s="217">
        <f t="shared" ca="1" si="100"/>
        <v>17.172965360631245</v>
      </c>
      <c r="CK351" s="218">
        <f t="shared" ca="1" si="101"/>
        <v>1.1677616445229246</v>
      </c>
    </row>
    <row r="352" spans="1:89">
      <c r="A352" s="176">
        <v>17057</v>
      </c>
      <c r="B352" s="177">
        <v>2638</v>
      </c>
      <c r="C352" s="178">
        <v>68</v>
      </c>
      <c r="D352" s="178">
        <v>1870</v>
      </c>
      <c r="E352" s="178"/>
      <c r="F352" s="179" t="s">
        <v>47</v>
      </c>
      <c r="G352" s="185" t="s">
        <v>216</v>
      </c>
      <c r="H352" s="178" t="s">
        <v>42</v>
      </c>
      <c r="I352" s="178">
        <v>2638</v>
      </c>
      <c r="J352" s="178"/>
      <c r="K352" s="178"/>
      <c r="L352" s="178" t="s">
        <v>59</v>
      </c>
      <c r="M352" s="178">
        <v>120</v>
      </c>
      <c r="N352" s="178">
        <v>300</v>
      </c>
      <c r="O352" s="178"/>
      <c r="P352" s="178"/>
      <c r="Q352" s="178"/>
      <c r="R352" s="178" t="s">
        <v>19</v>
      </c>
      <c r="S352" s="181"/>
      <c r="T352" s="181"/>
      <c r="U352" s="182"/>
      <c r="V352" s="182" t="s">
        <v>35</v>
      </c>
      <c r="W352" s="183">
        <v>30</v>
      </c>
      <c r="X352" s="182" t="s">
        <v>51</v>
      </c>
      <c r="Y352" s="184"/>
      <c r="Z352" s="184"/>
      <c r="AA352" s="184"/>
      <c r="AB352" s="184"/>
      <c r="AC352" s="184"/>
      <c r="AD352" s="184"/>
      <c r="AE352" s="184"/>
      <c r="AF352" s="184"/>
      <c r="AG352" s="184"/>
      <c r="AH352" s="184"/>
      <c r="AI352" s="184"/>
      <c r="AJ352" s="184"/>
      <c r="AK352" s="184">
        <v>2210</v>
      </c>
      <c r="AL352" s="184">
        <v>2210</v>
      </c>
      <c r="AM352" s="184">
        <v>2210</v>
      </c>
      <c r="AN352" s="184">
        <v>2390</v>
      </c>
      <c r="AO352" s="184">
        <v>2390</v>
      </c>
      <c r="AP352" s="184">
        <v>2390</v>
      </c>
      <c r="AQ352" s="184">
        <v>2540</v>
      </c>
      <c r="AR352" s="184">
        <v>2540</v>
      </c>
      <c r="AS352" s="184">
        <v>2540</v>
      </c>
      <c r="AT352" s="184">
        <v>2540</v>
      </c>
      <c r="AU352" s="184">
        <v>2540</v>
      </c>
      <c r="AV352" s="184">
        <v>2540</v>
      </c>
      <c r="AW352" s="184">
        <v>2460</v>
      </c>
      <c r="AX352" s="184">
        <v>2460</v>
      </c>
      <c r="AY352" s="184">
        <v>2460</v>
      </c>
      <c r="AZ352" s="184">
        <v>2260</v>
      </c>
      <c r="BA352" s="184">
        <v>2260</v>
      </c>
      <c r="BB352" s="184">
        <v>2560</v>
      </c>
      <c r="BC352" s="184">
        <v>2560</v>
      </c>
      <c r="BD352" s="184">
        <v>2560</v>
      </c>
      <c r="BE352" s="184">
        <v>2560</v>
      </c>
      <c r="BF352" s="184">
        <v>2480</v>
      </c>
      <c r="BG352" s="184">
        <v>2480</v>
      </c>
      <c r="BH352" s="184">
        <v>2480</v>
      </c>
      <c r="BI352" s="184">
        <v>2510</v>
      </c>
      <c r="BJ352" s="184">
        <v>2510</v>
      </c>
      <c r="BK352" s="184">
        <v>2510</v>
      </c>
      <c r="BL352" s="184">
        <v>2610</v>
      </c>
      <c r="BM352" s="184">
        <v>2610</v>
      </c>
      <c r="BN352" s="184">
        <v>2610</v>
      </c>
      <c r="BO352" s="184"/>
      <c r="BP352" s="184"/>
      <c r="BQ352" s="184"/>
      <c r="BR352" s="184"/>
      <c r="BS352" s="184"/>
      <c r="BT352" s="184"/>
      <c r="BU352" s="146" cm="1">
        <f t="array" ref="BU352">LOOKUP(2,1/(Y352:BT352&lt;&gt;""),Y352:BH352)</f>
        <v>2610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46174</v>
      </c>
      <c r="BW352" s="211" cm="1">
        <f t="array" ref="BW352">(LOOKUP(2,1/(BH352:BT352&lt;&gt;""),BH352:BT352))/(INDEX(BH352:BT352,MATCH(TRUE,INDEX((BH352:BT352&lt;&gt;0),0),0)))-1</f>
        <v>5.2419354838709742E-2</v>
      </c>
      <c r="BX352" s="212">
        <f t="shared" si="93"/>
        <v>2.61</v>
      </c>
      <c r="BY352" s="212">
        <f t="shared" si="92"/>
        <v>15.399000000000001</v>
      </c>
      <c r="BZ352" s="212">
        <f ca="1">IF(L352="BR",'Impostos e Frete'!$F$6,IF(L352="EU",'Impostos e Frete'!$I$3,IF(L352="CN",'Impostos e Frete'!$I$4,IF(L352="JP",'Impostos e Frete'!$I$5,IF(L352="RU",'Impostos e Frete'!$I$7,"ERRO")))))</f>
        <v>0.14176320000000001</v>
      </c>
      <c r="CA352" s="212">
        <f>VLOOKUP(L352,'Impostos e Frete'!$A$3:$B$7,2,0)*'Preços e Condições'!BY352</f>
        <v>2.0018700000000003</v>
      </c>
      <c r="CB352" s="147">
        <f t="shared" si="94"/>
        <v>0</v>
      </c>
      <c r="CC352" s="147">
        <f>IF(X352="BRL",'Impostos e Frete'!$B$11,'Impostos e Frete'!$B$12)</f>
        <v>9.1999999999999998E-2</v>
      </c>
      <c r="CD352" s="213">
        <f t="shared" ca="1" si="95"/>
        <v>17.6346332</v>
      </c>
      <c r="CE352" s="214">
        <f t="shared" ca="1" si="96"/>
        <v>1.1991550576000001</v>
      </c>
      <c r="CF352" s="215">
        <f>VLOOKUP(L352,'Impostos e Frete'!$A$3:$C$7,3,0)</f>
        <v>105</v>
      </c>
      <c r="CG352" s="215">
        <f t="shared" si="97"/>
        <v>120</v>
      </c>
      <c r="CH352" s="215">
        <f t="shared" si="98"/>
        <v>15</v>
      </c>
      <c r="CI352" s="216">
        <f t="shared" ca="1" si="99"/>
        <v>-0.13079018498954653</v>
      </c>
      <c r="CJ352" s="217">
        <f t="shared" ca="1" si="100"/>
        <v>17.503843015010453</v>
      </c>
      <c r="CK352" s="218">
        <f t="shared" ca="1" si="101"/>
        <v>1.1902613250207108</v>
      </c>
    </row>
    <row r="353" spans="1:89">
      <c r="A353" s="176">
        <v>17057</v>
      </c>
      <c r="B353" s="177">
        <v>2638</v>
      </c>
      <c r="C353" s="178">
        <v>68</v>
      </c>
      <c r="D353" s="178">
        <v>1870</v>
      </c>
      <c r="E353" s="178"/>
      <c r="F353" s="179" t="s">
        <v>47</v>
      </c>
      <c r="G353" s="185" t="s">
        <v>216</v>
      </c>
      <c r="H353" s="178" t="s">
        <v>42</v>
      </c>
      <c r="I353" s="178">
        <v>2638</v>
      </c>
      <c r="J353" s="178"/>
      <c r="K353" s="178"/>
      <c r="L353" s="178" t="s">
        <v>59</v>
      </c>
      <c r="M353" s="178">
        <v>120</v>
      </c>
      <c r="N353" s="178">
        <v>300</v>
      </c>
      <c r="O353" s="178"/>
      <c r="P353" s="178"/>
      <c r="Q353" s="178"/>
      <c r="R353" s="178" t="s">
        <v>19</v>
      </c>
      <c r="S353" s="181"/>
      <c r="T353" s="181"/>
      <c r="U353" s="182"/>
      <c r="V353" s="182" t="s">
        <v>35</v>
      </c>
      <c r="W353" s="183">
        <v>20</v>
      </c>
      <c r="X353" s="182" t="s">
        <v>51</v>
      </c>
      <c r="Y353" s="184"/>
      <c r="Z353" s="184"/>
      <c r="AA353" s="184"/>
      <c r="AB353" s="184"/>
      <c r="AC353" s="184"/>
      <c r="AD353" s="184"/>
      <c r="AE353" s="184"/>
      <c r="AF353" s="184"/>
      <c r="AG353" s="184"/>
      <c r="AH353" s="184"/>
      <c r="AI353" s="184"/>
      <c r="AJ353" s="184"/>
      <c r="AK353" s="184">
        <v>2210</v>
      </c>
      <c r="AL353" s="184">
        <v>2210</v>
      </c>
      <c r="AM353" s="184">
        <v>2210</v>
      </c>
      <c r="AN353" s="184">
        <v>2440</v>
      </c>
      <c r="AO353" s="184">
        <v>2440</v>
      </c>
      <c r="AP353" s="184">
        <v>2440</v>
      </c>
      <c r="AQ353" s="184">
        <v>2590</v>
      </c>
      <c r="AR353" s="184">
        <v>2590</v>
      </c>
      <c r="AS353" s="184">
        <v>2590</v>
      </c>
      <c r="AT353" s="184">
        <v>2590</v>
      </c>
      <c r="AU353" s="184">
        <v>2590</v>
      </c>
      <c r="AV353" s="184">
        <v>2590</v>
      </c>
      <c r="AW353" s="184">
        <v>2510</v>
      </c>
      <c r="AX353" s="184">
        <v>2510</v>
      </c>
      <c r="AY353" s="184">
        <v>2510</v>
      </c>
      <c r="AZ353" s="184">
        <v>2310</v>
      </c>
      <c r="BA353" s="184">
        <v>2310</v>
      </c>
      <c r="BB353" s="184">
        <v>2610</v>
      </c>
      <c r="BC353" s="184">
        <v>2610</v>
      </c>
      <c r="BD353" s="184">
        <v>2610</v>
      </c>
      <c r="BE353" s="184">
        <v>2610</v>
      </c>
      <c r="BF353" s="184">
        <v>2530</v>
      </c>
      <c r="BG353" s="184">
        <v>2530</v>
      </c>
      <c r="BH353" s="184">
        <v>2530</v>
      </c>
      <c r="BI353" s="184">
        <v>2560</v>
      </c>
      <c r="BJ353" s="184">
        <v>2560</v>
      </c>
      <c r="BK353" s="184">
        <v>2560</v>
      </c>
      <c r="BL353" s="184">
        <v>2660</v>
      </c>
      <c r="BM353" s="184">
        <v>2660</v>
      </c>
      <c r="BN353" s="184">
        <v>2660</v>
      </c>
      <c r="BO353" s="184"/>
      <c r="BP353" s="184"/>
      <c r="BQ353" s="184"/>
      <c r="BR353" s="184"/>
      <c r="BS353" s="184"/>
      <c r="BT353" s="184"/>
      <c r="BU353" s="146" cm="1">
        <f t="array" ref="BU353">LOOKUP(2,1/(Y353:BT353&lt;&gt;""),Y353:BH353)</f>
        <v>2660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46174</v>
      </c>
      <c r="BW353" s="211" cm="1">
        <f t="array" ref="BW353">(LOOKUP(2,1/(BH353:BT353&lt;&gt;""),BH353:BT353))/(INDEX(BH353:BT353,MATCH(TRUE,INDEX((BH353:BT353&lt;&gt;0),0),0)))-1</f>
        <v>5.1383399209486091E-2</v>
      </c>
      <c r="BX353" s="212">
        <f t="shared" si="93"/>
        <v>2.66</v>
      </c>
      <c r="BY353" s="212">
        <f t="shared" si="92"/>
        <v>15.694000000000003</v>
      </c>
      <c r="BZ353" s="212">
        <f ca="1">IF(L353="BR",'Impostos e Frete'!$F$6,IF(L353="EU",'Impostos e Frete'!$I$3,IF(L353="CN",'Impostos e Frete'!$I$4,IF(L353="JP",'Impostos e Frete'!$I$5,IF(L353="RU",'Impostos e Frete'!$I$7,"ERRO")))))</f>
        <v>0.14176320000000001</v>
      </c>
      <c r="CA353" s="212">
        <f>VLOOKUP(L353,'Impostos e Frete'!$A$3:$B$7,2,0)*'Preços e Condições'!BY353</f>
        <v>2.0402200000000006</v>
      </c>
      <c r="CB353" s="147">
        <f t="shared" si="94"/>
        <v>0</v>
      </c>
      <c r="CC353" s="147">
        <f>IF(X353="BRL",'Impostos e Frete'!$B$11,'Impostos e Frete'!$B$12)</f>
        <v>9.1999999999999998E-2</v>
      </c>
      <c r="CD353" s="213">
        <f t="shared" ca="1" si="95"/>
        <v>17.967983200000003</v>
      </c>
      <c r="CE353" s="214">
        <f t="shared" ca="1" si="96"/>
        <v>1.2218228576000001</v>
      </c>
      <c r="CF353" s="215">
        <f>VLOOKUP(L353,'Impostos e Frete'!$A$3:$C$7,3,0)</f>
        <v>105</v>
      </c>
      <c r="CG353" s="215">
        <f t="shared" si="97"/>
        <v>120</v>
      </c>
      <c r="CH353" s="215">
        <f t="shared" si="98"/>
        <v>15</v>
      </c>
      <c r="CI353" s="216">
        <f t="shared" ca="1" si="99"/>
        <v>-0.13326253061033455</v>
      </c>
      <c r="CJ353" s="217">
        <f t="shared" ca="1" si="100"/>
        <v>17.834720669389668</v>
      </c>
      <c r="CK353" s="218">
        <f t="shared" ca="1" si="101"/>
        <v>1.2127610055184974</v>
      </c>
    </row>
    <row r="354" spans="1:89">
      <c r="A354" s="176">
        <v>17057</v>
      </c>
      <c r="B354" s="177">
        <v>2638</v>
      </c>
      <c r="C354" s="178">
        <v>68</v>
      </c>
      <c r="D354" s="178">
        <v>1870</v>
      </c>
      <c r="E354" s="178"/>
      <c r="F354" s="179" t="s">
        <v>47</v>
      </c>
      <c r="G354" s="185" t="s">
        <v>216</v>
      </c>
      <c r="H354" s="178" t="s">
        <v>42</v>
      </c>
      <c r="I354" s="178">
        <v>2638</v>
      </c>
      <c r="J354" s="178"/>
      <c r="K354" s="178"/>
      <c r="L354" s="178" t="s">
        <v>59</v>
      </c>
      <c r="M354" s="178">
        <v>120</v>
      </c>
      <c r="N354" s="178">
        <v>300</v>
      </c>
      <c r="O354" s="178"/>
      <c r="P354" s="178"/>
      <c r="Q354" s="178"/>
      <c r="R354" s="178" t="s">
        <v>19</v>
      </c>
      <c r="S354" s="181"/>
      <c r="T354" s="181"/>
      <c r="U354" s="182"/>
      <c r="V354" s="182" t="s">
        <v>35</v>
      </c>
      <c r="W354" s="183">
        <v>10</v>
      </c>
      <c r="X354" s="182" t="s">
        <v>51</v>
      </c>
      <c r="Y354" s="184"/>
      <c r="Z354" s="184"/>
      <c r="AA354" s="184"/>
      <c r="AB354" s="184"/>
      <c r="AC354" s="184"/>
      <c r="AD354" s="184"/>
      <c r="AE354" s="184"/>
      <c r="AF354" s="184"/>
      <c r="AG354" s="184"/>
      <c r="AH354" s="184"/>
      <c r="AI354" s="184"/>
      <c r="AJ354" s="184"/>
      <c r="AK354" s="184">
        <v>2210</v>
      </c>
      <c r="AL354" s="184">
        <v>2210</v>
      </c>
      <c r="AM354" s="184">
        <v>2210</v>
      </c>
      <c r="AN354" s="184">
        <v>2520</v>
      </c>
      <c r="AO354" s="184">
        <v>2520</v>
      </c>
      <c r="AP354" s="184">
        <v>2520</v>
      </c>
      <c r="AQ354" s="184">
        <v>2670</v>
      </c>
      <c r="AR354" s="184">
        <v>2670</v>
      </c>
      <c r="AS354" s="184">
        <v>2670</v>
      </c>
      <c r="AT354" s="184">
        <v>2670</v>
      </c>
      <c r="AU354" s="184">
        <v>2670</v>
      </c>
      <c r="AV354" s="184">
        <v>2670</v>
      </c>
      <c r="AW354" s="184">
        <v>2590</v>
      </c>
      <c r="AX354" s="184">
        <v>2590</v>
      </c>
      <c r="AY354" s="184">
        <v>2590</v>
      </c>
      <c r="AZ354" s="184">
        <v>2390</v>
      </c>
      <c r="BA354" s="184">
        <v>2390</v>
      </c>
      <c r="BB354" s="184">
        <v>2690</v>
      </c>
      <c r="BC354" s="184">
        <v>2690</v>
      </c>
      <c r="BD354" s="184">
        <v>2690</v>
      </c>
      <c r="BE354" s="184">
        <v>2690</v>
      </c>
      <c r="BF354" s="184">
        <v>2610</v>
      </c>
      <c r="BG354" s="184">
        <v>2610</v>
      </c>
      <c r="BH354" s="184">
        <v>2610</v>
      </c>
      <c r="BI354" s="184">
        <v>2640</v>
      </c>
      <c r="BJ354" s="184">
        <v>2640</v>
      </c>
      <c r="BK354" s="184">
        <v>2640</v>
      </c>
      <c r="BL354" s="184">
        <v>2740</v>
      </c>
      <c r="BM354" s="184">
        <v>2740</v>
      </c>
      <c r="BN354" s="184">
        <v>2740</v>
      </c>
      <c r="BO354" s="184"/>
      <c r="BP354" s="184"/>
      <c r="BQ354" s="184"/>
      <c r="BR354" s="184"/>
      <c r="BS354" s="184"/>
      <c r="BT354" s="184"/>
      <c r="BU354" s="146" cm="1">
        <f t="array" ref="BU354">LOOKUP(2,1/(Y354:BT354&lt;&gt;""),Y354:BH354)</f>
        <v>2740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46174</v>
      </c>
      <c r="BW354" s="211" cm="1">
        <f t="array" ref="BW354">(LOOKUP(2,1/(BH354:BT354&lt;&gt;""),BH354:BT354))/(INDEX(BH354:BT354,MATCH(TRUE,INDEX((BH354:BT354&lt;&gt;0),0),0)))-1</f>
        <v>4.9808429118773923E-2</v>
      </c>
      <c r="BX354" s="212">
        <f t="shared" si="93"/>
        <v>2.74</v>
      </c>
      <c r="BY354" s="212">
        <f t="shared" si="92"/>
        <v>16.166000000000004</v>
      </c>
      <c r="BZ354" s="212">
        <f ca="1">IF(L354="BR",'Impostos e Frete'!$F$6,IF(L354="EU",'Impostos e Frete'!$I$3,IF(L354="CN",'Impostos e Frete'!$I$4,IF(L354="JP",'Impostos e Frete'!$I$5,IF(L354="RU",'Impostos e Frete'!$I$7,"ERRO")))))</f>
        <v>0.14176320000000001</v>
      </c>
      <c r="CA354" s="212">
        <f>VLOOKUP(L354,'Impostos e Frete'!$A$3:$B$7,2,0)*'Preços e Condições'!BY354</f>
        <v>2.1015800000000007</v>
      </c>
      <c r="CB354" s="147">
        <f t="shared" si="94"/>
        <v>0</v>
      </c>
      <c r="CC354" s="147">
        <f>IF(X354="BRL",'Impostos e Frete'!$B$11,'Impostos e Frete'!$B$12)</f>
        <v>9.1999999999999998E-2</v>
      </c>
      <c r="CD354" s="213">
        <f t="shared" ca="1" si="95"/>
        <v>18.501343200000004</v>
      </c>
      <c r="CE354" s="214">
        <f t="shared" ca="1" si="96"/>
        <v>1.2580913376000005</v>
      </c>
      <c r="CF354" s="215">
        <f>VLOOKUP(L354,'Impostos e Frete'!$A$3:$C$7,3,0)</f>
        <v>105</v>
      </c>
      <c r="CG354" s="215">
        <f t="shared" si="97"/>
        <v>120</v>
      </c>
      <c r="CH354" s="215">
        <f t="shared" si="98"/>
        <v>15</v>
      </c>
      <c r="CI354" s="216">
        <f t="shared" ca="1" si="99"/>
        <v>-0.13721828360360178</v>
      </c>
      <c r="CJ354" s="217">
        <f t="shared" ca="1" si="100"/>
        <v>18.364124916396403</v>
      </c>
      <c r="CK354" s="218">
        <f t="shared" ca="1" si="101"/>
        <v>1.2487604943149553</v>
      </c>
    </row>
    <row r="355" spans="1:89">
      <c r="A355" s="176">
        <v>17058</v>
      </c>
      <c r="B355" s="177">
        <v>2795</v>
      </c>
      <c r="C355" s="178">
        <v>70</v>
      </c>
      <c r="D355" s="178">
        <v>1870</v>
      </c>
      <c r="E355" s="178"/>
      <c r="F355" s="179" t="s">
        <v>47</v>
      </c>
      <c r="G355" s="185" t="s">
        <v>155</v>
      </c>
      <c r="H355" s="178" t="s">
        <v>61</v>
      </c>
      <c r="I355" s="178">
        <v>6287</v>
      </c>
      <c r="J355" s="178"/>
      <c r="K355" s="178"/>
      <c r="L355" s="178" t="s">
        <v>59</v>
      </c>
      <c r="M355" s="178">
        <v>120</v>
      </c>
      <c r="N355" s="178">
        <v>300</v>
      </c>
      <c r="O355" s="178"/>
      <c r="P355" s="178"/>
      <c r="Q355" s="178"/>
      <c r="R355" s="178" t="s">
        <v>19</v>
      </c>
      <c r="S355" s="181"/>
      <c r="T355" s="181"/>
      <c r="U355" s="182"/>
      <c r="V355" s="182" t="s">
        <v>35</v>
      </c>
      <c r="W355" s="183">
        <v>50</v>
      </c>
      <c r="X355" s="182" t="s">
        <v>51</v>
      </c>
      <c r="Y355" s="184"/>
      <c r="Z355" s="184"/>
      <c r="AA355" s="184"/>
      <c r="AB355" s="184">
        <v>2380</v>
      </c>
      <c r="AC355" s="184">
        <v>2380</v>
      </c>
      <c r="AD355" s="184">
        <v>2380</v>
      </c>
      <c r="AE355" s="184">
        <v>2200</v>
      </c>
      <c r="AF355" s="184">
        <v>2200</v>
      </c>
      <c r="AG355" s="184">
        <v>2200</v>
      </c>
      <c r="AH355" s="184">
        <v>2050</v>
      </c>
      <c r="AI355" s="184">
        <v>2050</v>
      </c>
      <c r="AJ355" s="184">
        <v>2050</v>
      </c>
      <c r="AK355" s="184">
        <v>2140</v>
      </c>
      <c r="AL355" s="184">
        <v>2140</v>
      </c>
      <c r="AM355" s="184">
        <v>2140</v>
      </c>
      <c r="AN355" s="184">
        <v>2290</v>
      </c>
      <c r="AO355" s="184">
        <v>2290</v>
      </c>
      <c r="AP355" s="184">
        <v>2290</v>
      </c>
      <c r="AQ355" s="184">
        <v>2440</v>
      </c>
      <c r="AR355" s="184">
        <v>2440</v>
      </c>
      <c r="AS355" s="184">
        <v>2440</v>
      </c>
      <c r="AT355" s="184">
        <v>2440</v>
      </c>
      <c r="AU355" s="184">
        <v>2440</v>
      </c>
      <c r="AV355" s="184">
        <v>2440</v>
      </c>
      <c r="AW355" s="184">
        <v>2360</v>
      </c>
      <c r="AX355" s="184">
        <v>2360</v>
      </c>
      <c r="AY355" s="184">
        <v>2360</v>
      </c>
      <c r="AZ355" s="184">
        <v>2160</v>
      </c>
      <c r="BA355" s="184">
        <v>2160</v>
      </c>
      <c r="BB355" s="184">
        <v>2460</v>
      </c>
      <c r="BC355" s="184">
        <v>2460</v>
      </c>
      <c r="BD355" s="184">
        <v>2460</v>
      </c>
      <c r="BE355" s="184">
        <v>2460</v>
      </c>
      <c r="BF355" s="184">
        <v>2380</v>
      </c>
      <c r="BG355" s="184">
        <v>2380</v>
      </c>
      <c r="BH355" s="184">
        <v>2380</v>
      </c>
      <c r="BI355" s="184">
        <v>2430</v>
      </c>
      <c r="BJ355" s="184">
        <v>2430</v>
      </c>
      <c r="BK355" s="184">
        <v>2430</v>
      </c>
      <c r="BL355" s="184">
        <v>2530</v>
      </c>
      <c r="BM355" s="184">
        <v>2530</v>
      </c>
      <c r="BN355" s="184">
        <v>2530</v>
      </c>
      <c r="BO355" s="184"/>
      <c r="BP355" s="184"/>
      <c r="BQ355" s="184"/>
      <c r="BR355" s="184"/>
      <c r="BS355" s="184"/>
      <c r="BT355" s="184"/>
      <c r="BU355" s="146" cm="1">
        <f t="array" ref="BU355">LOOKUP(2,1/(Y355:BT355&lt;&gt;""),Y355:BH355)</f>
        <v>2530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46174</v>
      </c>
      <c r="BW355" s="211" cm="1">
        <f t="array" ref="BW355">(LOOKUP(2,1/(BH355:BT355&lt;&gt;""),BH355:BT355))/(INDEX(BH355:BT355,MATCH(TRUE,INDEX((BH355:BT355&lt;&gt;0),0),0)))-1</f>
        <v>6.3025210084033612E-2</v>
      </c>
      <c r="BX355" s="212">
        <f t="shared" si="93"/>
        <v>2.5299999999999998</v>
      </c>
      <c r="BY355" s="212">
        <f t="shared" si="92"/>
        <v>14.927</v>
      </c>
      <c r="BZ355" s="212">
        <f ca="1">IF(L355="BR",'Impostos e Frete'!$F$6,IF(L355="EU",'Impostos e Frete'!$I$3,IF(L355="CN",'Impostos e Frete'!$I$4,IF(L355="JP",'Impostos e Frete'!$I$5,IF(L355="RU",'Impostos e Frete'!$I$7,"ERRO")))))</f>
        <v>0.14176320000000001</v>
      </c>
      <c r="CA355" s="212">
        <f>VLOOKUP(L355,'Impostos e Frete'!$A$3:$B$7,2,0)*'Preços e Condições'!BY355</f>
        <v>1.94051</v>
      </c>
      <c r="CB355" s="147">
        <f t="shared" si="94"/>
        <v>0</v>
      </c>
      <c r="CC355" s="147">
        <f>IF(X355="BRL",'Impostos e Frete'!$B$11,'Impostos e Frete'!$B$12)</f>
        <v>9.1999999999999998E-2</v>
      </c>
      <c r="CD355" s="213">
        <f t="shared" ca="1" si="95"/>
        <v>17.101273199999998</v>
      </c>
      <c r="CE355" s="214">
        <f t="shared" ca="1" si="96"/>
        <v>1.1970891239999999</v>
      </c>
      <c r="CF355" s="215">
        <f>VLOOKUP(L355,'Impostos e Frete'!$A$3:$C$7,3,0)</f>
        <v>105</v>
      </c>
      <c r="CG355" s="215">
        <f t="shared" si="97"/>
        <v>120</v>
      </c>
      <c r="CH355" s="215">
        <f t="shared" si="98"/>
        <v>15</v>
      </c>
      <c r="CI355" s="216">
        <f t="shared" ca="1" si="99"/>
        <v>-0.12683443199628286</v>
      </c>
      <c r="CJ355" s="217">
        <f t="shared" ca="1" si="100"/>
        <v>16.974438768003715</v>
      </c>
      <c r="CK355" s="218">
        <f t="shared" ca="1" si="101"/>
        <v>1.18821071376026</v>
      </c>
    </row>
    <row r="356" spans="1:89">
      <c r="A356" s="176">
        <v>17058</v>
      </c>
      <c r="B356" s="177">
        <v>2795</v>
      </c>
      <c r="C356" s="178">
        <v>70</v>
      </c>
      <c r="D356" s="178">
        <v>1870</v>
      </c>
      <c r="E356" s="178"/>
      <c r="F356" s="179" t="s">
        <v>47</v>
      </c>
      <c r="G356" s="185" t="s">
        <v>155</v>
      </c>
      <c r="H356" s="178" t="s">
        <v>61</v>
      </c>
      <c r="I356" s="178">
        <v>6287</v>
      </c>
      <c r="J356" s="178"/>
      <c r="K356" s="178"/>
      <c r="L356" s="178" t="s">
        <v>59</v>
      </c>
      <c r="M356" s="178">
        <v>120</v>
      </c>
      <c r="N356" s="178">
        <v>300</v>
      </c>
      <c r="O356" s="178"/>
      <c r="P356" s="178"/>
      <c r="Q356" s="178"/>
      <c r="R356" s="178" t="s">
        <v>19</v>
      </c>
      <c r="S356" s="181"/>
      <c r="T356" s="181"/>
      <c r="U356" s="182"/>
      <c r="V356" s="182" t="s">
        <v>35</v>
      </c>
      <c r="W356" s="183">
        <v>30</v>
      </c>
      <c r="X356" s="182" t="s">
        <v>51</v>
      </c>
      <c r="Y356" s="184"/>
      <c r="Z356" s="184"/>
      <c r="AA356" s="184"/>
      <c r="AB356" s="184">
        <v>2430</v>
      </c>
      <c r="AC356" s="184">
        <v>2430</v>
      </c>
      <c r="AD356" s="184">
        <v>2430</v>
      </c>
      <c r="AE356" s="184">
        <v>2250</v>
      </c>
      <c r="AF356" s="184">
        <v>2250</v>
      </c>
      <c r="AG356" s="184">
        <v>2250</v>
      </c>
      <c r="AH356" s="184">
        <v>2100</v>
      </c>
      <c r="AI356" s="184">
        <v>2100</v>
      </c>
      <c r="AJ356" s="184">
        <v>2100</v>
      </c>
      <c r="AK356" s="146">
        <f>AK355+50</f>
        <v>2190</v>
      </c>
      <c r="AL356" s="146">
        <f>AL355+50</f>
        <v>2190</v>
      </c>
      <c r="AM356" s="146">
        <f>AM355+50</f>
        <v>2190</v>
      </c>
      <c r="AN356" s="184">
        <v>2340</v>
      </c>
      <c r="AO356" s="184">
        <v>2340</v>
      </c>
      <c r="AP356" s="184">
        <v>2340</v>
      </c>
      <c r="AQ356" s="184">
        <v>2490</v>
      </c>
      <c r="AR356" s="184">
        <v>2490</v>
      </c>
      <c r="AS356" s="184">
        <v>2490</v>
      </c>
      <c r="AT356" s="184">
        <v>2490</v>
      </c>
      <c r="AU356" s="184">
        <v>2490</v>
      </c>
      <c r="AV356" s="184">
        <v>2490</v>
      </c>
      <c r="AW356" s="184">
        <v>2410</v>
      </c>
      <c r="AX356" s="184">
        <v>2410</v>
      </c>
      <c r="AY356" s="184">
        <v>2410</v>
      </c>
      <c r="AZ356" s="184">
        <v>2210</v>
      </c>
      <c r="BA356" s="184">
        <v>2210</v>
      </c>
      <c r="BB356" s="184">
        <v>2510</v>
      </c>
      <c r="BC356" s="184">
        <v>2510</v>
      </c>
      <c r="BD356" s="184">
        <v>2510</v>
      </c>
      <c r="BE356" s="184">
        <v>2510</v>
      </c>
      <c r="BF356" s="184">
        <v>2430</v>
      </c>
      <c r="BG356" s="184">
        <v>2430</v>
      </c>
      <c r="BH356" s="184">
        <v>2430</v>
      </c>
      <c r="BI356" s="184">
        <v>2480</v>
      </c>
      <c r="BJ356" s="184">
        <v>2480</v>
      </c>
      <c r="BK356" s="184">
        <v>2480</v>
      </c>
      <c r="BL356" s="184">
        <v>2580</v>
      </c>
      <c r="BM356" s="184">
        <v>2580</v>
      </c>
      <c r="BN356" s="184">
        <v>2580</v>
      </c>
      <c r="BO356" s="184"/>
      <c r="BP356" s="184"/>
      <c r="BQ356" s="184"/>
      <c r="BR356" s="184"/>
      <c r="BS356" s="184"/>
      <c r="BT356" s="184"/>
      <c r="BU356" s="146" cm="1">
        <f t="array" ref="BU356">LOOKUP(2,1/(Y356:BT356&lt;&gt;""),Y356:BH356)</f>
        <v>2580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46174</v>
      </c>
      <c r="BW356" s="211" cm="1">
        <f t="array" ref="BW356">(LOOKUP(2,1/(BH356:BT356&lt;&gt;""),BH356:BT356))/(INDEX(BH356:BT356,MATCH(TRUE,INDEX((BH356:BT356&lt;&gt;0),0),0)))-1</f>
        <v>6.1728395061728447E-2</v>
      </c>
      <c r="BX356" s="212">
        <f t="shared" si="93"/>
        <v>2.58</v>
      </c>
      <c r="BY356" s="212">
        <f t="shared" si="92"/>
        <v>15.222000000000001</v>
      </c>
      <c r="BZ356" s="212">
        <f ca="1">IF(L356="BR",'Impostos e Frete'!$F$6,IF(L356="EU",'Impostos e Frete'!$I$3,IF(L356="CN",'Impostos e Frete'!$I$4,IF(L356="JP",'Impostos e Frete'!$I$5,IF(L356="RU",'Impostos e Frete'!$I$7,"ERRO")))))</f>
        <v>0.14176320000000001</v>
      </c>
      <c r="CA356" s="212">
        <f>VLOOKUP(L356,'Impostos e Frete'!$A$3:$B$7,2,0)*'Preços e Condições'!BY356</f>
        <v>1.9788600000000003</v>
      </c>
      <c r="CB356" s="147">
        <f t="shared" si="94"/>
        <v>0</v>
      </c>
      <c r="CC356" s="147">
        <f>IF(X356="BRL",'Impostos e Frete'!$B$11,'Impostos e Frete'!$B$12)</f>
        <v>9.1999999999999998E-2</v>
      </c>
      <c r="CD356" s="213">
        <f t="shared" ca="1" si="95"/>
        <v>17.434623200000001</v>
      </c>
      <c r="CE356" s="214">
        <f t="shared" ca="1" si="96"/>
        <v>1.2204236240000002</v>
      </c>
      <c r="CF356" s="215">
        <f>VLOOKUP(L356,'Impostos e Frete'!$A$3:$C$7,3,0)</f>
        <v>105</v>
      </c>
      <c r="CG356" s="215">
        <f t="shared" si="97"/>
        <v>120</v>
      </c>
      <c r="CH356" s="215">
        <f t="shared" si="98"/>
        <v>15</v>
      </c>
      <c r="CI356" s="216">
        <f t="shared" ca="1" si="99"/>
        <v>-0.12930677761707088</v>
      </c>
      <c r="CJ356" s="217">
        <f t="shared" ca="1" si="100"/>
        <v>17.30531642238293</v>
      </c>
      <c r="CK356" s="218">
        <f t="shared" ca="1" si="101"/>
        <v>1.2113721495668051</v>
      </c>
    </row>
    <row r="357" spans="1:89">
      <c r="A357" s="176">
        <v>17058</v>
      </c>
      <c r="B357" s="177">
        <v>2795</v>
      </c>
      <c r="C357" s="178">
        <v>70</v>
      </c>
      <c r="D357" s="178">
        <v>1870</v>
      </c>
      <c r="E357" s="178"/>
      <c r="F357" s="179" t="s">
        <v>47</v>
      </c>
      <c r="G357" s="185" t="s">
        <v>155</v>
      </c>
      <c r="H357" s="178" t="s">
        <v>61</v>
      </c>
      <c r="I357" s="178">
        <v>6287</v>
      </c>
      <c r="J357" s="178"/>
      <c r="K357" s="178"/>
      <c r="L357" s="178" t="s">
        <v>59</v>
      </c>
      <c r="M357" s="178">
        <v>120</v>
      </c>
      <c r="N357" s="178">
        <v>300</v>
      </c>
      <c r="O357" s="178"/>
      <c r="P357" s="178"/>
      <c r="Q357" s="178"/>
      <c r="R357" s="178" t="s">
        <v>19</v>
      </c>
      <c r="S357" s="181"/>
      <c r="T357" s="181"/>
      <c r="U357" s="182"/>
      <c r="V357" s="182" t="s">
        <v>35</v>
      </c>
      <c r="W357" s="183">
        <v>20</v>
      </c>
      <c r="X357" s="182" t="s">
        <v>51</v>
      </c>
      <c r="Y357" s="184"/>
      <c r="Z357" s="184"/>
      <c r="AA357" s="184"/>
      <c r="AB357" s="184">
        <v>2480</v>
      </c>
      <c r="AC357" s="184">
        <v>2480</v>
      </c>
      <c r="AD357" s="184">
        <v>2480</v>
      </c>
      <c r="AE357" s="184">
        <v>2300</v>
      </c>
      <c r="AF357" s="184">
        <v>2300</v>
      </c>
      <c r="AG357" s="184">
        <v>2300</v>
      </c>
      <c r="AH357" s="184">
        <v>2150</v>
      </c>
      <c r="AI357" s="184">
        <v>2150</v>
      </c>
      <c r="AJ357" s="184">
        <v>2150</v>
      </c>
      <c r="AK357" s="146">
        <f>AK355+100</f>
        <v>2240</v>
      </c>
      <c r="AL357" s="146">
        <f>AL355+100</f>
        <v>2240</v>
      </c>
      <c r="AM357" s="146">
        <f>AM355+100</f>
        <v>2240</v>
      </c>
      <c r="AN357" s="184">
        <v>2390</v>
      </c>
      <c r="AO357" s="184">
        <v>2390</v>
      </c>
      <c r="AP357" s="184">
        <v>2390</v>
      </c>
      <c r="AQ357" s="184">
        <v>2540</v>
      </c>
      <c r="AR357" s="184">
        <v>2540</v>
      </c>
      <c r="AS357" s="184">
        <v>2540</v>
      </c>
      <c r="AT357" s="184">
        <v>2540</v>
      </c>
      <c r="AU357" s="184">
        <v>2540</v>
      </c>
      <c r="AV357" s="184">
        <v>2540</v>
      </c>
      <c r="AW357" s="184">
        <v>2460</v>
      </c>
      <c r="AX357" s="184">
        <v>2460</v>
      </c>
      <c r="AY357" s="184">
        <v>2460</v>
      </c>
      <c r="AZ357" s="184">
        <v>2260</v>
      </c>
      <c r="BA357" s="184">
        <v>2260</v>
      </c>
      <c r="BB357" s="184">
        <v>2560</v>
      </c>
      <c r="BC357" s="184">
        <v>2560</v>
      </c>
      <c r="BD357" s="184">
        <v>2560</v>
      </c>
      <c r="BE357" s="184">
        <v>2560</v>
      </c>
      <c r="BF357" s="184">
        <v>2480</v>
      </c>
      <c r="BG357" s="184">
        <v>2480</v>
      </c>
      <c r="BH357" s="184">
        <v>2480</v>
      </c>
      <c r="BI357" s="184">
        <v>2530</v>
      </c>
      <c r="BJ357" s="184">
        <v>2530</v>
      </c>
      <c r="BK357" s="184">
        <v>2530</v>
      </c>
      <c r="BL357" s="184">
        <v>2630</v>
      </c>
      <c r="BM357" s="184">
        <v>2630</v>
      </c>
      <c r="BN357" s="184">
        <v>2630</v>
      </c>
      <c r="BO357" s="184"/>
      <c r="BP357" s="184"/>
      <c r="BQ357" s="184"/>
      <c r="BR357" s="184"/>
      <c r="BS357" s="184"/>
      <c r="BT357" s="184"/>
      <c r="BU357" s="146" cm="1">
        <f t="array" ref="BU357">LOOKUP(2,1/(Y357:BT357&lt;&gt;""),Y357:BH357)</f>
        <v>2630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46174</v>
      </c>
      <c r="BW357" s="211" cm="1">
        <f t="array" ref="BW357">(LOOKUP(2,1/(BH357:BT357&lt;&gt;""),BH357:BT357))/(INDEX(BH357:BT357,MATCH(TRUE,INDEX((BH357:BT357&lt;&gt;0),0),0)))-1</f>
        <v>6.0483870967741993E-2</v>
      </c>
      <c r="BX357" s="212">
        <f t="shared" si="93"/>
        <v>2.63</v>
      </c>
      <c r="BY357" s="212">
        <f t="shared" si="92"/>
        <v>15.516999999999999</v>
      </c>
      <c r="BZ357" s="212">
        <f ca="1">IF(L357="BR",'Impostos e Frete'!$F$6,IF(L357="EU",'Impostos e Frete'!$I$3,IF(L357="CN",'Impostos e Frete'!$I$4,IF(L357="JP",'Impostos e Frete'!$I$5,IF(L357="RU",'Impostos e Frete'!$I$7,"ERRO")))))</f>
        <v>0.14176320000000001</v>
      </c>
      <c r="CA357" s="212">
        <f>VLOOKUP(L357,'Impostos e Frete'!$A$3:$B$7,2,0)*'Preços e Condições'!BY357</f>
        <v>2.0172099999999999</v>
      </c>
      <c r="CB357" s="147">
        <f t="shared" si="94"/>
        <v>0</v>
      </c>
      <c r="CC357" s="147">
        <f>IF(X357="BRL",'Impostos e Frete'!$B$11,'Impostos e Frete'!$B$12)</f>
        <v>9.1999999999999998E-2</v>
      </c>
      <c r="CD357" s="213">
        <f t="shared" ca="1" si="95"/>
        <v>17.767973199999997</v>
      </c>
      <c r="CE357" s="214">
        <f t="shared" ca="1" si="96"/>
        <v>1.2437581239999997</v>
      </c>
      <c r="CF357" s="215">
        <f>VLOOKUP(L357,'Impostos e Frete'!$A$3:$C$7,3,0)</f>
        <v>105</v>
      </c>
      <c r="CG357" s="215">
        <f t="shared" si="97"/>
        <v>120</v>
      </c>
      <c r="CH357" s="215">
        <f t="shared" si="98"/>
        <v>15</v>
      </c>
      <c r="CI357" s="216">
        <f t="shared" ca="1" si="99"/>
        <v>-0.13177912323786245</v>
      </c>
      <c r="CJ357" s="217">
        <f t="shared" ca="1" si="100"/>
        <v>17.636194076762134</v>
      </c>
      <c r="CK357" s="218">
        <f t="shared" ca="1" si="101"/>
        <v>1.2345335853733495</v>
      </c>
    </row>
    <row r="358" spans="1:89">
      <c r="A358" s="176">
        <v>17058</v>
      </c>
      <c r="B358" s="177">
        <v>2795</v>
      </c>
      <c r="C358" s="178">
        <v>70</v>
      </c>
      <c r="D358" s="178">
        <v>1870</v>
      </c>
      <c r="E358" s="178"/>
      <c r="F358" s="179" t="s">
        <v>47</v>
      </c>
      <c r="G358" s="185" t="s">
        <v>155</v>
      </c>
      <c r="H358" s="178" t="s">
        <v>61</v>
      </c>
      <c r="I358" s="178">
        <v>6287</v>
      </c>
      <c r="J358" s="178"/>
      <c r="K358" s="178"/>
      <c r="L358" s="178" t="s">
        <v>59</v>
      </c>
      <c r="M358" s="178">
        <v>120</v>
      </c>
      <c r="N358" s="178">
        <v>300</v>
      </c>
      <c r="O358" s="178"/>
      <c r="P358" s="178"/>
      <c r="Q358" s="178"/>
      <c r="R358" s="178" t="s">
        <v>19</v>
      </c>
      <c r="S358" s="181"/>
      <c r="T358" s="181"/>
      <c r="U358" s="182"/>
      <c r="V358" s="182" t="s">
        <v>35</v>
      </c>
      <c r="W358" s="183">
        <v>10</v>
      </c>
      <c r="X358" s="182" t="s">
        <v>51</v>
      </c>
      <c r="Y358" s="184"/>
      <c r="Z358" s="184"/>
      <c r="AA358" s="184"/>
      <c r="AB358" s="184">
        <v>2560</v>
      </c>
      <c r="AC358" s="184">
        <v>2560</v>
      </c>
      <c r="AD358" s="184">
        <v>2560</v>
      </c>
      <c r="AE358" s="184">
        <v>2380</v>
      </c>
      <c r="AF358" s="184">
        <v>2380</v>
      </c>
      <c r="AG358" s="184">
        <v>2380</v>
      </c>
      <c r="AH358" s="184">
        <v>2230</v>
      </c>
      <c r="AI358" s="184">
        <v>2230</v>
      </c>
      <c r="AJ358" s="184">
        <v>2230</v>
      </c>
      <c r="AK358" s="146">
        <f>AK355+180</f>
        <v>2320</v>
      </c>
      <c r="AL358" s="146">
        <f>AL355+180</f>
        <v>2320</v>
      </c>
      <c r="AM358" s="146">
        <f>AM355+180</f>
        <v>2320</v>
      </c>
      <c r="AN358" s="184">
        <v>2470</v>
      </c>
      <c r="AO358" s="184">
        <v>2470</v>
      </c>
      <c r="AP358" s="184">
        <v>2470</v>
      </c>
      <c r="AQ358" s="184">
        <v>2620</v>
      </c>
      <c r="AR358" s="184">
        <v>2620</v>
      </c>
      <c r="AS358" s="184">
        <v>2620</v>
      </c>
      <c r="AT358" s="184">
        <v>2620</v>
      </c>
      <c r="AU358" s="184">
        <v>2620</v>
      </c>
      <c r="AV358" s="184">
        <v>2620</v>
      </c>
      <c r="AW358" s="184">
        <v>2540</v>
      </c>
      <c r="AX358" s="184">
        <v>2540</v>
      </c>
      <c r="AY358" s="184">
        <v>2540</v>
      </c>
      <c r="AZ358" s="184">
        <v>2340</v>
      </c>
      <c r="BA358" s="184">
        <v>2340</v>
      </c>
      <c r="BB358" s="184">
        <v>2640</v>
      </c>
      <c r="BC358" s="184">
        <v>2640</v>
      </c>
      <c r="BD358" s="184">
        <v>2640</v>
      </c>
      <c r="BE358" s="184">
        <v>2640</v>
      </c>
      <c r="BF358" s="184">
        <v>2560</v>
      </c>
      <c r="BG358" s="184">
        <v>2560</v>
      </c>
      <c r="BH358" s="184">
        <v>2560</v>
      </c>
      <c r="BI358" s="184">
        <v>2610</v>
      </c>
      <c r="BJ358" s="184">
        <v>2610</v>
      </c>
      <c r="BK358" s="184">
        <v>2610</v>
      </c>
      <c r="BL358" s="184">
        <v>2710</v>
      </c>
      <c r="BM358" s="184">
        <v>2710</v>
      </c>
      <c r="BN358" s="184">
        <v>2710</v>
      </c>
      <c r="BO358" s="184"/>
      <c r="BP358" s="184"/>
      <c r="BQ358" s="184"/>
      <c r="BR358" s="184"/>
      <c r="BS358" s="184"/>
      <c r="BT358" s="184"/>
      <c r="BU358" s="146" cm="1">
        <f t="array" ref="BU358">LOOKUP(2,1/(Y358:BT358&lt;&gt;""),Y358:BH358)</f>
        <v>2710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46174</v>
      </c>
      <c r="BW358" s="211" cm="1">
        <f t="array" ref="BW358">(LOOKUP(2,1/(BH358:BT358&lt;&gt;""),BH358:BT358))/(INDEX(BH358:BT358,MATCH(TRUE,INDEX((BH358:BT358&lt;&gt;0),0),0)))-1</f>
        <v>5.859375E-2</v>
      </c>
      <c r="BX358" s="212">
        <f t="shared" si="93"/>
        <v>2.71</v>
      </c>
      <c r="BY358" s="212">
        <f t="shared" si="92"/>
        <v>15.989000000000001</v>
      </c>
      <c r="BZ358" s="212">
        <f ca="1">IF(L358="BR",'Impostos e Frete'!$F$6,IF(L358="EU",'Impostos e Frete'!$I$3,IF(L358="CN",'Impostos e Frete'!$I$4,IF(L358="JP",'Impostos e Frete'!$I$5,IF(L358="RU",'Impostos e Frete'!$I$7,"ERRO")))))</f>
        <v>0.14176320000000001</v>
      </c>
      <c r="CA358" s="212">
        <f>VLOOKUP(L358,'Impostos e Frete'!$A$3:$B$7,2,0)*'Preços e Condições'!BY358</f>
        <v>2.07857</v>
      </c>
      <c r="CB358" s="147">
        <f t="shared" si="94"/>
        <v>0</v>
      </c>
      <c r="CC358" s="147">
        <f>IF(X358="BRL",'Impostos e Frete'!$B$11,'Impostos e Frete'!$B$12)</f>
        <v>9.1999999999999998E-2</v>
      </c>
      <c r="CD358" s="213">
        <f t="shared" ca="1" si="95"/>
        <v>18.301333199999998</v>
      </c>
      <c r="CE358" s="214">
        <f t="shared" ca="1" si="96"/>
        <v>1.281093324</v>
      </c>
      <c r="CF358" s="215">
        <f>VLOOKUP(L358,'Impostos e Frete'!$A$3:$C$7,3,0)</f>
        <v>105</v>
      </c>
      <c r="CG358" s="215">
        <f t="shared" si="97"/>
        <v>120</v>
      </c>
      <c r="CH358" s="215">
        <f t="shared" si="98"/>
        <v>15</v>
      </c>
      <c r="CI358" s="216">
        <f t="shared" ca="1" si="99"/>
        <v>-0.13573487623112612</v>
      </c>
      <c r="CJ358" s="217">
        <f t="shared" ca="1" si="100"/>
        <v>18.165598323768872</v>
      </c>
      <c r="CK358" s="218">
        <f t="shared" ca="1" si="101"/>
        <v>1.2715918826638211</v>
      </c>
    </row>
    <row r="359" spans="1:89">
      <c r="A359" s="176">
        <v>17059</v>
      </c>
      <c r="B359" s="177">
        <v>2795</v>
      </c>
      <c r="C359" s="178">
        <v>65</v>
      </c>
      <c r="D359" s="178">
        <v>1870</v>
      </c>
      <c r="E359" s="178"/>
      <c r="F359" s="179" t="s">
        <v>47</v>
      </c>
      <c r="G359" s="185" t="s">
        <v>155</v>
      </c>
      <c r="H359" s="178" t="s">
        <v>61</v>
      </c>
      <c r="I359" s="178">
        <v>6287</v>
      </c>
      <c r="J359" s="178"/>
      <c r="K359" s="178"/>
      <c r="L359" s="178" t="s">
        <v>59</v>
      </c>
      <c r="M359" s="178">
        <v>120</v>
      </c>
      <c r="N359" s="178">
        <v>300</v>
      </c>
      <c r="O359" s="178"/>
      <c r="P359" s="178"/>
      <c r="Q359" s="178"/>
      <c r="R359" s="178" t="s">
        <v>19</v>
      </c>
      <c r="S359" s="181"/>
      <c r="T359" s="181"/>
      <c r="U359" s="182"/>
      <c r="V359" s="182" t="s">
        <v>35</v>
      </c>
      <c r="W359" s="183">
        <v>50</v>
      </c>
      <c r="X359" s="182" t="s">
        <v>51</v>
      </c>
      <c r="Y359" s="184"/>
      <c r="Z359" s="184"/>
      <c r="AA359" s="184"/>
      <c r="AB359" s="184"/>
      <c r="AC359" s="184"/>
      <c r="AD359" s="184"/>
      <c r="AE359" s="184"/>
      <c r="AF359" s="184"/>
      <c r="AG359" s="184"/>
      <c r="AH359" s="184"/>
      <c r="AI359" s="184"/>
      <c r="AJ359" s="184"/>
      <c r="AK359" s="184"/>
      <c r="AL359" s="184"/>
      <c r="AM359" s="184"/>
      <c r="AN359" s="184">
        <v>2340</v>
      </c>
      <c r="AO359" s="184">
        <v>2340</v>
      </c>
      <c r="AP359" s="184">
        <v>2340</v>
      </c>
      <c r="AQ359" s="184">
        <v>2490</v>
      </c>
      <c r="AR359" s="184">
        <v>2490</v>
      </c>
      <c r="AS359" s="184">
        <v>2490</v>
      </c>
      <c r="AT359" s="184">
        <v>2490</v>
      </c>
      <c r="AU359" s="184">
        <v>2490</v>
      </c>
      <c r="AV359" s="184">
        <v>2490</v>
      </c>
      <c r="AW359" s="184">
        <v>2410</v>
      </c>
      <c r="AX359" s="184">
        <v>2410</v>
      </c>
      <c r="AY359" s="184">
        <v>2410</v>
      </c>
      <c r="AZ359" s="184">
        <v>2210</v>
      </c>
      <c r="BA359" s="184">
        <v>2210</v>
      </c>
      <c r="BB359" s="184">
        <v>2510</v>
      </c>
      <c r="BC359" s="184">
        <v>2510</v>
      </c>
      <c r="BD359" s="184">
        <v>2510</v>
      </c>
      <c r="BE359" s="184">
        <v>2510</v>
      </c>
      <c r="BF359" s="184">
        <v>2430</v>
      </c>
      <c r="BG359" s="184">
        <v>2430</v>
      </c>
      <c r="BH359" s="184">
        <v>2430</v>
      </c>
      <c r="BI359" s="184">
        <v>2480</v>
      </c>
      <c r="BJ359" s="184">
        <v>2480</v>
      </c>
      <c r="BK359" s="184">
        <v>2480</v>
      </c>
      <c r="BL359" s="184">
        <v>2580</v>
      </c>
      <c r="BM359" s="184">
        <v>2580</v>
      </c>
      <c r="BN359" s="184">
        <v>2580</v>
      </c>
      <c r="BO359" s="184"/>
      <c r="BP359" s="184"/>
      <c r="BQ359" s="184"/>
      <c r="BR359" s="184"/>
      <c r="BS359" s="184"/>
      <c r="BT359" s="184"/>
      <c r="BU359" s="146" cm="1">
        <f t="array" ref="BU359">LOOKUP(2,1/(Y359:BT359&lt;&gt;""),Y359:BH359)</f>
        <v>2580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46174</v>
      </c>
      <c r="BW359" s="211" cm="1">
        <f t="array" ref="BW359">(LOOKUP(2,1/(BH359:BT359&lt;&gt;""),BH359:BT359))/(INDEX(BH359:BT359,MATCH(TRUE,INDEX((BH359:BT359&lt;&gt;0),0),0)))-1</f>
        <v>6.1728395061728447E-2</v>
      </c>
      <c r="BX359" s="212">
        <f t="shared" si="93"/>
        <v>2.58</v>
      </c>
      <c r="BY359" s="212">
        <f t="shared" si="92"/>
        <v>15.222000000000001</v>
      </c>
      <c r="BZ359" s="212">
        <f ca="1">IF(L359="BR",'Impostos e Frete'!$F$6,IF(L359="EU",'Impostos e Frete'!$I$3,IF(L359="CN",'Impostos e Frete'!$I$4,IF(L359="JP",'Impostos e Frete'!$I$5,IF(L359="RU",'Impostos e Frete'!$I$7,"ERRO")))))</f>
        <v>0.14176320000000001</v>
      </c>
      <c r="CA359" s="212">
        <f>VLOOKUP(L359,'Impostos e Frete'!$A$3:$B$7,2,0)*'Preços e Condições'!BY359</f>
        <v>1.9788600000000003</v>
      </c>
      <c r="CB359" s="147">
        <f t="shared" si="94"/>
        <v>0</v>
      </c>
      <c r="CC359" s="147">
        <f>IF(X359="BRL",'Impostos e Frete'!$B$11,'Impostos e Frete'!$B$12)</f>
        <v>9.1999999999999998E-2</v>
      </c>
      <c r="CD359" s="213">
        <f t="shared" ca="1" si="95"/>
        <v>17.434623200000001</v>
      </c>
      <c r="CE359" s="214">
        <f t="shared" ca="1" si="96"/>
        <v>1.1332505080000002</v>
      </c>
      <c r="CF359" s="215">
        <f>VLOOKUP(L359,'Impostos e Frete'!$A$3:$C$7,3,0)</f>
        <v>105</v>
      </c>
      <c r="CG359" s="215">
        <f t="shared" si="97"/>
        <v>120</v>
      </c>
      <c r="CH359" s="215">
        <f t="shared" si="98"/>
        <v>15</v>
      </c>
      <c r="CI359" s="216">
        <f t="shared" ca="1" si="99"/>
        <v>-0.12930677761707088</v>
      </c>
      <c r="CJ359" s="217">
        <f t="shared" ca="1" si="100"/>
        <v>17.30531642238293</v>
      </c>
      <c r="CK359" s="218">
        <f t="shared" ca="1" si="101"/>
        <v>1.1248455674548903</v>
      </c>
    </row>
    <row r="360" spans="1:89">
      <c r="A360" s="176">
        <v>17059</v>
      </c>
      <c r="B360" s="177">
        <v>2795</v>
      </c>
      <c r="C360" s="178">
        <v>65</v>
      </c>
      <c r="D360" s="178">
        <v>1870</v>
      </c>
      <c r="E360" s="178"/>
      <c r="F360" s="179" t="s">
        <v>47</v>
      </c>
      <c r="G360" s="185" t="s">
        <v>155</v>
      </c>
      <c r="H360" s="178" t="s">
        <v>61</v>
      </c>
      <c r="I360" s="178">
        <v>6287</v>
      </c>
      <c r="J360" s="178"/>
      <c r="K360" s="178"/>
      <c r="L360" s="178" t="s">
        <v>59</v>
      </c>
      <c r="M360" s="178">
        <v>120</v>
      </c>
      <c r="N360" s="178">
        <v>300</v>
      </c>
      <c r="O360" s="178"/>
      <c r="P360" s="178"/>
      <c r="Q360" s="178"/>
      <c r="R360" s="178" t="s">
        <v>19</v>
      </c>
      <c r="S360" s="181"/>
      <c r="T360" s="181"/>
      <c r="U360" s="182"/>
      <c r="V360" s="182" t="s">
        <v>35</v>
      </c>
      <c r="W360" s="183">
        <v>30</v>
      </c>
      <c r="X360" s="182" t="s">
        <v>51</v>
      </c>
      <c r="Y360" s="184"/>
      <c r="Z360" s="184"/>
      <c r="AA360" s="184"/>
      <c r="AB360" s="184"/>
      <c r="AC360" s="184"/>
      <c r="AD360" s="184"/>
      <c r="AE360" s="184"/>
      <c r="AF360" s="184"/>
      <c r="AG360" s="184"/>
      <c r="AH360" s="184"/>
      <c r="AI360" s="184"/>
      <c r="AJ360" s="184"/>
      <c r="AK360" s="184"/>
      <c r="AL360" s="184"/>
      <c r="AM360" s="184"/>
      <c r="AN360" s="184">
        <v>2390</v>
      </c>
      <c r="AO360" s="184">
        <v>2390</v>
      </c>
      <c r="AP360" s="184">
        <v>2390</v>
      </c>
      <c r="AQ360" s="184">
        <v>2540</v>
      </c>
      <c r="AR360" s="184">
        <v>2540</v>
      </c>
      <c r="AS360" s="184">
        <v>2540</v>
      </c>
      <c r="AT360" s="184">
        <v>2540</v>
      </c>
      <c r="AU360" s="184">
        <v>2540</v>
      </c>
      <c r="AV360" s="184">
        <v>2540</v>
      </c>
      <c r="AW360" s="184">
        <v>2460</v>
      </c>
      <c r="AX360" s="184">
        <v>2460</v>
      </c>
      <c r="AY360" s="184">
        <v>2460</v>
      </c>
      <c r="AZ360" s="184">
        <v>2260</v>
      </c>
      <c r="BA360" s="184">
        <v>2260</v>
      </c>
      <c r="BB360" s="184">
        <v>2560</v>
      </c>
      <c r="BC360" s="184">
        <v>2560</v>
      </c>
      <c r="BD360" s="184">
        <v>2560</v>
      </c>
      <c r="BE360" s="184">
        <v>2560</v>
      </c>
      <c r="BF360" s="184">
        <v>2480</v>
      </c>
      <c r="BG360" s="184">
        <v>2480</v>
      </c>
      <c r="BH360" s="184">
        <v>2480</v>
      </c>
      <c r="BI360" s="184">
        <v>2530</v>
      </c>
      <c r="BJ360" s="184">
        <v>2530</v>
      </c>
      <c r="BK360" s="184">
        <v>2530</v>
      </c>
      <c r="BL360" s="184">
        <v>2630</v>
      </c>
      <c r="BM360" s="184">
        <v>2630</v>
      </c>
      <c r="BN360" s="184">
        <v>2630</v>
      </c>
      <c r="BO360" s="184"/>
      <c r="BP360" s="184"/>
      <c r="BQ360" s="184"/>
      <c r="BR360" s="184"/>
      <c r="BS360" s="184"/>
      <c r="BT360" s="184"/>
      <c r="BU360" s="146" cm="1">
        <f t="array" ref="BU360">LOOKUP(2,1/(Y360:BT360&lt;&gt;""),Y360:BH360)</f>
        <v>2630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46174</v>
      </c>
      <c r="BW360" s="211" cm="1">
        <f t="array" ref="BW360">(LOOKUP(2,1/(BH360:BT360&lt;&gt;""),BH360:BT360))/(INDEX(BH360:BT360,MATCH(TRUE,INDEX((BH360:BT360&lt;&gt;0),0),0)))-1</f>
        <v>6.0483870967741993E-2</v>
      </c>
      <c r="BX360" s="212">
        <f t="shared" si="93"/>
        <v>2.63</v>
      </c>
      <c r="BY360" s="212">
        <f t="shared" si="92"/>
        <v>15.516999999999999</v>
      </c>
      <c r="BZ360" s="212">
        <f ca="1">IF(L360="BR",'Impostos e Frete'!$F$6,IF(L360="EU",'Impostos e Frete'!$I$3,IF(L360="CN",'Impostos e Frete'!$I$4,IF(L360="JP",'Impostos e Frete'!$I$5,IF(L360="RU",'Impostos e Frete'!$I$7,"ERRO")))))</f>
        <v>0.14176320000000001</v>
      </c>
      <c r="CA360" s="212">
        <f>VLOOKUP(L360,'Impostos e Frete'!$A$3:$B$7,2,0)*'Preços e Condições'!BY360</f>
        <v>2.0172099999999999</v>
      </c>
      <c r="CB360" s="147">
        <f t="shared" si="94"/>
        <v>0</v>
      </c>
      <c r="CC360" s="147">
        <f>IF(X360="BRL",'Impostos e Frete'!$B$11,'Impostos e Frete'!$B$12)</f>
        <v>9.1999999999999998E-2</v>
      </c>
      <c r="CD360" s="213">
        <f t="shared" ca="1" si="95"/>
        <v>17.767973199999997</v>
      </c>
      <c r="CE360" s="214">
        <f t="shared" ca="1" si="96"/>
        <v>1.1549182579999997</v>
      </c>
      <c r="CF360" s="215">
        <f>VLOOKUP(L360,'Impostos e Frete'!$A$3:$C$7,3,0)</f>
        <v>105</v>
      </c>
      <c r="CG360" s="215">
        <f t="shared" si="97"/>
        <v>120</v>
      </c>
      <c r="CH360" s="215">
        <f t="shared" si="98"/>
        <v>15</v>
      </c>
      <c r="CI360" s="216">
        <f t="shared" ca="1" si="99"/>
        <v>-0.13177912323786245</v>
      </c>
      <c r="CJ360" s="217">
        <f t="shared" ca="1" si="100"/>
        <v>17.636194076762134</v>
      </c>
      <c r="CK360" s="218">
        <f t="shared" ca="1" si="101"/>
        <v>1.1463526149895389</v>
      </c>
    </row>
    <row r="361" spans="1:89">
      <c r="A361" s="176">
        <v>17059</v>
      </c>
      <c r="B361" s="177">
        <v>2795</v>
      </c>
      <c r="C361" s="178">
        <v>65</v>
      </c>
      <c r="D361" s="178">
        <v>1870</v>
      </c>
      <c r="E361" s="178"/>
      <c r="F361" s="179" t="s">
        <v>47</v>
      </c>
      <c r="G361" s="185" t="s">
        <v>155</v>
      </c>
      <c r="H361" s="178" t="s">
        <v>61</v>
      </c>
      <c r="I361" s="178">
        <v>6287</v>
      </c>
      <c r="J361" s="178"/>
      <c r="K361" s="178"/>
      <c r="L361" s="178" t="s">
        <v>59</v>
      </c>
      <c r="M361" s="178">
        <v>120</v>
      </c>
      <c r="N361" s="178">
        <v>300</v>
      </c>
      <c r="O361" s="178"/>
      <c r="P361" s="178"/>
      <c r="Q361" s="178"/>
      <c r="R361" s="178" t="s">
        <v>19</v>
      </c>
      <c r="S361" s="181"/>
      <c r="T361" s="181"/>
      <c r="U361" s="182"/>
      <c r="V361" s="182" t="s">
        <v>35</v>
      </c>
      <c r="W361" s="183">
        <v>20</v>
      </c>
      <c r="X361" s="182" t="s">
        <v>51</v>
      </c>
      <c r="Y361" s="184"/>
      <c r="Z361" s="184"/>
      <c r="AA361" s="184"/>
      <c r="AB361" s="184"/>
      <c r="AC361" s="184"/>
      <c r="AD361" s="184"/>
      <c r="AE361" s="184"/>
      <c r="AF361" s="184"/>
      <c r="AG361" s="184"/>
      <c r="AH361" s="184"/>
      <c r="AI361" s="184"/>
      <c r="AJ361" s="184"/>
      <c r="AK361" s="184"/>
      <c r="AL361" s="184"/>
      <c r="AM361" s="184"/>
      <c r="AN361" s="184">
        <v>2440</v>
      </c>
      <c r="AO361" s="184">
        <v>2440</v>
      </c>
      <c r="AP361" s="184">
        <v>2440</v>
      </c>
      <c r="AQ361" s="184">
        <v>2590</v>
      </c>
      <c r="AR361" s="184">
        <v>2590</v>
      </c>
      <c r="AS361" s="184">
        <v>2590</v>
      </c>
      <c r="AT361" s="184">
        <v>2590</v>
      </c>
      <c r="AU361" s="184">
        <v>2590</v>
      </c>
      <c r="AV361" s="184">
        <v>2590</v>
      </c>
      <c r="AW361" s="184">
        <v>2510</v>
      </c>
      <c r="AX361" s="184">
        <v>2510</v>
      </c>
      <c r="AY361" s="184">
        <v>2510</v>
      </c>
      <c r="AZ361" s="184">
        <v>2310</v>
      </c>
      <c r="BA361" s="184">
        <v>2310</v>
      </c>
      <c r="BB361" s="184">
        <v>2610</v>
      </c>
      <c r="BC361" s="184">
        <v>2610</v>
      </c>
      <c r="BD361" s="184">
        <v>2610</v>
      </c>
      <c r="BE361" s="184">
        <v>2610</v>
      </c>
      <c r="BF361" s="184">
        <v>2530</v>
      </c>
      <c r="BG361" s="184">
        <v>2530</v>
      </c>
      <c r="BH361" s="184">
        <v>2530</v>
      </c>
      <c r="BI361" s="184">
        <v>2580</v>
      </c>
      <c r="BJ361" s="184">
        <v>2580</v>
      </c>
      <c r="BK361" s="184">
        <v>2580</v>
      </c>
      <c r="BL361" s="184">
        <v>2680</v>
      </c>
      <c r="BM361" s="184">
        <v>2680</v>
      </c>
      <c r="BN361" s="184">
        <v>2680</v>
      </c>
      <c r="BO361" s="184"/>
      <c r="BP361" s="184"/>
      <c r="BQ361" s="184"/>
      <c r="BR361" s="184"/>
      <c r="BS361" s="184"/>
      <c r="BT361" s="184"/>
      <c r="BU361" s="146" cm="1">
        <f t="array" ref="BU361">LOOKUP(2,1/(Y361:BT361&lt;&gt;""),Y361:BH361)</f>
        <v>2680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46174</v>
      </c>
      <c r="BW361" s="211" cm="1">
        <f t="array" ref="BW361">(LOOKUP(2,1/(BH361:BT361&lt;&gt;""),BH361:BT361))/(INDEX(BH361:BT361,MATCH(TRUE,INDEX((BH361:BT361&lt;&gt;0),0),0)))-1</f>
        <v>5.9288537549407216E-2</v>
      </c>
      <c r="BX361" s="212">
        <f t="shared" si="93"/>
        <v>2.68</v>
      </c>
      <c r="BY361" s="212">
        <f t="shared" si="92"/>
        <v>15.812000000000001</v>
      </c>
      <c r="BZ361" s="212">
        <f ca="1">IF(L361="BR",'Impostos e Frete'!$F$6,IF(L361="EU",'Impostos e Frete'!$I$3,IF(L361="CN",'Impostos e Frete'!$I$4,IF(L361="JP",'Impostos e Frete'!$I$5,IF(L361="RU",'Impostos e Frete'!$I$7,"ERRO")))))</f>
        <v>0.14176320000000001</v>
      </c>
      <c r="CA361" s="212">
        <f>VLOOKUP(L361,'Impostos e Frete'!$A$3:$B$7,2,0)*'Preços e Condições'!BY361</f>
        <v>2.0555600000000003</v>
      </c>
      <c r="CB361" s="147">
        <f t="shared" si="94"/>
        <v>0</v>
      </c>
      <c r="CC361" s="147">
        <f>IF(X361="BRL",'Impostos e Frete'!$B$11,'Impostos e Frete'!$B$12)</f>
        <v>9.1999999999999998E-2</v>
      </c>
      <c r="CD361" s="213">
        <f t="shared" ca="1" si="95"/>
        <v>18.1013232</v>
      </c>
      <c r="CE361" s="214">
        <f t="shared" ca="1" si="96"/>
        <v>1.1765860079999999</v>
      </c>
      <c r="CF361" s="215">
        <f>VLOOKUP(L361,'Impostos e Frete'!$A$3:$C$7,3,0)</f>
        <v>105</v>
      </c>
      <c r="CG361" s="215">
        <f t="shared" si="97"/>
        <v>120</v>
      </c>
      <c r="CH361" s="215">
        <f t="shared" si="98"/>
        <v>15</v>
      </c>
      <c r="CI361" s="216">
        <f t="shared" ca="1" si="99"/>
        <v>-0.13425146885865402</v>
      </c>
      <c r="CJ361" s="217">
        <f t="shared" ca="1" si="100"/>
        <v>17.967071731141345</v>
      </c>
      <c r="CK361" s="218">
        <f t="shared" ca="1" si="101"/>
        <v>1.1678596625241875</v>
      </c>
    </row>
    <row r="362" spans="1:89">
      <c r="A362" s="176">
        <v>17059</v>
      </c>
      <c r="B362" s="177">
        <v>2795</v>
      </c>
      <c r="C362" s="178">
        <v>65</v>
      </c>
      <c r="D362" s="178">
        <v>1870</v>
      </c>
      <c r="E362" s="178"/>
      <c r="F362" s="179" t="s">
        <v>47</v>
      </c>
      <c r="G362" s="185" t="s">
        <v>155</v>
      </c>
      <c r="H362" s="178" t="s">
        <v>61</v>
      </c>
      <c r="I362" s="178">
        <v>6287</v>
      </c>
      <c r="J362" s="178"/>
      <c r="K362" s="178"/>
      <c r="L362" s="178" t="s">
        <v>59</v>
      </c>
      <c r="M362" s="178">
        <v>120</v>
      </c>
      <c r="N362" s="178">
        <v>300</v>
      </c>
      <c r="O362" s="178"/>
      <c r="P362" s="178"/>
      <c r="Q362" s="178"/>
      <c r="R362" s="178" t="s">
        <v>19</v>
      </c>
      <c r="S362" s="181"/>
      <c r="T362" s="181"/>
      <c r="U362" s="182"/>
      <c r="V362" s="182" t="s">
        <v>35</v>
      </c>
      <c r="W362" s="183">
        <v>10</v>
      </c>
      <c r="X362" s="182" t="s">
        <v>51</v>
      </c>
      <c r="Y362" s="184"/>
      <c r="Z362" s="184"/>
      <c r="AA362" s="184"/>
      <c r="AB362" s="184"/>
      <c r="AC362" s="184"/>
      <c r="AD362" s="184"/>
      <c r="AE362" s="184"/>
      <c r="AF362" s="184"/>
      <c r="AG362" s="184"/>
      <c r="AH362" s="184"/>
      <c r="AI362" s="184"/>
      <c r="AJ362" s="184"/>
      <c r="AK362" s="184"/>
      <c r="AL362" s="184"/>
      <c r="AM362" s="184"/>
      <c r="AN362" s="184">
        <v>2520</v>
      </c>
      <c r="AO362" s="184">
        <v>2520</v>
      </c>
      <c r="AP362" s="184">
        <v>2520</v>
      </c>
      <c r="AQ362" s="184">
        <v>2670</v>
      </c>
      <c r="AR362" s="184">
        <v>2670</v>
      </c>
      <c r="AS362" s="184">
        <v>2670</v>
      </c>
      <c r="AT362" s="184">
        <v>2670</v>
      </c>
      <c r="AU362" s="184">
        <v>2670</v>
      </c>
      <c r="AV362" s="184">
        <v>2670</v>
      </c>
      <c r="AW362" s="184">
        <v>2590</v>
      </c>
      <c r="AX362" s="184">
        <v>2590</v>
      </c>
      <c r="AY362" s="184">
        <v>2590</v>
      </c>
      <c r="AZ362" s="184">
        <v>2390</v>
      </c>
      <c r="BA362" s="184">
        <v>2390</v>
      </c>
      <c r="BB362" s="184">
        <v>2690</v>
      </c>
      <c r="BC362" s="184">
        <v>2690</v>
      </c>
      <c r="BD362" s="184">
        <v>2690</v>
      </c>
      <c r="BE362" s="184">
        <v>2690</v>
      </c>
      <c r="BF362" s="184">
        <v>2610</v>
      </c>
      <c r="BG362" s="184">
        <v>2610</v>
      </c>
      <c r="BH362" s="184">
        <v>2610</v>
      </c>
      <c r="BI362" s="184">
        <v>2660</v>
      </c>
      <c r="BJ362" s="184">
        <v>2660</v>
      </c>
      <c r="BK362" s="184">
        <v>2660</v>
      </c>
      <c r="BL362" s="184">
        <v>2760</v>
      </c>
      <c r="BM362" s="184">
        <v>2760</v>
      </c>
      <c r="BN362" s="184">
        <v>2760</v>
      </c>
      <c r="BO362" s="184"/>
      <c r="BP362" s="184"/>
      <c r="BQ362" s="184"/>
      <c r="BR362" s="184"/>
      <c r="BS362" s="184"/>
      <c r="BT362" s="184"/>
      <c r="BU362" s="146" cm="1">
        <f t="array" ref="BU362">LOOKUP(2,1/(Y362:BT362&lt;&gt;""),Y362:BH362)</f>
        <v>2760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46174</v>
      </c>
      <c r="BW362" s="211" cm="1">
        <f t="array" ref="BW362">(LOOKUP(2,1/(BH362:BT362&lt;&gt;""),BH362:BT362))/(INDEX(BH362:BT362,MATCH(TRUE,INDEX((BH362:BT362&lt;&gt;0),0),0)))-1</f>
        <v>5.7471264367816133E-2</v>
      </c>
      <c r="BX362" s="212">
        <f t="shared" si="93"/>
        <v>2.76</v>
      </c>
      <c r="BY362" s="212">
        <f t="shared" si="92"/>
        <v>16.283999999999999</v>
      </c>
      <c r="BZ362" s="212">
        <f ca="1">IF(L362="BR",'Impostos e Frete'!$F$6,IF(L362="EU",'Impostos e Frete'!$I$3,IF(L362="CN",'Impostos e Frete'!$I$4,IF(L362="JP",'Impostos e Frete'!$I$5,IF(L362="RU",'Impostos e Frete'!$I$7,"ERRO")))))</f>
        <v>0.14176320000000001</v>
      </c>
      <c r="CA362" s="212">
        <f>VLOOKUP(L362,'Impostos e Frete'!$A$3:$B$7,2,0)*'Preços e Condições'!BY362</f>
        <v>2.1169199999999999</v>
      </c>
      <c r="CB362" s="147">
        <f t="shared" si="94"/>
        <v>0</v>
      </c>
      <c r="CC362" s="147">
        <f>IF(X362="BRL",'Impostos e Frete'!$B$11,'Impostos e Frete'!$B$12)</f>
        <v>9.1999999999999998E-2</v>
      </c>
      <c r="CD362" s="213">
        <f t="shared" ca="1" si="95"/>
        <v>18.634683199999998</v>
      </c>
      <c r="CE362" s="214">
        <f t="shared" ca="1" si="96"/>
        <v>1.2112544079999998</v>
      </c>
      <c r="CF362" s="215">
        <f>VLOOKUP(L362,'Impostos e Frete'!$A$3:$C$7,3,0)</f>
        <v>105</v>
      </c>
      <c r="CG362" s="215">
        <f t="shared" si="97"/>
        <v>120</v>
      </c>
      <c r="CH362" s="215">
        <f t="shared" si="98"/>
        <v>15</v>
      </c>
      <c r="CI362" s="216">
        <f t="shared" ca="1" si="99"/>
        <v>-0.13820722185191769</v>
      </c>
      <c r="CJ362" s="217">
        <f t="shared" ca="1" si="100"/>
        <v>18.49647597814808</v>
      </c>
      <c r="CK362" s="218">
        <f t="shared" ca="1" si="101"/>
        <v>1.2022709385796253</v>
      </c>
    </row>
    <row r="363" spans="1:89">
      <c r="A363" s="176">
        <v>17062</v>
      </c>
      <c r="B363" s="177">
        <v>8130</v>
      </c>
      <c r="C363" s="178">
        <v>70</v>
      </c>
      <c r="D363" s="178">
        <v>1870</v>
      </c>
      <c r="E363" s="178"/>
      <c r="F363" s="179" t="s">
        <v>47</v>
      </c>
      <c r="G363" s="185" t="s">
        <v>335</v>
      </c>
      <c r="H363" s="178" t="s">
        <v>42</v>
      </c>
      <c r="I363" s="178">
        <v>7936</v>
      </c>
      <c r="J363" s="178"/>
      <c r="K363" s="178"/>
      <c r="L363" s="178" t="s">
        <v>59</v>
      </c>
      <c r="M363" s="178">
        <v>120</v>
      </c>
      <c r="N363" s="178">
        <v>300</v>
      </c>
      <c r="O363" s="178"/>
      <c r="P363" s="178"/>
      <c r="Q363" s="178"/>
      <c r="R363" s="178" t="s">
        <v>19</v>
      </c>
      <c r="S363" s="181"/>
      <c r="T363" s="181"/>
      <c r="U363" s="182"/>
      <c r="V363" s="182" t="s">
        <v>35</v>
      </c>
      <c r="W363" s="183">
        <v>50</v>
      </c>
      <c r="X363" s="182" t="s">
        <v>51</v>
      </c>
      <c r="Y363" s="184"/>
      <c r="Z363" s="184"/>
      <c r="AA363" s="184"/>
      <c r="AB363" s="184"/>
      <c r="AC363" s="184"/>
      <c r="AD363" s="184"/>
      <c r="AE363" s="184"/>
      <c r="AF363" s="184"/>
      <c r="AG363" s="184"/>
      <c r="AH363" s="184"/>
      <c r="AI363" s="184"/>
      <c r="AJ363" s="184"/>
      <c r="AK363" s="184"/>
      <c r="AL363" s="184"/>
      <c r="AM363" s="184"/>
      <c r="AN363" s="184"/>
      <c r="AO363" s="184"/>
      <c r="AP363" s="184"/>
      <c r="AQ363" s="184"/>
      <c r="AR363" s="184"/>
      <c r="AS363" s="184"/>
      <c r="AT363" s="184"/>
      <c r="AU363" s="184"/>
      <c r="AV363" s="184"/>
      <c r="AW363" s="184"/>
      <c r="AX363" s="184"/>
      <c r="AY363" s="184"/>
      <c r="AZ363" s="184"/>
      <c r="BA363" s="184"/>
      <c r="BB363" s="184">
        <v>2680</v>
      </c>
      <c r="BC363" s="184">
        <v>2680</v>
      </c>
      <c r="BD363" s="184">
        <v>2680</v>
      </c>
      <c r="BE363" s="184">
        <v>2680</v>
      </c>
      <c r="BF363" s="184"/>
      <c r="BG363" s="184"/>
      <c r="BH363" s="184"/>
      <c r="BI363" s="184"/>
      <c r="BJ363" s="184"/>
      <c r="BK363" s="184"/>
      <c r="BL363" s="184"/>
      <c r="BM363" s="184"/>
      <c r="BN363" s="184"/>
      <c r="BO363" s="184"/>
      <c r="BP363" s="184"/>
      <c r="BQ363" s="184"/>
      <c r="BR363" s="184"/>
      <c r="BS363" s="184"/>
      <c r="BT363" s="184"/>
      <c r="BU363" s="146" cm="1">
        <f t="array" ref="BU363">LOOKUP(2,1/(Y363:BT363&lt;&gt;""),Y363:BH363)</f>
        <v>2680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45901</v>
      </c>
      <c r="BW363" s="211" t="e" cm="1">
        <f t="array" ref="BW363">(LOOKUP(2,1/(BH363:BT363&lt;&gt;""),BH363:BT363))/(INDEX(BH363:BT363,MATCH(TRUE,INDEX((BH363:BT363&lt;&gt;0),0),0)))-1</f>
        <v>#N/A</v>
      </c>
      <c r="BX363" s="212">
        <f t="shared" si="93"/>
        <v>2.68</v>
      </c>
      <c r="BY363" s="212">
        <f t="shared" si="92"/>
        <v>15.812000000000001</v>
      </c>
      <c r="BZ363" s="212">
        <f ca="1">IF(L363="BR",'Impostos e Frete'!$F$6,IF(L363="EU",'Impostos e Frete'!$I$3,IF(L363="CN",'Impostos e Frete'!$I$4,IF(L363="JP",'Impostos e Frete'!$I$5,IF(L363="RU",'Impostos e Frete'!$I$7,"ERRO")))))</f>
        <v>0.14176320000000001</v>
      </c>
      <c r="CA363" s="212">
        <f>VLOOKUP(L363,'Impostos e Frete'!$A$3:$B$7,2,0)*'Preços e Condições'!BY363</f>
        <v>2.0555600000000003</v>
      </c>
      <c r="CB363" s="147">
        <f t="shared" si="94"/>
        <v>0</v>
      </c>
      <c r="CC363" s="147">
        <f>IF(X363="BRL",'Impostos e Frete'!$B$11,'Impostos e Frete'!$B$12)</f>
        <v>9.1999999999999998E-2</v>
      </c>
      <c r="CD363" s="213">
        <f t="shared" ca="1" si="95"/>
        <v>18.1013232</v>
      </c>
      <c r="CE363" s="214">
        <f t="shared" ca="1" si="96"/>
        <v>1.2670926239999998</v>
      </c>
      <c r="CF363" s="215">
        <f>VLOOKUP(L363,'Impostos e Frete'!$A$3:$C$7,3,0)</f>
        <v>105</v>
      </c>
      <c r="CG363" s="215">
        <f t="shared" si="97"/>
        <v>120</v>
      </c>
      <c r="CH363" s="215">
        <f t="shared" si="98"/>
        <v>15</v>
      </c>
      <c r="CI363" s="216">
        <f t="shared" ca="1" si="99"/>
        <v>-0.13425146885865402</v>
      </c>
      <c r="CJ363" s="217">
        <f t="shared" ca="1" si="100"/>
        <v>17.967071731141345</v>
      </c>
      <c r="CK363" s="218">
        <f t="shared" ca="1" si="101"/>
        <v>1.2576950211798943</v>
      </c>
    </row>
    <row r="364" spans="1:89">
      <c r="A364" s="176">
        <v>17063</v>
      </c>
      <c r="B364" s="177">
        <v>5740</v>
      </c>
      <c r="C364" s="178">
        <v>70</v>
      </c>
      <c r="D364" s="178">
        <v>1870</v>
      </c>
      <c r="E364" s="178"/>
      <c r="F364" s="179" t="s">
        <v>47</v>
      </c>
      <c r="G364" s="185" t="s">
        <v>336</v>
      </c>
      <c r="H364" s="178" t="s">
        <v>63</v>
      </c>
      <c r="I364" s="178">
        <v>8522</v>
      </c>
      <c r="J364" s="178"/>
      <c r="K364" s="178"/>
      <c r="L364" s="178" t="s">
        <v>59</v>
      </c>
      <c r="M364" s="178">
        <v>120</v>
      </c>
      <c r="N364" s="178">
        <v>300</v>
      </c>
      <c r="O364" s="178"/>
      <c r="P364" s="178"/>
      <c r="Q364" s="178"/>
      <c r="R364" s="178" t="s">
        <v>19</v>
      </c>
      <c r="S364" s="181"/>
      <c r="T364" s="181"/>
      <c r="U364" s="182"/>
      <c r="V364" s="182" t="s">
        <v>35</v>
      </c>
      <c r="W364" s="183">
        <v>50</v>
      </c>
      <c r="X364" s="182" t="s">
        <v>51</v>
      </c>
      <c r="Y364" s="184"/>
      <c r="Z364" s="184"/>
      <c r="AA364" s="184"/>
      <c r="AB364" s="184"/>
      <c r="AC364" s="184"/>
      <c r="AD364" s="184"/>
      <c r="AE364" s="184"/>
      <c r="AF364" s="184"/>
      <c r="AG364" s="184"/>
      <c r="AH364" s="184"/>
      <c r="AI364" s="184"/>
      <c r="AJ364" s="184"/>
      <c r="AK364" s="184"/>
      <c r="AL364" s="184"/>
      <c r="AM364" s="184"/>
      <c r="AN364" s="184"/>
      <c r="AO364" s="184"/>
      <c r="AP364" s="184"/>
      <c r="AQ364" s="184"/>
      <c r="AR364" s="184"/>
      <c r="AS364" s="184"/>
      <c r="AT364" s="184"/>
      <c r="AU364" s="184"/>
      <c r="AV364" s="184"/>
      <c r="AW364" s="184"/>
      <c r="AX364" s="184"/>
      <c r="AY364" s="184"/>
      <c r="AZ364" s="184"/>
      <c r="BA364" s="184"/>
      <c r="BB364" s="184">
        <v>2680</v>
      </c>
      <c r="BC364" s="184">
        <v>2680</v>
      </c>
      <c r="BD364" s="184">
        <v>2680</v>
      </c>
      <c r="BE364" s="184">
        <v>2680</v>
      </c>
      <c r="BF364" s="184"/>
      <c r="BG364" s="184"/>
      <c r="BH364" s="184"/>
      <c r="BI364" s="184"/>
      <c r="BJ364" s="184"/>
      <c r="BK364" s="184"/>
      <c r="BL364" s="184"/>
      <c r="BM364" s="184"/>
      <c r="BN364" s="184"/>
      <c r="BO364" s="184"/>
      <c r="BP364" s="184"/>
      <c r="BQ364" s="184"/>
      <c r="BR364" s="184"/>
      <c r="BS364" s="184"/>
      <c r="BT364" s="184"/>
      <c r="BU364" s="146" cm="1">
        <f t="array" ref="BU364">LOOKUP(2,1/(Y364:BT364&lt;&gt;""),Y364:BH364)</f>
        <v>2680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45901</v>
      </c>
      <c r="BW364" s="211" t="e" cm="1">
        <f t="array" ref="BW364">(LOOKUP(2,1/(BH364:BT364&lt;&gt;""),BH364:BT364))/(INDEX(BH364:BT364,MATCH(TRUE,INDEX((BH364:BT364&lt;&gt;0),0),0)))-1</f>
        <v>#N/A</v>
      </c>
      <c r="BX364" s="212">
        <f t="shared" si="93"/>
        <v>2.68</v>
      </c>
      <c r="BY364" s="212">
        <f t="shared" si="92"/>
        <v>15.812000000000001</v>
      </c>
      <c r="BZ364" s="212">
        <f ca="1">IF(L364="BR",'Impostos e Frete'!$F$6,IF(L364="EU",'Impostos e Frete'!$I$3,IF(L364="CN",'Impostos e Frete'!$I$4,IF(L364="JP",'Impostos e Frete'!$I$5,IF(L364="RU",'Impostos e Frete'!$I$7,"ERRO")))))</f>
        <v>0.14176320000000001</v>
      </c>
      <c r="CA364" s="212">
        <f>VLOOKUP(L364,'Impostos e Frete'!$A$3:$B$7,2,0)*'Preços e Condições'!BY364</f>
        <v>2.0555600000000003</v>
      </c>
      <c r="CB364" s="147">
        <f t="shared" si="94"/>
        <v>0</v>
      </c>
      <c r="CC364" s="147">
        <f>IF(X364="BRL",'Impostos e Frete'!$B$11,'Impostos e Frete'!$B$12)</f>
        <v>9.1999999999999998E-2</v>
      </c>
      <c r="CD364" s="213">
        <f t="shared" ca="1" si="95"/>
        <v>18.1013232</v>
      </c>
      <c r="CE364" s="214">
        <f t="shared" ca="1" si="96"/>
        <v>1.2670926239999998</v>
      </c>
      <c r="CF364" s="215">
        <f>VLOOKUP(L364,'Impostos e Frete'!$A$3:$C$7,3,0)</f>
        <v>105</v>
      </c>
      <c r="CG364" s="215">
        <f t="shared" si="97"/>
        <v>120</v>
      </c>
      <c r="CH364" s="215">
        <f t="shared" si="98"/>
        <v>15</v>
      </c>
      <c r="CI364" s="216">
        <f t="shared" ca="1" si="99"/>
        <v>-0.13425146885865402</v>
      </c>
      <c r="CJ364" s="217">
        <f t="shared" ca="1" si="100"/>
        <v>17.967071731141345</v>
      </c>
      <c r="CK364" s="218">
        <f t="shared" ca="1" si="101"/>
        <v>1.2576950211798943</v>
      </c>
    </row>
    <row r="365" spans="1:89">
      <c r="A365" s="176">
        <v>17023</v>
      </c>
      <c r="B365" s="177">
        <v>8291</v>
      </c>
      <c r="C365" s="178">
        <v>72</v>
      </c>
      <c r="D365" s="178">
        <v>1870</v>
      </c>
      <c r="E365" s="178"/>
      <c r="F365" s="179" t="s">
        <v>47</v>
      </c>
      <c r="G365" s="185" t="s">
        <v>95</v>
      </c>
      <c r="H365" s="178" t="s">
        <v>43</v>
      </c>
      <c r="I365" s="178">
        <v>6723</v>
      </c>
      <c r="J365" s="178"/>
      <c r="K365" s="178"/>
      <c r="L365" s="178" t="s">
        <v>59</v>
      </c>
      <c r="M365" s="178">
        <v>120</v>
      </c>
      <c r="N365" s="178">
        <v>300</v>
      </c>
      <c r="O365" s="178"/>
      <c r="P365" s="178"/>
      <c r="Q365" s="178"/>
      <c r="R365" s="178" t="s">
        <v>19</v>
      </c>
      <c r="S365" s="181"/>
      <c r="T365" s="181"/>
      <c r="U365" s="182"/>
      <c r="V365" s="182" t="s">
        <v>35</v>
      </c>
      <c r="W365" s="183">
        <v>50</v>
      </c>
      <c r="X365" s="182" t="s">
        <v>51</v>
      </c>
      <c r="Y365" s="184">
        <v>2580</v>
      </c>
      <c r="Z365" s="184">
        <v>2580</v>
      </c>
      <c r="AA365" s="184">
        <v>2580</v>
      </c>
      <c r="AB365" s="184">
        <v>2580</v>
      </c>
      <c r="AC365" s="184">
        <v>2580</v>
      </c>
      <c r="AD365" s="184">
        <v>2580</v>
      </c>
      <c r="AE365" s="184">
        <v>2150</v>
      </c>
      <c r="AF365" s="184">
        <v>2150</v>
      </c>
      <c r="AG365" s="184">
        <v>2150</v>
      </c>
      <c r="AH365" s="184">
        <v>2000</v>
      </c>
      <c r="AI365" s="184">
        <v>2000</v>
      </c>
      <c r="AJ365" s="184">
        <v>2000</v>
      </c>
      <c r="AK365" s="184">
        <v>2060</v>
      </c>
      <c r="AL365" s="184">
        <v>2060</v>
      </c>
      <c r="AM365" s="184">
        <v>2060</v>
      </c>
      <c r="AN365" s="184">
        <v>2190</v>
      </c>
      <c r="AO365" s="184">
        <v>2190</v>
      </c>
      <c r="AP365" s="184">
        <v>2190</v>
      </c>
      <c r="AQ365" s="184">
        <v>2340</v>
      </c>
      <c r="AR365" s="184">
        <v>2340</v>
      </c>
      <c r="AS365" s="184">
        <v>2340</v>
      </c>
      <c r="AT365" s="184">
        <v>2340</v>
      </c>
      <c r="AU365" s="184">
        <v>2340</v>
      </c>
      <c r="AV365" s="184">
        <v>2340</v>
      </c>
      <c r="AW365" s="184">
        <v>2260</v>
      </c>
      <c r="AX365" s="184">
        <v>2260</v>
      </c>
      <c r="AY365" s="184">
        <v>2260</v>
      </c>
      <c r="AZ365" s="184">
        <v>2060</v>
      </c>
      <c r="BA365" s="184">
        <v>2060</v>
      </c>
      <c r="BB365" s="184">
        <v>2360</v>
      </c>
      <c r="BC365" s="184">
        <v>2360</v>
      </c>
      <c r="BD365" s="184">
        <v>2360</v>
      </c>
      <c r="BE365" s="184">
        <v>2360</v>
      </c>
      <c r="BF365" s="184">
        <v>2280</v>
      </c>
      <c r="BG365" s="184">
        <v>2280</v>
      </c>
      <c r="BH365" s="184">
        <v>2280</v>
      </c>
      <c r="BI365" s="184">
        <v>2310</v>
      </c>
      <c r="BJ365" s="184">
        <v>2310</v>
      </c>
      <c r="BK365" s="184">
        <v>2310</v>
      </c>
      <c r="BL365" s="184">
        <v>2410</v>
      </c>
      <c r="BM365" s="184">
        <v>2410</v>
      </c>
      <c r="BN365" s="184">
        <v>2410</v>
      </c>
      <c r="BO365" s="184"/>
      <c r="BP365" s="184"/>
      <c r="BQ365" s="184"/>
      <c r="BR365" s="184"/>
      <c r="BS365" s="184"/>
      <c r="BT365" s="184"/>
      <c r="BU365" s="146" cm="1">
        <f t="array" ref="BU365">LOOKUP(2,1/(Y365:BT365&lt;&gt;""),Y365:BH365)</f>
        <v>2410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46174</v>
      </c>
      <c r="BW365" s="211" cm="1">
        <f t="array" ref="BW365">(LOOKUP(2,1/(BH365:BT365&lt;&gt;""),BH365:BT365))/(INDEX(BH365:BT365,MATCH(TRUE,INDEX((BH365:BT365&lt;&gt;0),0),0)))-1</f>
        <v>5.7017543859649189E-2</v>
      </c>
      <c r="BX365" s="212">
        <f t="shared" si="93"/>
        <v>2.41</v>
      </c>
      <c r="BY365" s="212">
        <f t="shared" si="92"/>
        <v>14.219000000000001</v>
      </c>
      <c r="BZ365" s="212">
        <f ca="1">IF(L365="BR",'Impostos e Frete'!$F$6,IF(L365="EU",'Impostos e Frete'!$I$3,IF(L365="CN",'Impostos e Frete'!$I$4,IF(L365="JP",'Impostos e Frete'!$I$5,IF(L365="RU",'Impostos e Frete'!$I$7,"ERRO")))))</f>
        <v>0.14176320000000001</v>
      </c>
      <c r="CA365" s="212">
        <f>VLOOKUP(L365,'Impostos e Frete'!$A$3:$B$7,2,0)*'Preços e Condições'!BY365</f>
        <v>1.8484700000000003</v>
      </c>
      <c r="CB365" s="147">
        <f t="shared" si="94"/>
        <v>0</v>
      </c>
      <c r="CC365" s="147">
        <f>IF(X365="BRL",'Impostos e Frete'!$B$11,'Impostos e Frete'!$B$12)</f>
        <v>9.1999999999999998E-2</v>
      </c>
      <c r="CD365" s="213">
        <f t="shared" ca="1" si="95"/>
        <v>16.301233199999999</v>
      </c>
      <c r="CE365" s="214">
        <f t="shared" ca="1" si="96"/>
        <v>1.1736887903999997</v>
      </c>
      <c r="CF365" s="215">
        <f>VLOOKUP(L365,'Impostos e Frete'!$A$3:$C$7,3,0)</f>
        <v>105</v>
      </c>
      <c r="CG365" s="215">
        <f t="shared" si="97"/>
        <v>120</v>
      </c>
      <c r="CH365" s="215">
        <f t="shared" si="98"/>
        <v>15</v>
      </c>
      <c r="CI365" s="216">
        <f t="shared" ca="1" si="99"/>
        <v>-0.1209008025063838</v>
      </c>
      <c r="CJ365" s="217">
        <f t="shared" ca="1" si="100"/>
        <v>16.180332397493615</v>
      </c>
      <c r="CK365" s="218">
        <f t="shared" ca="1" si="101"/>
        <v>1.1649839326195404</v>
      </c>
    </row>
    <row r="366" spans="1:89">
      <c r="A366" s="176">
        <v>17023</v>
      </c>
      <c r="B366" s="177">
        <v>8291</v>
      </c>
      <c r="C366" s="178">
        <v>72</v>
      </c>
      <c r="D366" s="178">
        <v>1870</v>
      </c>
      <c r="E366" s="178"/>
      <c r="F366" s="179" t="s">
        <v>47</v>
      </c>
      <c r="G366" s="185" t="s">
        <v>95</v>
      </c>
      <c r="H366" s="178" t="s">
        <v>43</v>
      </c>
      <c r="I366" s="178">
        <v>6723</v>
      </c>
      <c r="J366" s="178"/>
      <c r="K366" s="178"/>
      <c r="L366" s="178" t="s">
        <v>59</v>
      </c>
      <c r="M366" s="178">
        <v>120</v>
      </c>
      <c r="N366" s="178">
        <v>300</v>
      </c>
      <c r="O366" s="178"/>
      <c r="P366" s="178"/>
      <c r="Q366" s="178"/>
      <c r="R366" s="178" t="s">
        <v>19</v>
      </c>
      <c r="S366" s="181"/>
      <c r="T366" s="181"/>
      <c r="U366" s="182"/>
      <c r="V366" s="182" t="s">
        <v>35</v>
      </c>
      <c r="W366" s="183">
        <v>30</v>
      </c>
      <c r="X366" s="182" t="s">
        <v>51</v>
      </c>
      <c r="Y366" s="184">
        <v>2630</v>
      </c>
      <c r="Z366" s="184">
        <v>2630</v>
      </c>
      <c r="AA366" s="184">
        <v>2630</v>
      </c>
      <c r="AB366" s="184">
        <v>2630</v>
      </c>
      <c r="AC366" s="184">
        <v>2630</v>
      </c>
      <c r="AD366" s="184">
        <v>2630</v>
      </c>
      <c r="AE366" s="184">
        <v>2200</v>
      </c>
      <c r="AF366" s="184">
        <v>2200</v>
      </c>
      <c r="AG366" s="184">
        <v>2200</v>
      </c>
      <c r="AH366" s="184">
        <v>2050</v>
      </c>
      <c r="AI366" s="184">
        <v>2050</v>
      </c>
      <c r="AJ366" s="184">
        <v>2050</v>
      </c>
      <c r="AK366" s="146">
        <f>AK365+50</f>
        <v>2110</v>
      </c>
      <c r="AL366" s="146">
        <f>AL365+50</f>
        <v>2110</v>
      </c>
      <c r="AM366" s="146">
        <f>AM365+50</f>
        <v>2110</v>
      </c>
      <c r="AN366" s="184">
        <v>2240</v>
      </c>
      <c r="AO366" s="184">
        <v>2240</v>
      </c>
      <c r="AP366" s="184">
        <v>2240</v>
      </c>
      <c r="AQ366" s="184">
        <v>2390</v>
      </c>
      <c r="AR366" s="184">
        <v>2390</v>
      </c>
      <c r="AS366" s="184">
        <v>2390</v>
      </c>
      <c r="AT366" s="184">
        <v>2390</v>
      </c>
      <c r="AU366" s="184">
        <v>2390</v>
      </c>
      <c r="AV366" s="184">
        <v>2390</v>
      </c>
      <c r="AW366" s="184">
        <v>2310</v>
      </c>
      <c r="AX366" s="184">
        <v>2310</v>
      </c>
      <c r="AY366" s="184">
        <v>2310</v>
      </c>
      <c r="AZ366" s="184">
        <v>2110</v>
      </c>
      <c r="BA366" s="184">
        <v>2110</v>
      </c>
      <c r="BB366" s="184">
        <v>2410</v>
      </c>
      <c r="BC366" s="184">
        <v>2410</v>
      </c>
      <c r="BD366" s="184">
        <v>2410</v>
      </c>
      <c r="BE366" s="184">
        <v>2410</v>
      </c>
      <c r="BF366" s="184">
        <v>2330</v>
      </c>
      <c r="BG366" s="184">
        <v>2330</v>
      </c>
      <c r="BH366" s="184">
        <v>2330</v>
      </c>
      <c r="BI366" s="184"/>
      <c r="BJ366" s="184"/>
      <c r="BK366" s="184"/>
      <c r="BL366" s="184"/>
      <c r="BM366" s="184"/>
      <c r="BN366" s="184"/>
      <c r="BO366" s="184"/>
      <c r="BP366" s="184"/>
      <c r="BQ366" s="184"/>
      <c r="BR366" s="184"/>
      <c r="BS366" s="184"/>
      <c r="BT366" s="184"/>
      <c r="BU366" s="146" cm="1">
        <f t="array" ref="BU366">LOOKUP(2,1/(Y366:BT366&lt;&gt;""),Y366:BH366)</f>
        <v>2330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45992</v>
      </c>
      <c r="BW366" s="211" cm="1">
        <f t="array" ref="BW366">(LOOKUP(2,1/(BH366:BT366&lt;&gt;""),BH366:BT366))/(INDEX(BH366:BT366,MATCH(TRUE,INDEX((BH366:BT366&lt;&gt;0),0),0)))-1</f>
        <v>0</v>
      </c>
      <c r="BX366" s="212">
        <f t="shared" si="93"/>
        <v>2.33</v>
      </c>
      <c r="BY366" s="212">
        <f t="shared" si="92"/>
        <v>13.747000000000002</v>
      </c>
      <c r="BZ366" s="212">
        <f ca="1">IF(L366="BR",'Impostos e Frete'!$F$6,IF(L366="EU",'Impostos e Frete'!$I$3,IF(L366="CN",'Impostos e Frete'!$I$4,IF(L366="JP",'Impostos e Frete'!$I$5,IF(L366="RU",'Impostos e Frete'!$I$7,"ERRO")))))</f>
        <v>0.14176320000000001</v>
      </c>
      <c r="CA366" s="212">
        <f>VLOOKUP(L366,'Impostos e Frete'!$A$3:$B$7,2,0)*'Preços e Condições'!BY366</f>
        <v>1.7871100000000002</v>
      </c>
      <c r="CB366" s="147">
        <f t="shared" si="94"/>
        <v>0</v>
      </c>
      <c r="CC366" s="147">
        <f>IF(X366="BRL",'Impostos e Frete'!$B$11,'Impostos e Frete'!$B$12)</f>
        <v>9.1999999999999998E-2</v>
      </c>
      <c r="CD366" s="213">
        <f t="shared" ca="1" si="95"/>
        <v>15.767873200000002</v>
      </c>
      <c r="CE366" s="214">
        <f t="shared" ca="1" si="96"/>
        <v>1.1352868704000001</v>
      </c>
      <c r="CF366" s="215">
        <f>VLOOKUP(L366,'Impostos e Frete'!$A$3:$C$7,3,0)</f>
        <v>105</v>
      </c>
      <c r="CG366" s="215">
        <f t="shared" si="97"/>
        <v>120</v>
      </c>
      <c r="CH366" s="215">
        <f t="shared" si="98"/>
        <v>15</v>
      </c>
      <c r="CI366" s="216">
        <f t="shared" ca="1" si="99"/>
        <v>-0.11694504951312013</v>
      </c>
      <c r="CJ366" s="217">
        <f t="shared" ca="1" si="100"/>
        <v>15.650928150486882</v>
      </c>
      <c r="CK366" s="218">
        <f t="shared" ca="1" si="101"/>
        <v>1.1268668268350555</v>
      </c>
    </row>
    <row r="367" spans="1:89">
      <c r="A367" s="176">
        <v>17023</v>
      </c>
      <c r="B367" s="177">
        <v>8291</v>
      </c>
      <c r="C367" s="178">
        <v>72</v>
      </c>
      <c r="D367" s="178">
        <v>1870</v>
      </c>
      <c r="E367" s="178"/>
      <c r="F367" s="179" t="s">
        <v>47</v>
      </c>
      <c r="G367" s="185" t="s">
        <v>95</v>
      </c>
      <c r="H367" s="178" t="s">
        <v>43</v>
      </c>
      <c r="I367" s="178">
        <v>6723</v>
      </c>
      <c r="J367" s="178"/>
      <c r="K367" s="178"/>
      <c r="L367" s="178" t="s">
        <v>59</v>
      </c>
      <c r="M367" s="178">
        <v>120</v>
      </c>
      <c r="N367" s="178">
        <v>300</v>
      </c>
      <c r="O367" s="178"/>
      <c r="P367" s="178"/>
      <c r="Q367" s="178"/>
      <c r="R367" s="178" t="s">
        <v>19</v>
      </c>
      <c r="S367" s="181"/>
      <c r="T367" s="181"/>
      <c r="U367" s="182"/>
      <c r="V367" s="182" t="s">
        <v>35</v>
      </c>
      <c r="W367" s="183">
        <v>20</v>
      </c>
      <c r="X367" s="182" t="s">
        <v>51</v>
      </c>
      <c r="Y367" s="184">
        <v>2680</v>
      </c>
      <c r="Z367" s="184">
        <v>2680</v>
      </c>
      <c r="AA367" s="184">
        <v>2680</v>
      </c>
      <c r="AB367" s="184">
        <v>2680</v>
      </c>
      <c r="AC367" s="184">
        <v>2680</v>
      </c>
      <c r="AD367" s="184">
        <v>2680</v>
      </c>
      <c r="AE367" s="184">
        <v>2250</v>
      </c>
      <c r="AF367" s="184">
        <v>2250</v>
      </c>
      <c r="AG367" s="184">
        <v>2250</v>
      </c>
      <c r="AH367" s="184">
        <v>2100</v>
      </c>
      <c r="AI367" s="184">
        <v>2100</v>
      </c>
      <c r="AJ367" s="184">
        <v>2100</v>
      </c>
      <c r="AK367" s="146">
        <f>AK365+100</f>
        <v>2160</v>
      </c>
      <c r="AL367" s="146">
        <f>AL365+100</f>
        <v>2160</v>
      </c>
      <c r="AM367" s="146">
        <f>AM365+100</f>
        <v>2160</v>
      </c>
      <c r="AN367" s="184">
        <v>2290</v>
      </c>
      <c r="AO367" s="184">
        <v>2290</v>
      </c>
      <c r="AP367" s="184">
        <v>2290</v>
      </c>
      <c r="AQ367" s="184">
        <v>2440</v>
      </c>
      <c r="AR367" s="184">
        <v>2440</v>
      </c>
      <c r="AS367" s="184">
        <v>2440</v>
      </c>
      <c r="AT367" s="184">
        <v>2440</v>
      </c>
      <c r="AU367" s="184">
        <v>2440</v>
      </c>
      <c r="AV367" s="184">
        <v>2440</v>
      </c>
      <c r="AW367" s="184">
        <v>2360</v>
      </c>
      <c r="AX367" s="184">
        <v>2360</v>
      </c>
      <c r="AY367" s="184">
        <v>2360</v>
      </c>
      <c r="AZ367" s="184">
        <v>2160</v>
      </c>
      <c r="BA367" s="184">
        <v>2160</v>
      </c>
      <c r="BB367" s="184">
        <v>2460</v>
      </c>
      <c r="BC367" s="184">
        <v>2460</v>
      </c>
      <c r="BD367" s="184">
        <v>2460</v>
      </c>
      <c r="BE367" s="184">
        <v>2460</v>
      </c>
      <c r="BF367" s="184">
        <v>2380</v>
      </c>
      <c r="BG367" s="184">
        <v>2380</v>
      </c>
      <c r="BH367" s="184">
        <v>2380</v>
      </c>
      <c r="BI367" s="184"/>
      <c r="BJ367" s="184"/>
      <c r="BK367" s="184"/>
      <c r="BL367" s="184"/>
      <c r="BM367" s="184"/>
      <c r="BN367" s="184"/>
      <c r="BO367" s="184"/>
      <c r="BP367" s="184"/>
      <c r="BQ367" s="184"/>
      <c r="BR367" s="184"/>
      <c r="BS367" s="184"/>
      <c r="BT367" s="184"/>
      <c r="BU367" s="146" cm="1">
        <f t="array" ref="BU367">LOOKUP(2,1/(Y367:BT367&lt;&gt;""),Y367:BH367)</f>
        <v>2380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45992</v>
      </c>
      <c r="BW367" s="211" cm="1">
        <f t="array" ref="BW367">(LOOKUP(2,1/(BH367:BT367&lt;&gt;""),BH367:BT367))/(INDEX(BH367:BT367,MATCH(TRUE,INDEX((BH367:BT367&lt;&gt;0),0),0)))-1</f>
        <v>0</v>
      </c>
      <c r="BX367" s="212">
        <f t="shared" si="93"/>
        <v>2.38</v>
      </c>
      <c r="BY367" s="212">
        <f t="shared" si="92"/>
        <v>14.042</v>
      </c>
      <c r="BZ367" s="212">
        <f ca="1">IF(L367="BR",'Impostos e Frete'!$F$6,IF(L367="EU",'Impostos e Frete'!$I$3,IF(L367="CN",'Impostos e Frete'!$I$4,IF(L367="JP",'Impostos e Frete'!$I$5,IF(L367="RU",'Impostos e Frete'!$I$7,"ERRO")))))</f>
        <v>0.14176320000000001</v>
      </c>
      <c r="CA367" s="212">
        <f>VLOOKUP(L367,'Impostos e Frete'!$A$3:$B$7,2,0)*'Preços e Condições'!BY367</f>
        <v>1.8254600000000001</v>
      </c>
      <c r="CB367" s="147">
        <f t="shared" si="94"/>
        <v>0</v>
      </c>
      <c r="CC367" s="147">
        <f>IF(X367="BRL",'Impostos e Frete'!$B$11,'Impostos e Frete'!$B$12)</f>
        <v>9.1999999999999998E-2</v>
      </c>
      <c r="CD367" s="213">
        <f t="shared" ca="1" si="95"/>
        <v>16.1012232</v>
      </c>
      <c r="CE367" s="214">
        <f t="shared" ca="1" si="96"/>
        <v>1.1592880704000001</v>
      </c>
      <c r="CF367" s="215">
        <f>VLOOKUP(L367,'Impostos e Frete'!$A$3:$C$7,3,0)</f>
        <v>105</v>
      </c>
      <c r="CG367" s="215">
        <f t="shared" si="97"/>
        <v>120</v>
      </c>
      <c r="CH367" s="215">
        <f t="shared" si="98"/>
        <v>15</v>
      </c>
      <c r="CI367" s="216">
        <f t="shared" ca="1" si="99"/>
        <v>-0.11941739513390992</v>
      </c>
      <c r="CJ367" s="217">
        <f t="shared" ca="1" si="100"/>
        <v>15.98180580486609</v>
      </c>
      <c r="CK367" s="218">
        <f t="shared" ca="1" si="101"/>
        <v>1.1506900179503583</v>
      </c>
    </row>
    <row r="368" spans="1:89">
      <c r="A368" s="176">
        <v>17023</v>
      </c>
      <c r="B368" s="177">
        <v>8291</v>
      </c>
      <c r="C368" s="178">
        <v>72</v>
      </c>
      <c r="D368" s="178">
        <v>1870</v>
      </c>
      <c r="E368" s="178"/>
      <c r="F368" s="179" t="s">
        <v>47</v>
      </c>
      <c r="G368" s="185" t="s">
        <v>95</v>
      </c>
      <c r="H368" s="178" t="s">
        <v>43</v>
      </c>
      <c r="I368" s="178">
        <v>6723</v>
      </c>
      <c r="J368" s="178"/>
      <c r="K368" s="178"/>
      <c r="L368" s="178" t="s">
        <v>59</v>
      </c>
      <c r="M368" s="178">
        <v>120</v>
      </c>
      <c r="N368" s="178">
        <v>300</v>
      </c>
      <c r="O368" s="178"/>
      <c r="P368" s="178"/>
      <c r="Q368" s="178"/>
      <c r="R368" s="178" t="s">
        <v>19</v>
      </c>
      <c r="S368" s="181"/>
      <c r="T368" s="181"/>
      <c r="U368" s="182"/>
      <c r="V368" s="182" t="s">
        <v>35</v>
      </c>
      <c r="W368" s="183">
        <v>10</v>
      </c>
      <c r="X368" s="182" t="s">
        <v>51</v>
      </c>
      <c r="Y368" s="184">
        <v>2760</v>
      </c>
      <c r="Z368" s="184">
        <v>2760</v>
      </c>
      <c r="AA368" s="184">
        <v>2760</v>
      </c>
      <c r="AB368" s="184">
        <v>2760</v>
      </c>
      <c r="AC368" s="184">
        <v>2760</v>
      </c>
      <c r="AD368" s="184">
        <v>2760</v>
      </c>
      <c r="AE368" s="184">
        <v>2330</v>
      </c>
      <c r="AF368" s="184">
        <v>2330</v>
      </c>
      <c r="AG368" s="184">
        <v>2330</v>
      </c>
      <c r="AH368" s="184">
        <v>2180</v>
      </c>
      <c r="AI368" s="184">
        <v>2180</v>
      </c>
      <c r="AJ368" s="184">
        <v>2180</v>
      </c>
      <c r="AK368" s="146">
        <f>AK365+180</f>
        <v>2240</v>
      </c>
      <c r="AL368" s="146">
        <f>AL365+180</f>
        <v>2240</v>
      </c>
      <c r="AM368" s="146">
        <f>AM365+180</f>
        <v>2240</v>
      </c>
      <c r="AN368" s="184">
        <v>2370</v>
      </c>
      <c r="AO368" s="184">
        <v>2370</v>
      </c>
      <c r="AP368" s="184">
        <v>2370</v>
      </c>
      <c r="AQ368" s="184">
        <v>2520</v>
      </c>
      <c r="AR368" s="184">
        <v>2520</v>
      </c>
      <c r="AS368" s="184">
        <v>2520</v>
      </c>
      <c r="AT368" s="184">
        <v>2520</v>
      </c>
      <c r="AU368" s="184">
        <v>2520</v>
      </c>
      <c r="AV368" s="184">
        <v>2520</v>
      </c>
      <c r="AW368" s="184">
        <v>2440</v>
      </c>
      <c r="AX368" s="184">
        <v>2440</v>
      </c>
      <c r="AY368" s="184">
        <v>2440</v>
      </c>
      <c r="AZ368" s="184">
        <v>2240</v>
      </c>
      <c r="BA368" s="184">
        <v>2240</v>
      </c>
      <c r="BB368" s="184">
        <v>2540</v>
      </c>
      <c r="BC368" s="184">
        <v>2540</v>
      </c>
      <c r="BD368" s="184">
        <v>2540</v>
      </c>
      <c r="BE368" s="184">
        <v>2540</v>
      </c>
      <c r="BF368" s="184">
        <v>2460</v>
      </c>
      <c r="BG368" s="184">
        <v>2460</v>
      </c>
      <c r="BH368" s="184">
        <v>2460</v>
      </c>
      <c r="BI368" s="184"/>
      <c r="BJ368" s="184"/>
      <c r="BK368" s="184"/>
      <c r="BL368" s="184"/>
      <c r="BM368" s="184"/>
      <c r="BN368" s="184"/>
      <c r="BO368" s="184"/>
      <c r="BP368" s="184"/>
      <c r="BQ368" s="184"/>
      <c r="BR368" s="184"/>
      <c r="BS368" s="184"/>
      <c r="BT368" s="184"/>
      <c r="BU368" s="146" cm="1">
        <f t="array" ref="BU368">LOOKUP(2,1/(Y368:BT368&lt;&gt;""),Y368:BH368)</f>
        <v>2460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45992</v>
      </c>
      <c r="BW368" s="211" cm="1">
        <f t="array" ref="BW368">(LOOKUP(2,1/(BH368:BT368&lt;&gt;""),BH368:BT368))/(INDEX(BH368:BT368,MATCH(TRUE,INDEX((BH368:BT368&lt;&gt;0),0),0)))-1</f>
        <v>0</v>
      </c>
      <c r="BX368" s="212">
        <f t="shared" si="93"/>
        <v>2.46</v>
      </c>
      <c r="BY368" s="212">
        <f t="shared" si="92"/>
        <v>14.514000000000001</v>
      </c>
      <c r="BZ368" s="212">
        <f ca="1">IF(L368="BR",'Impostos e Frete'!$F$6,IF(L368="EU",'Impostos e Frete'!$I$3,IF(L368="CN",'Impostos e Frete'!$I$4,IF(L368="JP",'Impostos e Frete'!$I$5,IF(L368="RU",'Impostos e Frete'!$I$7,"ERRO")))))</f>
        <v>0.14176320000000001</v>
      </c>
      <c r="CA368" s="212">
        <f>VLOOKUP(L368,'Impostos e Frete'!$A$3:$B$7,2,0)*'Preços e Condições'!BY368</f>
        <v>1.8868200000000002</v>
      </c>
      <c r="CB368" s="147">
        <f t="shared" si="94"/>
        <v>0</v>
      </c>
      <c r="CC368" s="147">
        <f>IF(X368="BRL",'Impostos e Frete'!$B$11,'Impostos e Frete'!$B$12)</f>
        <v>9.1999999999999998E-2</v>
      </c>
      <c r="CD368" s="213">
        <f t="shared" ca="1" si="95"/>
        <v>16.634583200000002</v>
      </c>
      <c r="CE368" s="214">
        <f t="shared" ca="1" si="96"/>
        <v>1.1976899904</v>
      </c>
      <c r="CF368" s="215">
        <f>VLOOKUP(L368,'Impostos e Frete'!$A$3:$C$7,3,0)</f>
        <v>105</v>
      </c>
      <c r="CG368" s="215">
        <f t="shared" si="97"/>
        <v>120</v>
      </c>
      <c r="CH368" s="215">
        <f t="shared" si="98"/>
        <v>15</v>
      </c>
      <c r="CI368" s="216">
        <f t="shared" ca="1" si="99"/>
        <v>-0.12337314812717537</v>
      </c>
      <c r="CJ368" s="217">
        <f t="shared" ca="1" si="100"/>
        <v>16.511210051872826</v>
      </c>
      <c r="CK368" s="218">
        <f t="shared" ca="1" si="101"/>
        <v>1.1888071237348437</v>
      </c>
    </row>
    <row r="369" spans="1:89">
      <c r="A369" s="176">
        <v>11205</v>
      </c>
      <c r="B369" s="177">
        <v>3222</v>
      </c>
      <c r="C369" s="178">
        <v>80</v>
      </c>
      <c r="D369" s="178">
        <v>1830</v>
      </c>
      <c r="E369" s="178" t="s">
        <v>49</v>
      </c>
      <c r="F369" s="179" t="s">
        <v>47</v>
      </c>
      <c r="G369" s="185" t="s">
        <v>143</v>
      </c>
      <c r="H369" s="178" t="s">
        <v>66</v>
      </c>
      <c r="I369" s="178">
        <v>3222</v>
      </c>
      <c r="J369" s="178"/>
      <c r="K369" s="178"/>
      <c r="L369" s="178" t="s">
        <v>59</v>
      </c>
      <c r="M369" s="178">
        <v>120</v>
      </c>
      <c r="N369" s="178">
        <v>300</v>
      </c>
      <c r="O369" s="178"/>
      <c r="P369" s="178"/>
      <c r="Q369" s="178"/>
      <c r="R369" s="178" t="s">
        <v>19</v>
      </c>
      <c r="S369" s="181"/>
      <c r="T369" s="181"/>
      <c r="U369" s="182"/>
      <c r="V369" s="182" t="s">
        <v>35</v>
      </c>
      <c r="W369" s="183"/>
      <c r="X369" s="182" t="s">
        <v>51</v>
      </c>
      <c r="Y369" s="184"/>
      <c r="Z369" s="184"/>
      <c r="AA369" s="184"/>
      <c r="AB369" s="184">
        <v>2680</v>
      </c>
      <c r="AC369" s="184">
        <v>2680</v>
      </c>
      <c r="AD369" s="184">
        <v>2680</v>
      </c>
      <c r="AE369" s="184"/>
      <c r="AF369" s="184"/>
      <c r="AG369" s="184"/>
      <c r="AH369" s="184">
        <v>2110</v>
      </c>
      <c r="AI369" s="184">
        <v>2110</v>
      </c>
      <c r="AJ369" s="184">
        <v>2110</v>
      </c>
      <c r="AK369" s="184"/>
      <c r="AL369" s="184"/>
      <c r="AM369" s="184"/>
      <c r="AN369" s="184"/>
      <c r="AO369" s="184"/>
      <c r="AP369" s="184">
        <v>2330</v>
      </c>
      <c r="AQ369" s="184"/>
      <c r="AR369" s="184"/>
      <c r="AS369" s="184"/>
      <c r="AT369" s="184">
        <v>2540</v>
      </c>
      <c r="AU369" s="184">
        <v>2540</v>
      </c>
      <c r="AV369" s="184">
        <v>2540</v>
      </c>
      <c r="AW369" s="184">
        <v>2540</v>
      </c>
      <c r="AX369" s="184">
        <v>2540</v>
      </c>
      <c r="AY369" s="184">
        <v>2540</v>
      </c>
      <c r="AZ369" s="184">
        <v>2320</v>
      </c>
      <c r="BA369" s="184">
        <v>2320</v>
      </c>
      <c r="BB369" s="184">
        <v>2320</v>
      </c>
      <c r="BC369" s="184"/>
      <c r="BD369" s="184"/>
      <c r="BE369" s="184"/>
      <c r="BF369" s="184"/>
      <c r="BG369" s="184"/>
      <c r="BH369" s="184"/>
      <c r="BI369" s="184"/>
      <c r="BJ369" s="184"/>
      <c r="BK369" s="184"/>
      <c r="BL369" s="184"/>
      <c r="BM369" s="184"/>
      <c r="BN369" s="184"/>
      <c r="BO369" s="184"/>
      <c r="BP369" s="184"/>
      <c r="BQ369" s="184"/>
      <c r="BR369" s="184"/>
      <c r="BS369" s="184"/>
      <c r="BT369" s="184"/>
      <c r="BU369" s="146" cm="1">
        <f t="array" ref="BU369">LOOKUP(2,1/(Y369:BT369&lt;&gt;""),Y369:BH369)</f>
        <v>2320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45809</v>
      </c>
      <c r="BW369" s="211" t="e" cm="1">
        <f t="array" ref="BW369">(LOOKUP(2,1/(BH369:BT369&lt;&gt;""),BH369:BT369))/(INDEX(BH369:BT369,MATCH(TRUE,INDEX((BH369:BT369&lt;&gt;0),0),0)))-1</f>
        <v>#N/A</v>
      </c>
      <c r="BX369" s="212">
        <f t="shared" si="93"/>
        <v>2.3199999999999998</v>
      </c>
      <c r="BY369" s="212">
        <f t="shared" si="92"/>
        <v>13.688000000000001</v>
      </c>
      <c r="BZ369" s="212">
        <f ca="1">IF(L369="BR",'Impostos e Frete'!$F$6,IF(L369="EU",'Impostos e Frete'!$I$3,IF(L369="CN",'Impostos e Frete'!$I$4,IF(L369="JP",'Impostos e Frete'!$I$5,IF(L369="RU",'Impostos e Frete'!$I$7,"ERRO")))))</f>
        <v>0.14176320000000001</v>
      </c>
      <c r="CA369" s="212">
        <f>VLOOKUP(L369,'Impostos e Frete'!$A$3:$B$7,2,0)*'Preços e Condições'!BY369</f>
        <v>1.7794400000000001</v>
      </c>
      <c r="CB369" s="147">
        <f t="shared" si="94"/>
        <v>0</v>
      </c>
      <c r="CC369" s="147">
        <f>IF(X369="BRL",'Impostos e Frete'!$B$11,'Impostos e Frete'!$B$12)</f>
        <v>9.1999999999999998E-2</v>
      </c>
      <c r="CD369" s="213">
        <f t="shared" ca="1" si="95"/>
        <v>15.7012032</v>
      </c>
      <c r="CE369" s="214">
        <f t="shared" ca="1" si="96"/>
        <v>1.256096256</v>
      </c>
      <c r="CF369" s="215">
        <f>VLOOKUP(L369,'Impostos e Frete'!$A$3:$C$7,3,0)</f>
        <v>105</v>
      </c>
      <c r="CG369" s="215">
        <f t="shared" si="97"/>
        <v>120</v>
      </c>
      <c r="CH369" s="215">
        <f t="shared" si="98"/>
        <v>15</v>
      </c>
      <c r="CI369" s="216">
        <f t="shared" ca="1" si="99"/>
        <v>-0.11645058038896217</v>
      </c>
      <c r="CJ369" s="217">
        <f t="shared" ca="1" si="100"/>
        <v>15.584752619611038</v>
      </c>
      <c r="CK369" s="218">
        <f t="shared" ca="1" si="101"/>
        <v>1.2467802095688831</v>
      </c>
    </row>
    <row r="370" spans="1:89">
      <c r="A370" s="176">
        <v>11207</v>
      </c>
      <c r="B370" s="177">
        <v>3222</v>
      </c>
      <c r="C370" s="178">
        <v>70</v>
      </c>
      <c r="D370" s="178">
        <v>1840</v>
      </c>
      <c r="E370" s="178" t="s">
        <v>49</v>
      </c>
      <c r="F370" s="179" t="s">
        <v>47</v>
      </c>
      <c r="G370" s="185" t="s">
        <v>143</v>
      </c>
      <c r="H370" s="178" t="s">
        <v>66</v>
      </c>
      <c r="I370" s="178">
        <v>3222</v>
      </c>
      <c r="J370" s="178"/>
      <c r="K370" s="178"/>
      <c r="L370" s="178" t="s">
        <v>59</v>
      </c>
      <c r="M370" s="178">
        <v>120</v>
      </c>
      <c r="N370" s="178">
        <v>300</v>
      </c>
      <c r="O370" s="178"/>
      <c r="P370" s="178"/>
      <c r="Q370" s="178"/>
      <c r="R370" s="178" t="s">
        <v>19</v>
      </c>
      <c r="S370" s="181"/>
      <c r="T370" s="181"/>
      <c r="U370" s="182"/>
      <c r="V370" s="182" t="s">
        <v>35</v>
      </c>
      <c r="W370" s="183"/>
      <c r="X370" s="182" t="s">
        <v>51</v>
      </c>
      <c r="Y370" s="184"/>
      <c r="Z370" s="184"/>
      <c r="AA370" s="184"/>
      <c r="AB370" s="184"/>
      <c r="AC370" s="184"/>
      <c r="AD370" s="184"/>
      <c r="AE370" s="184"/>
      <c r="AF370" s="184"/>
      <c r="AG370" s="184"/>
      <c r="AH370" s="184">
        <v>2210</v>
      </c>
      <c r="AI370" s="184">
        <v>2210</v>
      </c>
      <c r="AJ370" s="184">
        <v>2210</v>
      </c>
      <c r="AK370" s="184"/>
      <c r="AL370" s="184"/>
      <c r="AM370" s="184"/>
      <c r="AN370" s="184"/>
      <c r="AO370" s="184"/>
      <c r="AP370" s="184"/>
      <c r="AQ370" s="184"/>
      <c r="AR370" s="184"/>
      <c r="AS370" s="184"/>
      <c r="AT370" s="184"/>
      <c r="AU370" s="184"/>
      <c r="AV370" s="184"/>
      <c r="AW370" s="184"/>
      <c r="AX370" s="184"/>
      <c r="AY370" s="184"/>
      <c r="AZ370" s="184"/>
      <c r="BA370" s="184"/>
      <c r="BB370" s="184"/>
      <c r="BC370" s="184"/>
      <c r="BD370" s="184"/>
      <c r="BE370" s="184"/>
      <c r="BF370" s="184"/>
      <c r="BG370" s="184"/>
      <c r="BH370" s="184"/>
      <c r="BI370" s="184"/>
      <c r="BJ370" s="184"/>
      <c r="BK370" s="184"/>
      <c r="BL370" s="184"/>
      <c r="BM370" s="184"/>
      <c r="BN370" s="184"/>
      <c r="BO370" s="184"/>
      <c r="BP370" s="184"/>
      <c r="BQ370" s="184"/>
      <c r="BR370" s="184"/>
      <c r="BS370" s="184"/>
      <c r="BT370" s="184"/>
      <c r="BU370" s="146" cm="1">
        <f t="array" ref="BU370">LOOKUP(2,1/(Y370:BT370&lt;&gt;""),Y370:BH370)</f>
        <v>2210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45261</v>
      </c>
      <c r="BW370" s="211" t="e" cm="1">
        <f t="array" ref="BW370">(LOOKUP(2,1/(BH370:BT370&lt;&gt;""),BH370:BT370))/(INDEX(BH370:BT370,MATCH(TRUE,INDEX((BH370:BT370&lt;&gt;0),0),0)))-1</f>
        <v>#N/A</v>
      </c>
      <c r="BX370" s="212">
        <f t="shared" si="93"/>
        <v>2.21</v>
      </c>
      <c r="BY370" s="212">
        <f t="shared" si="92"/>
        <v>13.039</v>
      </c>
      <c r="BZ370" s="212">
        <f ca="1">IF(L370="BR",'Impostos e Frete'!$F$6,IF(L370="EU",'Impostos e Frete'!$I$3,IF(L370="CN",'Impostos e Frete'!$I$4,IF(L370="JP",'Impostos e Frete'!$I$5,IF(L370="RU",'Impostos e Frete'!$I$7,"ERRO")))))</f>
        <v>0.14176320000000001</v>
      </c>
      <c r="CA370" s="212">
        <f>VLOOKUP(L370,'Impostos e Frete'!$A$3:$B$7,2,0)*'Preços e Condições'!BY370</f>
        <v>1.6950700000000001</v>
      </c>
      <c r="CB370" s="147">
        <f t="shared" si="94"/>
        <v>0</v>
      </c>
      <c r="CC370" s="147">
        <f>IF(X370="BRL",'Impostos e Frete'!$B$11,'Impostos e Frete'!$B$12)</f>
        <v>9.1999999999999998E-2</v>
      </c>
      <c r="CD370" s="213">
        <f t="shared" ca="1" si="95"/>
        <v>14.967833199999999</v>
      </c>
      <c r="CE370" s="214">
        <f t="shared" ca="1" si="96"/>
        <v>1.0477483239999998</v>
      </c>
      <c r="CF370" s="215">
        <f>VLOOKUP(L370,'Impostos e Frete'!$A$3:$C$7,3,0)</f>
        <v>105</v>
      </c>
      <c r="CG370" s="215">
        <f t="shared" si="97"/>
        <v>120</v>
      </c>
      <c r="CH370" s="215">
        <f t="shared" si="98"/>
        <v>15</v>
      </c>
      <c r="CI370" s="216">
        <f t="shared" ca="1" si="99"/>
        <v>-0.11101142002322284</v>
      </c>
      <c r="CJ370" s="217">
        <f t="shared" ca="1" si="100"/>
        <v>14.856821779976777</v>
      </c>
      <c r="CK370" s="218">
        <f t="shared" ca="1" si="101"/>
        <v>1.0399775245983744</v>
      </c>
    </row>
    <row r="371" spans="1:89">
      <c r="A371" s="176">
        <v>11305</v>
      </c>
      <c r="B371" s="177">
        <v>8222</v>
      </c>
      <c r="C371" s="178">
        <v>80</v>
      </c>
      <c r="D371" s="178">
        <v>1840</v>
      </c>
      <c r="E371" s="178"/>
      <c r="F371" s="179" t="s">
        <v>47</v>
      </c>
      <c r="G371" s="185" t="s">
        <v>234</v>
      </c>
      <c r="H371" s="178" t="s">
        <v>66</v>
      </c>
      <c r="I371" s="178">
        <v>8222</v>
      </c>
      <c r="J371" s="178"/>
      <c r="K371" s="178"/>
      <c r="L371" s="178" t="s">
        <v>59</v>
      </c>
      <c r="M371" s="178">
        <v>120</v>
      </c>
      <c r="N371" s="178">
        <v>300</v>
      </c>
      <c r="O371" s="178"/>
      <c r="P371" s="178"/>
      <c r="Q371" s="178"/>
      <c r="R371" s="178" t="s">
        <v>19</v>
      </c>
      <c r="S371" s="181"/>
      <c r="T371" s="181"/>
      <c r="U371" s="182"/>
      <c r="V371" s="182" t="s">
        <v>35</v>
      </c>
      <c r="W371" s="183">
        <v>100</v>
      </c>
      <c r="X371" s="182" t="s">
        <v>51</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v>2470</v>
      </c>
      <c r="BA371" s="184">
        <v>2470</v>
      </c>
      <c r="BB371" s="184">
        <v>2470</v>
      </c>
      <c r="BC371" s="184"/>
      <c r="BD371" s="184"/>
      <c r="BE371" s="184"/>
      <c r="BF371" s="184"/>
      <c r="BG371" s="184"/>
      <c r="BH371" s="184"/>
      <c r="BI371" s="184"/>
      <c r="BJ371" s="184"/>
      <c r="BK371" s="184"/>
      <c r="BL371" s="184"/>
      <c r="BM371" s="184"/>
      <c r="BN371" s="184"/>
      <c r="BO371" s="184"/>
      <c r="BP371" s="184"/>
      <c r="BQ371" s="184"/>
      <c r="BR371" s="184"/>
      <c r="BS371" s="184"/>
      <c r="BT371" s="184"/>
      <c r="BU371" s="146" cm="1">
        <f t="array" ref="BU371">LOOKUP(2,1/(Y371:BT371&lt;&gt;""),Y371:BH371)</f>
        <v>2470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45809</v>
      </c>
      <c r="BW371" s="211" t="e" cm="1">
        <f t="array" ref="BW371">(LOOKUP(2,1/(BH371:BT371&lt;&gt;""),BH371:BT371))/(INDEX(BH371:BT371,MATCH(TRUE,INDEX((BH371:BT371&lt;&gt;0),0),0)))-1</f>
        <v>#N/A</v>
      </c>
      <c r="BX371" s="212">
        <f t="shared" si="93"/>
        <v>2.4700000000000002</v>
      </c>
      <c r="BY371" s="212">
        <f t="shared" si="92"/>
        <v>14.573000000000002</v>
      </c>
      <c r="BZ371" s="212">
        <f ca="1">IF(L371="BR",'Impostos e Frete'!$F$6,IF(L371="EU",'Impostos e Frete'!$I$3,IF(L371="CN",'Impostos e Frete'!$I$4,IF(L371="JP",'Impostos e Frete'!$I$5,IF(L371="RU",'Impostos e Frete'!$I$7,"ERRO")))))</f>
        <v>0.14176320000000001</v>
      </c>
      <c r="CA371" s="212">
        <f>VLOOKUP(L371,'Impostos e Frete'!$A$3:$B$7,2,0)*'Preços e Condições'!BY371</f>
        <v>1.8944900000000005</v>
      </c>
      <c r="CB371" s="147">
        <f t="shared" si="94"/>
        <v>0</v>
      </c>
      <c r="CC371" s="147">
        <f>IF(X371="BRL",'Impostos e Frete'!$B$11,'Impostos e Frete'!$B$12)</f>
        <v>9.1999999999999998E-2</v>
      </c>
      <c r="CD371" s="213">
        <f t="shared" ca="1" si="95"/>
        <v>16.7012532</v>
      </c>
      <c r="CE371" s="214">
        <f t="shared" ca="1" si="96"/>
        <v>1.3361002559999999</v>
      </c>
      <c r="CF371" s="215">
        <f>VLOOKUP(L371,'Impostos e Frete'!$A$3:$C$7,3,0)</f>
        <v>105</v>
      </c>
      <c r="CG371" s="215">
        <f t="shared" si="97"/>
        <v>120</v>
      </c>
      <c r="CH371" s="215">
        <f t="shared" si="98"/>
        <v>15</v>
      </c>
      <c r="CI371" s="216">
        <f t="shared" ca="1" si="99"/>
        <v>-0.12386761725133155</v>
      </c>
      <c r="CJ371" s="217">
        <f t="shared" ca="1" si="100"/>
        <v>16.577385582748668</v>
      </c>
      <c r="CK371" s="218">
        <f t="shared" ca="1" si="101"/>
        <v>1.3261908466198935</v>
      </c>
    </row>
    <row r="372" spans="1:89">
      <c r="A372" s="176">
        <v>11214</v>
      </c>
      <c r="B372" s="177">
        <v>5481</v>
      </c>
      <c r="C372" s="178">
        <v>80</v>
      </c>
      <c r="D372" s="178">
        <v>1830</v>
      </c>
      <c r="E372" s="178"/>
      <c r="F372" s="179" t="s">
        <v>47</v>
      </c>
      <c r="G372" s="185" t="s">
        <v>219</v>
      </c>
      <c r="H372" s="178" t="s">
        <v>43</v>
      </c>
      <c r="I372" s="178">
        <v>5481</v>
      </c>
      <c r="J372" s="178"/>
      <c r="K372" s="178"/>
      <c r="L372" s="178" t="s">
        <v>59</v>
      </c>
      <c r="M372" s="178">
        <v>120</v>
      </c>
      <c r="N372" s="178">
        <v>300</v>
      </c>
      <c r="O372" s="178"/>
      <c r="P372" s="178"/>
      <c r="Q372" s="178"/>
      <c r="R372" s="178" t="s">
        <v>19</v>
      </c>
      <c r="S372" s="181"/>
      <c r="T372" s="181"/>
      <c r="U372" s="182"/>
      <c r="V372" s="182" t="s">
        <v>35</v>
      </c>
      <c r="W372" s="183"/>
      <c r="X372" s="182" t="s">
        <v>51</v>
      </c>
      <c r="Y372" s="184"/>
      <c r="Z372" s="184"/>
      <c r="AA372" s="184"/>
      <c r="AB372" s="184">
        <v>3010</v>
      </c>
      <c r="AC372" s="184">
        <v>3010</v>
      </c>
      <c r="AD372" s="184">
        <v>3010</v>
      </c>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c r="BJ372" s="184"/>
      <c r="BK372" s="184"/>
      <c r="BL372" s="184"/>
      <c r="BM372" s="184"/>
      <c r="BN372" s="184"/>
      <c r="BO372" s="184"/>
      <c r="BP372" s="184"/>
      <c r="BQ372" s="184"/>
      <c r="BR372" s="184"/>
      <c r="BS372" s="184"/>
      <c r="BT372" s="184"/>
      <c r="BU372" s="146" cm="1">
        <f t="array" ref="BU372">LOOKUP(2,1/(Y372:BT372&lt;&gt;""),Y372:BH372)</f>
        <v>3010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45078</v>
      </c>
      <c r="BW372" s="211" t="e" cm="1">
        <f t="array" ref="BW372">(LOOKUP(2,1/(BH372:BT372&lt;&gt;""),BH372:BT372))/(INDEX(BH372:BT372,MATCH(TRUE,INDEX((BH372:BT372&lt;&gt;0),0),0)))-1</f>
        <v>#N/A</v>
      </c>
      <c r="BX372" s="212">
        <f t="shared" si="93"/>
        <v>3.01</v>
      </c>
      <c r="BY372" s="212">
        <f t="shared" si="92"/>
        <v>17.759</v>
      </c>
      <c r="BZ372" s="212">
        <f ca="1">IF(L372="BR",'Impostos e Frete'!$F$6,IF(L372="EU",'Impostos e Frete'!$I$3,IF(L372="CN",'Impostos e Frete'!$I$4,IF(L372="JP",'Impostos e Frete'!$I$5,IF(L372="RU",'Impostos e Frete'!$I$7,"ERRO")))))</f>
        <v>0.14176320000000001</v>
      </c>
      <c r="CA372" s="212">
        <f>VLOOKUP(L372,'Impostos e Frete'!$A$3:$B$7,2,0)*'Preços e Condições'!BY372</f>
        <v>2.3086700000000002</v>
      </c>
      <c r="CB372" s="147">
        <f t="shared" si="94"/>
        <v>0</v>
      </c>
      <c r="CC372" s="147">
        <f>IF(X372="BRL",'Impostos e Frete'!$B$11,'Impostos e Frete'!$B$12)</f>
        <v>9.1999999999999998E-2</v>
      </c>
      <c r="CD372" s="213">
        <f t="shared" ca="1" si="95"/>
        <v>20.301433199999998</v>
      </c>
      <c r="CE372" s="214">
        <f t="shared" ca="1" si="96"/>
        <v>1.6241146559999999</v>
      </c>
      <c r="CF372" s="215">
        <f>VLOOKUP(L372,'Impostos e Frete'!$A$3:$C$7,3,0)</f>
        <v>105</v>
      </c>
      <c r="CG372" s="215">
        <f t="shared" si="97"/>
        <v>120</v>
      </c>
      <c r="CH372" s="215">
        <f t="shared" si="98"/>
        <v>15</v>
      </c>
      <c r="CI372" s="216">
        <f t="shared" ca="1" si="99"/>
        <v>-0.15056894995586845</v>
      </c>
      <c r="CJ372" s="217">
        <f t="shared" ca="1" si="100"/>
        <v>20.15086425004413</v>
      </c>
      <c r="CK372" s="218">
        <f t="shared" ca="1" si="101"/>
        <v>1.6120691400035303</v>
      </c>
    </row>
    <row r="373" spans="1:89">
      <c r="A373" s="176">
        <v>11301</v>
      </c>
      <c r="B373" s="177">
        <v>380</v>
      </c>
      <c r="C373" s="178">
        <v>68</v>
      </c>
      <c r="D373" s="178">
        <v>1870</v>
      </c>
      <c r="E373" s="197" t="s">
        <v>50</v>
      </c>
      <c r="F373" s="179" t="s">
        <v>47</v>
      </c>
      <c r="G373" s="185" t="s">
        <v>217</v>
      </c>
      <c r="H373" s="178" t="s">
        <v>63</v>
      </c>
      <c r="I373" s="178">
        <v>4478</v>
      </c>
      <c r="J373" s="178"/>
      <c r="K373" s="178"/>
      <c r="L373" s="178" t="s">
        <v>59</v>
      </c>
      <c r="M373" s="178">
        <v>120</v>
      </c>
      <c r="N373" s="178">
        <v>300</v>
      </c>
      <c r="O373" s="178"/>
      <c r="P373" s="178"/>
      <c r="Q373" s="178"/>
      <c r="R373" s="178" t="s">
        <v>19</v>
      </c>
      <c r="S373" s="181"/>
      <c r="T373" s="181"/>
      <c r="U373" s="182"/>
      <c r="V373" s="182" t="s">
        <v>35</v>
      </c>
      <c r="W373" s="183">
        <v>50</v>
      </c>
      <c r="X373" s="182" t="s">
        <v>51</v>
      </c>
      <c r="Y373" s="195"/>
      <c r="Z373" s="195"/>
      <c r="AA373" s="195"/>
      <c r="AB373" s="195"/>
      <c r="AC373" s="195"/>
      <c r="AD373" s="195"/>
      <c r="AE373" s="195">
        <v>2180</v>
      </c>
      <c r="AF373" s="195">
        <v>2180</v>
      </c>
      <c r="AG373" s="195">
        <v>2180</v>
      </c>
      <c r="AH373" s="195">
        <v>2030</v>
      </c>
      <c r="AI373" s="195">
        <v>2030</v>
      </c>
      <c r="AJ373" s="195">
        <v>2030</v>
      </c>
      <c r="AK373" s="195">
        <v>2090</v>
      </c>
      <c r="AL373" s="195">
        <v>2090</v>
      </c>
      <c r="AM373" s="195">
        <v>2090</v>
      </c>
      <c r="AN373" s="195">
        <v>2220</v>
      </c>
      <c r="AO373" s="195">
        <v>2220</v>
      </c>
      <c r="AP373" s="195">
        <v>2220</v>
      </c>
      <c r="AQ373" s="195">
        <v>2370</v>
      </c>
      <c r="AR373" s="195">
        <v>2370</v>
      </c>
      <c r="AS373" s="195">
        <v>2370</v>
      </c>
      <c r="AT373" s="195">
        <v>2370</v>
      </c>
      <c r="AU373" s="195">
        <v>2370</v>
      </c>
      <c r="AV373" s="195">
        <v>2370</v>
      </c>
      <c r="AW373" s="184">
        <v>2290</v>
      </c>
      <c r="AX373" s="184">
        <v>2290</v>
      </c>
      <c r="AY373" s="184">
        <v>2290</v>
      </c>
      <c r="AZ373" s="184">
        <v>2050</v>
      </c>
      <c r="BA373" s="184">
        <v>2050</v>
      </c>
      <c r="BB373" s="184">
        <v>2350</v>
      </c>
      <c r="BC373" s="184">
        <v>2350</v>
      </c>
      <c r="BD373" s="184">
        <v>2350</v>
      </c>
      <c r="BE373" s="184">
        <v>2350</v>
      </c>
      <c r="BF373" s="184">
        <v>2250</v>
      </c>
      <c r="BG373" s="184">
        <v>2250</v>
      </c>
      <c r="BH373" s="184">
        <v>2250</v>
      </c>
      <c r="BI373" s="184">
        <v>2270</v>
      </c>
      <c r="BJ373" s="184">
        <v>2270</v>
      </c>
      <c r="BK373" s="184">
        <v>2270</v>
      </c>
      <c r="BL373" s="203">
        <v>2370</v>
      </c>
      <c r="BM373" s="203">
        <v>2370</v>
      </c>
      <c r="BN373" s="203">
        <v>2370</v>
      </c>
      <c r="BO373" s="184"/>
      <c r="BP373" s="184"/>
      <c r="BQ373" s="184"/>
      <c r="BR373" s="184"/>
      <c r="BS373" s="184"/>
      <c r="BT373" s="184"/>
      <c r="BU373" s="146" cm="1">
        <f t="array" ref="BU373">LOOKUP(2,1/(Y373:BT373&lt;&gt;""),Y373:BH373)</f>
        <v>2370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46174</v>
      </c>
      <c r="BW373" s="211" cm="1">
        <f t="array" ref="BW373">(LOOKUP(2,1/(BH373:BT373&lt;&gt;""),BH373:BT373))/(INDEX(BH373:BT373,MATCH(TRUE,INDEX((BH373:BT373&lt;&gt;0),0),0)))-1</f>
        <v>5.3333333333333233E-2</v>
      </c>
      <c r="BX373" s="212">
        <f t="shared" si="93"/>
        <v>2.37</v>
      </c>
      <c r="BY373" s="212">
        <f t="shared" si="92"/>
        <v>13.983000000000002</v>
      </c>
      <c r="BZ373" s="212">
        <f ca="1">IF(L373="BR",'Impostos e Frete'!$F$6,IF(L373="EU",'Impostos e Frete'!$I$3,IF(L373="CN",'Impostos e Frete'!$I$4,IF(L373="JP",'Impostos e Frete'!$I$5,IF(L373="RU",'Impostos e Frete'!$I$7,"ERRO")))))</f>
        <v>0.14176320000000001</v>
      </c>
      <c r="CA373" s="212">
        <f>VLOOKUP(L373,'Impostos e Frete'!$A$3:$B$7,2,0)*'Preços e Condições'!BY373</f>
        <v>1.8177900000000005</v>
      </c>
      <c r="CB373" s="147">
        <f t="shared" si="94"/>
        <v>0</v>
      </c>
      <c r="CC373" s="147">
        <f>IF(X373="BRL",'Impostos e Frete'!$B$11,'Impostos e Frete'!$B$12)</f>
        <v>9.1999999999999998E-2</v>
      </c>
      <c r="CD373" s="213">
        <f t="shared" ca="1" si="95"/>
        <v>16.034553200000001</v>
      </c>
      <c r="CE373" s="214">
        <f t="shared" ca="1" si="96"/>
        <v>1.0903496176000003</v>
      </c>
      <c r="CF373" s="215">
        <f>VLOOKUP(L373,'Impostos e Frete'!$A$3:$C$7,3,0)</f>
        <v>105</v>
      </c>
      <c r="CG373" s="215">
        <f t="shared" si="97"/>
        <v>120</v>
      </c>
      <c r="CH373" s="215">
        <f t="shared" si="98"/>
        <v>15</v>
      </c>
      <c r="CI373" s="216">
        <f t="shared" ca="1" si="99"/>
        <v>-0.11892292600975196</v>
      </c>
      <c r="CJ373" s="217">
        <f t="shared" ca="1" si="100"/>
        <v>15.915630273990249</v>
      </c>
      <c r="CK373" s="218">
        <f t="shared" ca="1" si="101"/>
        <v>1.082262858631337</v>
      </c>
    </row>
    <row r="374" spans="1:89">
      <c r="A374" s="176">
        <v>11301</v>
      </c>
      <c r="B374" s="177">
        <v>380</v>
      </c>
      <c r="C374" s="178">
        <v>68</v>
      </c>
      <c r="D374" s="178">
        <v>1870</v>
      </c>
      <c r="E374" s="197" t="s">
        <v>50</v>
      </c>
      <c r="F374" s="179" t="s">
        <v>47</v>
      </c>
      <c r="G374" s="185" t="s">
        <v>217</v>
      </c>
      <c r="H374" s="178" t="s">
        <v>63</v>
      </c>
      <c r="I374" s="178">
        <v>4478</v>
      </c>
      <c r="J374" s="178"/>
      <c r="K374" s="178"/>
      <c r="L374" s="178" t="s">
        <v>59</v>
      </c>
      <c r="M374" s="178">
        <v>120</v>
      </c>
      <c r="N374" s="178">
        <v>300</v>
      </c>
      <c r="O374" s="178"/>
      <c r="P374" s="178"/>
      <c r="Q374" s="178"/>
      <c r="R374" s="178" t="s">
        <v>19</v>
      </c>
      <c r="S374" s="181"/>
      <c r="T374" s="181"/>
      <c r="U374" s="182"/>
      <c r="V374" s="182" t="s">
        <v>35</v>
      </c>
      <c r="W374" s="183">
        <v>30</v>
      </c>
      <c r="X374" s="182" t="s">
        <v>51</v>
      </c>
      <c r="Y374" s="184"/>
      <c r="Z374" s="184"/>
      <c r="AA374" s="184"/>
      <c r="AB374" s="184"/>
      <c r="AC374" s="184"/>
      <c r="AD374" s="184"/>
      <c r="AE374" s="184">
        <v>2230</v>
      </c>
      <c r="AF374" s="184">
        <v>2230</v>
      </c>
      <c r="AG374" s="184">
        <v>2230</v>
      </c>
      <c r="AH374" s="184">
        <v>2080</v>
      </c>
      <c r="AI374" s="184">
        <v>2080</v>
      </c>
      <c r="AJ374" s="184">
        <v>2080</v>
      </c>
      <c r="AK374" s="184">
        <v>2140</v>
      </c>
      <c r="AL374" s="184">
        <v>2140</v>
      </c>
      <c r="AM374" s="184">
        <v>2140</v>
      </c>
      <c r="AN374" s="184">
        <v>2270</v>
      </c>
      <c r="AO374" s="184">
        <v>2270</v>
      </c>
      <c r="AP374" s="184">
        <v>2270</v>
      </c>
      <c r="AQ374" s="184">
        <v>2420</v>
      </c>
      <c r="AR374" s="184">
        <v>2420</v>
      </c>
      <c r="AS374" s="184">
        <v>2420</v>
      </c>
      <c r="AT374" s="184">
        <v>2420</v>
      </c>
      <c r="AU374" s="184">
        <v>2420</v>
      </c>
      <c r="AV374" s="184">
        <v>2420</v>
      </c>
      <c r="AW374" s="184">
        <v>2340</v>
      </c>
      <c r="AX374" s="184">
        <v>2340</v>
      </c>
      <c r="AY374" s="184">
        <v>2340</v>
      </c>
      <c r="AZ374" s="184">
        <v>2100</v>
      </c>
      <c r="BA374" s="184">
        <v>2100</v>
      </c>
      <c r="BB374" s="184">
        <v>2400</v>
      </c>
      <c r="BC374" s="184">
        <v>2400</v>
      </c>
      <c r="BD374" s="184">
        <v>2400</v>
      </c>
      <c r="BE374" s="184">
        <v>2400</v>
      </c>
      <c r="BF374" s="184">
        <v>2300</v>
      </c>
      <c r="BG374" s="184">
        <v>2300</v>
      </c>
      <c r="BH374" s="184">
        <v>2300</v>
      </c>
      <c r="BI374" s="184">
        <v>2320</v>
      </c>
      <c r="BJ374" s="184">
        <v>2320</v>
      </c>
      <c r="BK374" s="184">
        <v>2320</v>
      </c>
      <c r="BL374" s="203">
        <v>2420</v>
      </c>
      <c r="BM374" s="203">
        <v>2420</v>
      </c>
      <c r="BN374" s="203">
        <v>2420</v>
      </c>
      <c r="BO374" s="184"/>
      <c r="BP374" s="184"/>
      <c r="BQ374" s="184"/>
      <c r="BR374" s="184"/>
      <c r="BS374" s="184"/>
      <c r="BT374" s="184"/>
      <c r="BU374" s="146" cm="1">
        <f t="array" ref="BU374">LOOKUP(2,1/(Y374:BT374&lt;&gt;""),Y374:BH374)</f>
        <v>2420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46174</v>
      </c>
      <c r="BW374" s="211" cm="1">
        <f t="array" ref="BW374">(LOOKUP(2,1/(BH374:BT374&lt;&gt;""),BH374:BT374))/(INDEX(BH374:BT374,MATCH(TRUE,INDEX((BH374:BT374&lt;&gt;0),0),0)))-1</f>
        <v>5.2173913043478182E-2</v>
      </c>
      <c r="BX374" s="212">
        <f t="shared" si="93"/>
        <v>2.42</v>
      </c>
      <c r="BY374" s="212">
        <f t="shared" si="92"/>
        <v>14.278</v>
      </c>
      <c r="BZ374" s="212">
        <f ca="1">IF(L374="BR",'Impostos e Frete'!$F$6,IF(L374="EU",'Impostos e Frete'!$I$3,IF(L374="CN",'Impostos e Frete'!$I$4,IF(L374="JP",'Impostos e Frete'!$I$5,IF(L374="RU",'Impostos e Frete'!$I$7,"ERRO")))))</f>
        <v>0.14176320000000001</v>
      </c>
      <c r="CA374" s="212">
        <f>VLOOKUP(L374,'Impostos e Frete'!$A$3:$B$7,2,0)*'Preços e Condições'!BY374</f>
        <v>1.8561400000000001</v>
      </c>
      <c r="CB374" s="147">
        <f t="shared" si="94"/>
        <v>0</v>
      </c>
      <c r="CC374" s="147">
        <f>IF(X374="BRL",'Impostos e Frete'!$B$11,'Impostos e Frete'!$B$12)</f>
        <v>9.1999999999999998E-2</v>
      </c>
      <c r="CD374" s="213">
        <f t="shared" ca="1" si="95"/>
        <v>16.367903200000001</v>
      </c>
      <c r="CE374" s="214">
        <f t="shared" ca="1" si="96"/>
        <v>1.1130174176000001</v>
      </c>
      <c r="CF374" s="215">
        <f>VLOOKUP(L374,'Impostos e Frete'!$A$3:$C$7,3,0)</f>
        <v>105</v>
      </c>
      <c r="CG374" s="215">
        <f t="shared" si="97"/>
        <v>120</v>
      </c>
      <c r="CH374" s="215">
        <f t="shared" si="98"/>
        <v>15</v>
      </c>
      <c r="CI374" s="216">
        <f t="shared" ca="1" si="99"/>
        <v>-0.12139527163054353</v>
      </c>
      <c r="CJ374" s="217">
        <f t="shared" ca="1" si="100"/>
        <v>16.246507928369457</v>
      </c>
      <c r="CK374" s="218">
        <f t="shared" ca="1" si="101"/>
        <v>1.1047625391291231</v>
      </c>
    </row>
    <row r="375" spans="1:89">
      <c r="A375" s="176">
        <v>11301</v>
      </c>
      <c r="B375" s="177">
        <v>380</v>
      </c>
      <c r="C375" s="178">
        <v>68</v>
      </c>
      <c r="D375" s="178">
        <v>1870</v>
      </c>
      <c r="E375" s="197" t="s">
        <v>50</v>
      </c>
      <c r="F375" s="179" t="s">
        <v>47</v>
      </c>
      <c r="G375" s="185" t="s">
        <v>217</v>
      </c>
      <c r="H375" s="178" t="s">
        <v>63</v>
      </c>
      <c r="I375" s="178">
        <v>4478</v>
      </c>
      <c r="J375" s="178"/>
      <c r="K375" s="178"/>
      <c r="L375" s="178" t="s">
        <v>59</v>
      </c>
      <c r="M375" s="178">
        <v>120</v>
      </c>
      <c r="N375" s="178">
        <v>300</v>
      </c>
      <c r="O375" s="178"/>
      <c r="P375" s="178"/>
      <c r="Q375" s="178"/>
      <c r="R375" s="178" t="s">
        <v>19</v>
      </c>
      <c r="S375" s="181"/>
      <c r="T375" s="181"/>
      <c r="U375" s="182"/>
      <c r="V375" s="182" t="s">
        <v>35</v>
      </c>
      <c r="W375" s="183">
        <v>20</v>
      </c>
      <c r="X375" s="182" t="s">
        <v>51</v>
      </c>
      <c r="Y375" s="184"/>
      <c r="Z375" s="184"/>
      <c r="AA375" s="184"/>
      <c r="AB375" s="184"/>
      <c r="AC375" s="184"/>
      <c r="AD375" s="184"/>
      <c r="AE375" s="184">
        <v>2280</v>
      </c>
      <c r="AF375" s="184">
        <v>2280</v>
      </c>
      <c r="AG375" s="184">
        <v>2280</v>
      </c>
      <c r="AH375" s="184">
        <v>2130</v>
      </c>
      <c r="AI375" s="184">
        <v>2130</v>
      </c>
      <c r="AJ375" s="184">
        <v>2130</v>
      </c>
      <c r="AK375" s="184">
        <v>2190</v>
      </c>
      <c r="AL375" s="184">
        <v>2190</v>
      </c>
      <c r="AM375" s="184">
        <v>2190</v>
      </c>
      <c r="AN375" s="184">
        <v>2320</v>
      </c>
      <c r="AO375" s="184">
        <v>2320</v>
      </c>
      <c r="AP375" s="184">
        <v>2320</v>
      </c>
      <c r="AQ375" s="184">
        <v>2470</v>
      </c>
      <c r="AR375" s="184">
        <v>2470</v>
      </c>
      <c r="AS375" s="184">
        <v>2470</v>
      </c>
      <c r="AT375" s="184">
        <v>2470</v>
      </c>
      <c r="AU375" s="184">
        <v>2470</v>
      </c>
      <c r="AV375" s="184">
        <v>2470</v>
      </c>
      <c r="AW375" s="184">
        <v>2390</v>
      </c>
      <c r="AX375" s="184">
        <v>2390</v>
      </c>
      <c r="AY375" s="184">
        <v>2390</v>
      </c>
      <c r="AZ375" s="184">
        <v>2150</v>
      </c>
      <c r="BA375" s="184">
        <v>2150</v>
      </c>
      <c r="BB375" s="184">
        <v>2450</v>
      </c>
      <c r="BC375" s="184">
        <v>2450</v>
      </c>
      <c r="BD375" s="184">
        <v>2450</v>
      </c>
      <c r="BE375" s="184">
        <v>2450</v>
      </c>
      <c r="BF375" s="184">
        <v>2350</v>
      </c>
      <c r="BG375" s="184">
        <v>2350</v>
      </c>
      <c r="BH375" s="184">
        <v>2350</v>
      </c>
      <c r="BI375" s="184">
        <v>2370</v>
      </c>
      <c r="BJ375" s="184">
        <v>2370</v>
      </c>
      <c r="BK375" s="184">
        <v>2370</v>
      </c>
      <c r="BL375" s="203">
        <v>2470</v>
      </c>
      <c r="BM375" s="203">
        <v>2470</v>
      </c>
      <c r="BN375" s="203">
        <v>2470</v>
      </c>
      <c r="BO375" s="184"/>
      <c r="BP375" s="184"/>
      <c r="BQ375" s="184"/>
      <c r="BR375" s="184"/>
      <c r="BS375" s="184"/>
      <c r="BT375" s="184"/>
      <c r="BU375" s="146" cm="1">
        <f t="array" ref="BU375">LOOKUP(2,1/(Y375:BT375&lt;&gt;""),Y375:BH375)</f>
        <v>2470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46174</v>
      </c>
      <c r="BW375" s="211" cm="1">
        <f t="array" ref="BW375">(LOOKUP(2,1/(BH375:BT375&lt;&gt;""),BH375:BT375))/(INDEX(BH375:BT375,MATCH(TRUE,INDEX((BH375:BT375&lt;&gt;0),0),0)))-1</f>
        <v>5.1063829787234116E-2</v>
      </c>
      <c r="BX375" s="212">
        <f t="shared" si="93"/>
        <v>2.4700000000000002</v>
      </c>
      <c r="BY375" s="212">
        <f t="shared" si="92"/>
        <v>14.573000000000002</v>
      </c>
      <c r="BZ375" s="212">
        <f ca="1">IF(L375="BR",'Impostos e Frete'!$F$6,IF(L375="EU",'Impostos e Frete'!$I$3,IF(L375="CN",'Impostos e Frete'!$I$4,IF(L375="JP",'Impostos e Frete'!$I$5,IF(L375="RU",'Impostos e Frete'!$I$7,"ERRO")))))</f>
        <v>0.14176320000000001</v>
      </c>
      <c r="CA375" s="212">
        <f>VLOOKUP(L375,'Impostos e Frete'!$A$3:$B$7,2,0)*'Preços e Condições'!BY375</f>
        <v>1.8944900000000005</v>
      </c>
      <c r="CB375" s="147">
        <f t="shared" si="94"/>
        <v>0</v>
      </c>
      <c r="CC375" s="147">
        <f>IF(X375="BRL",'Impostos e Frete'!$B$11,'Impostos e Frete'!$B$12)</f>
        <v>9.1999999999999998E-2</v>
      </c>
      <c r="CD375" s="213">
        <f t="shared" ca="1" si="95"/>
        <v>16.7012532</v>
      </c>
      <c r="CE375" s="214">
        <f t="shared" ca="1" si="96"/>
        <v>1.1356852175999999</v>
      </c>
      <c r="CF375" s="215">
        <f>VLOOKUP(L375,'Impostos e Frete'!$A$3:$C$7,3,0)</f>
        <v>105</v>
      </c>
      <c r="CG375" s="215">
        <f t="shared" si="97"/>
        <v>120</v>
      </c>
      <c r="CH375" s="215">
        <f t="shared" si="98"/>
        <v>15</v>
      </c>
      <c r="CI375" s="216">
        <f t="shared" ca="1" si="99"/>
        <v>-0.12386761725133155</v>
      </c>
      <c r="CJ375" s="217">
        <f t="shared" ca="1" si="100"/>
        <v>16.577385582748668</v>
      </c>
      <c r="CK375" s="218">
        <f t="shared" ca="1" si="101"/>
        <v>1.1272622196269095</v>
      </c>
    </row>
    <row r="376" spans="1:89">
      <c r="A376" s="176">
        <v>11301</v>
      </c>
      <c r="B376" s="177">
        <v>380</v>
      </c>
      <c r="C376" s="178">
        <v>68</v>
      </c>
      <c r="D376" s="178">
        <v>1870</v>
      </c>
      <c r="E376" s="197" t="s">
        <v>50</v>
      </c>
      <c r="F376" s="179" t="s">
        <v>47</v>
      </c>
      <c r="G376" s="185" t="s">
        <v>217</v>
      </c>
      <c r="H376" s="178" t="s">
        <v>63</v>
      </c>
      <c r="I376" s="178">
        <v>4478</v>
      </c>
      <c r="J376" s="178"/>
      <c r="K376" s="178"/>
      <c r="L376" s="178" t="s">
        <v>59</v>
      </c>
      <c r="M376" s="178">
        <v>120</v>
      </c>
      <c r="N376" s="178">
        <v>300</v>
      </c>
      <c r="O376" s="178"/>
      <c r="P376" s="178"/>
      <c r="Q376" s="178"/>
      <c r="R376" s="178" t="s">
        <v>19</v>
      </c>
      <c r="S376" s="181"/>
      <c r="T376" s="181"/>
      <c r="U376" s="182"/>
      <c r="V376" s="182" t="s">
        <v>35</v>
      </c>
      <c r="W376" s="183">
        <v>10</v>
      </c>
      <c r="X376" s="182" t="s">
        <v>51</v>
      </c>
      <c r="Y376" s="184"/>
      <c r="Z376" s="184"/>
      <c r="AA376" s="184"/>
      <c r="AB376" s="184"/>
      <c r="AC376" s="184"/>
      <c r="AD376" s="184"/>
      <c r="AE376" s="184">
        <v>2360</v>
      </c>
      <c r="AF376" s="184">
        <v>2360</v>
      </c>
      <c r="AG376" s="184">
        <v>2360</v>
      </c>
      <c r="AH376" s="184">
        <v>2210</v>
      </c>
      <c r="AI376" s="184">
        <v>2210</v>
      </c>
      <c r="AJ376" s="184">
        <v>2210</v>
      </c>
      <c r="AK376" s="184">
        <v>2270</v>
      </c>
      <c r="AL376" s="184">
        <v>2270</v>
      </c>
      <c r="AM376" s="184">
        <v>2270</v>
      </c>
      <c r="AN376" s="184">
        <v>2400</v>
      </c>
      <c r="AO376" s="184">
        <v>2400</v>
      </c>
      <c r="AP376" s="184">
        <v>2400</v>
      </c>
      <c r="AQ376" s="184">
        <v>2550</v>
      </c>
      <c r="AR376" s="184">
        <v>2550</v>
      </c>
      <c r="AS376" s="184">
        <v>2550</v>
      </c>
      <c r="AT376" s="184">
        <v>2550</v>
      </c>
      <c r="AU376" s="184">
        <v>2550</v>
      </c>
      <c r="AV376" s="184">
        <v>2550</v>
      </c>
      <c r="AW376" s="184">
        <v>2470</v>
      </c>
      <c r="AX376" s="184">
        <v>2470</v>
      </c>
      <c r="AY376" s="184">
        <v>2470</v>
      </c>
      <c r="AZ376" s="184">
        <v>2230</v>
      </c>
      <c r="BA376" s="184">
        <v>2230</v>
      </c>
      <c r="BB376" s="184">
        <v>2530</v>
      </c>
      <c r="BC376" s="184">
        <v>2530</v>
      </c>
      <c r="BD376" s="184">
        <v>2530</v>
      </c>
      <c r="BE376" s="184">
        <v>2530</v>
      </c>
      <c r="BF376" s="184">
        <v>2430</v>
      </c>
      <c r="BG376" s="184">
        <v>2430</v>
      </c>
      <c r="BH376" s="184">
        <v>2430</v>
      </c>
      <c r="BI376" s="184">
        <v>2450</v>
      </c>
      <c r="BJ376" s="184">
        <v>2450</v>
      </c>
      <c r="BK376" s="184">
        <v>2450</v>
      </c>
      <c r="BL376" s="203">
        <v>2550</v>
      </c>
      <c r="BM376" s="203">
        <v>2550</v>
      </c>
      <c r="BN376" s="203">
        <v>2550</v>
      </c>
      <c r="BO376" s="184"/>
      <c r="BP376" s="184"/>
      <c r="BQ376" s="184"/>
      <c r="BR376" s="184"/>
      <c r="BS376" s="184"/>
      <c r="BT376" s="184"/>
      <c r="BU376" s="146" cm="1">
        <f t="array" ref="BU376">LOOKUP(2,1/(Y376:BT376&lt;&gt;""),Y376:BH376)</f>
        <v>2550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46174</v>
      </c>
      <c r="BW376" s="211" cm="1">
        <f t="array" ref="BW376">(LOOKUP(2,1/(BH376:BT376&lt;&gt;""),BH376:BT376))/(INDEX(BH376:BT376,MATCH(TRUE,INDEX((BH376:BT376&lt;&gt;0),0),0)))-1</f>
        <v>4.9382716049382713E-2</v>
      </c>
      <c r="BX376" s="212">
        <f t="shared" si="93"/>
        <v>2.5499999999999998</v>
      </c>
      <c r="BY376" s="212">
        <f t="shared" si="92"/>
        <v>15.045</v>
      </c>
      <c r="BZ376" s="212">
        <f ca="1">IF(L376="BR",'Impostos e Frete'!$F$6,IF(L376="EU",'Impostos e Frete'!$I$3,IF(L376="CN",'Impostos e Frete'!$I$4,IF(L376="JP",'Impostos e Frete'!$I$5,IF(L376="RU",'Impostos e Frete'!$I$7,"ERRO")))))</f>
        <v>0.14176320000000001</v>
      </c>
      <c r="CA376" s="212">
        <f>VLOOKUP(L376,'Impostos e Frete'!$A$3:$B$7,2,0)*'Preços e Condições'!BY376</f>
        <v>1.9558500000000001</v>
      </c>
      <c r="CB376" s="147">
        <f t="shared" si="94"/>
        <v>0</v>
      </c>
      <c r="CC376" s="147">
        <f>IF(X376="BRL",'Impostos e Frete'!$B$11,'Impostos e Frete'!$B$12)</f>
        <v>9.1999999999999998E-2</v>
      </c>
      <c r="CD376" s="213">
        <f t="shared" ca="1" si="95"/>
        <v>17.234613199999998</v>
      </c>
      <c r="CE376" s="214">
        <f t="shared" ca="1" si="96"/>
        <v>1.1719536975999998</v>
      </c>
      <c r="CF376" s="215">
        <f>VLOOKUP(L376,'Impostos e Frete'!$A$3:$C$7,3,0)</f>
        <v>105</v>
      </c>
      <c r="CG376" s="215">
        <f t="shared" si="97"/>
        <v>120</v>
      </c>
      <c r="CH376" s="215">
        <f t="shared" si="98"/>
        <v>15</v>
      </c>
      <c r="CI376" s="216">
        <f t="shared" ca="1" si="99"/>
        <v>-0.12782337024459878</v>
      </c>
      <c r="CJ376" s="217">
        <f t="shared" ca="1" si="100"/>
        <v>17.1067898297554</v>
      </c>
      <c r="CK376" s="218">
        <f t="shared" ca="1" si="101"/>
        <v>1.1632617084233672</v>
      </c>
    </row>
    <row r="377" spans="1:89">
      <c r="A377" s="176">
        <v>11304</v>
      </c>
      <c r="B377" s="177" t="s">
        <v>123</v>
      </c>
      <c r="C377" s="178">
        <v>60</v>
      </c>
      <c r="D377" s="178">
        <v>2080</v>
      </c>
      <c r="E377" s="178" t="s">
        <v>49</v>
      </c>
      <c r="F377" s="179" t="s">
        <v>47</v>
      </c>
      <c r="G377" s="185" t="s">
        <v>226</v>
      </c>
      <c r="H377" s="178" t="s">
        <v>61</v>
      </c>
      <c r="I377" s="178"/>
      <c r="J377" s="178"/>
      <c r="K377" s="178"/>
      <c r="L377" s="178" t="s">
        <v>59</v>
      </c>
      <c r="M377" s="178">
        <v>120</v>
      </c>
      <c r="N377" s="178">
        <v>300</v>
      </c>
      <c r="O377" s="178"/>
      <c r="P377" s="183"/>
      <c r="Q377" s="183"/>
      <c r="R377" s="178" t="s">
        <v>19</v>
      </c>
      <c r="S377" s="181"/>
      <c r="T377" s="181"/>
      <c r="U377" s="182"/>
      <c r="V377" s="182" t="s">
        <v>35</v>
      </c>
      <c r="W377" s="183"/>
      <c r="X377" s="182" t="s">
        <v>51</v>
      </c>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v>1350</v>
      </c>
      <c r="AW377" s="184"/>
      <c r="AX377" s="184"/>
      <c r="AY377" s="184"/>
      <c r="AZ377" s="184"/>
      <c r="BA377" s="184"/>
      <c r="BB377" s="184"/>
      <c r="BC377" s="184"/>
      <c r="BD377" s="184"/>
      <c r="BE377" s="184"/>
      <c r="BF377" s="184"/>
      <c r="BG377" s="184"/>
      <c r="BH377" s="184"/>
      <c r="BI377" s="184"/>
      <c r="BJ377" s="184"/>
      <c r="BK377" s="184"/>
      <c r="BL377" s="184"/>
      <c r="BM377" s="184"/>
      <c r="BN377" s="184"/>
      <c r="BO377" s="184"/>
      <c r="BP377" s="184"/>
      <c r="BQ377" s="184"/>
      <c r="BR377" s="184"/>
      <c r="BS377" s="184"/>
      <c r="BT377" s="184"/>
      <c r="BU377" s="146" cm="1">
        <f t="array" ref="BU377">LOOKUP(2,1/(Y377:BT377&lt;&gt;""),Y377:BH377)</f>
        <v>1350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45627</v>
      </c>
      <c r="BW377" s="211" t="e" cm="1">
        <f t="array" ref="BW377">(LOOKUP(2,1/(BH377:BT377&lt;&gt;""),BH377:BT377))/(INDEX(BH377:BT377,MATCH(TRUE,INDEX((BH377:BT377&lt;&gt;0),0),0)))-1</f>
        <v>#N/A</v>
      </c>
      <c r="BX377" s="212">
        <f t="shared" si="93"/>
        <v>1.35</v>
      </c>
      <c r="BY377" s="212">
        <f t="shared" si="92"/>
        <v>7.9650000000000007</v>
      </c>
      <c r="BZ377" s="212">
        <f ca="1">IF(L377="BR",'Impostos e Frete'!$F$6,IF(L377="EU",'Impostos e Frete'!$I$3,IF(L377="CN",'Impostos e Frete'!$I$4,IF(L377="JP",'Impostos e Frete'!$I$5,IF(L377="RU",'Impostos e Frete'!$I$7,"ERRO")))))</f>
        <v>0.14176320000000001</v>
      </c>
      <c r="CA377" s="212">
        <f>VLOOKUP(L377,'Impostos e Frete'!$A$3:$B$7,2,0)*'Preços e Condições'!BY377</f>
        <v>1.0354500000000002</v>
      </c>
      <c r="CB377" s="147">
        <f t="shared" si="94"/>
        <v>0</v>
      </c>
      <c r="CC377" s="147">
        <f>IF(X377="BRL",'Impostos e Frete'!$B$11,'Impostos e Frete'!$B$12)</f>
        <v>9.1999999999999998E-2</v>
      </c>
      <c r="CD377" s="213">
        <f t="shared" ca="1" si="95"/>
        <v>9.2342132000000028</v>
      </c>
      <c r="CE377" s="214">
        <f t="shared" ca="1" si="96"/>
        <v>0.55405279200000013</v>
      </c>
      <c r="CF377" s="215">
        <f>VLOOKUP(L377,'Impostos e Frete'!$A$3:$C$7,3,0)</f>
        <v>105</v>
      </c>
      <c r="CG377" s="215">
        <f t="shared" si="97"/>
        <v>120</v>
      </c>
      <c r="CH377" s="215">
        <f t="shared" si="98"/>
        <v>15</v>
      </c>
      <c r="CI377" s="216">
        <f t="shared" ca="1" si="99"/>
        <v>-6.8487075345627701E-2</v>
      </c>
      <c r="CJ377" s="217">
        <f t="shared" ca="1" si="100"/>
        <v>9.1657261246543751</v>
      </c>
      <c r="CK377" s="218">
        <f t="shared" ca="1" si="101"/>
        <v>0.54994356747926243</v>
      </c>
    </row>
    <row r="378" spans="1:89">
      <c r="A378" s="176">
        <v>17064</v>
      </c>
      <c r="B378" s="177">
        <v>9370</v>
      </c>
      <c r="C378" s="178">
        <v>70</v>
      </c>
      <c r="D378" s="178">
        <v>1900</v>
      </c>
      <c r="E378" s="178" t="s">
        <v>209</v>
      </c>
      <c r="F378" s="179" t="s">
        <v>47</v>
      </c>
      <c r="G378" s="180" t="s">
        <v>235</v>
      </c>
      <c r="H378" s="178" t="s">
        <v>43</v>
      </c>
      <c r="I378" s="178" t="s">
        <v>213</v>
      </c>
      <c r="K378" s="178"/>
      <c r="L378" s="178" t="s">
        <v>59</v>
      </c>
      <c r="M378" s="178">
        <v>120</v>
      </c>
      <c r="N378" s="178">
        <v>300</v>
      </c>
      <c r="O378" s="178"/>
      <c r="P378" s="178"/>
      <c r="Q378" s="178"/>
      <c r="R378" s="178" t="s">
        <v>19</v>
      </c>
      <c r="S378" s="181"/>
      <c r="T378" s="181"/>
      <c r="U378" s="182"/>
      <c r="V378" s="182" t="s">
        <v>35</v>
      </c>
      <c r="W378" s="183">
        <v>20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v>2800</v>
      </c>
      <c r="BA378" s="184">
        <v>2800</v>
      </c>
      <c r="BB378" s="184">
        <v>2800</v>
      </c>
      <c r="BC378" s="184">
        <v>2800</v>
      </c>
      <c r="BD378" s="184">
        <v>2800</v>
      </c>
      <c r="BE378" s="184">
        <v>2800</v>
      </c>
      <c r="BF378" s="184"/>
      <c r="BG378" s="184"/>
      <c r="BH378" s="184"/>
      <c r="BI378" s="184"/>
      <c r="BJ378" s="184"/>
      <c r="BK378" s="184"/>
      <c r="BL378" s="184"/>
      <c r="BM378" s="184"/>
      <c r="BN378" s="184"/>
      <c r="BO378" s="184"/>
      <c r="BP378" s="184"/>
      <c r="BQ378" s="184"/>
      <c r="BR378" s="184"/>
      <c r="BS378" s="184"/>
      <c r="BT378" s="184"/>
      <c r="BU378" s="146" cm="1">
        <f t="array" ref="BU378">LOOKUP(2,1/(Y378:BT378&lt;&gt;""),Y378:BH378)</f>
        <v>2800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45901</v>
      </c>
      <c r="BW378" s="211" t="e" cm="1">
        <f t="array" ref="BW378">(LOOKUP(2,1/(BH378:BT378&lt;&gt;""),BH378:BT378))/(INDEX(BH378:BT378,MATCH(TRUE,INDEX((BH378:BT378&lt;&gt;0),0),0)))-1</f>
        <v>#N/A</v>
      </c>
      <c r="BX378" s="212">
        <f t="shared" si="93"/>
        <v>2.8</v>
      </c>
      <c r="BY378" s="212">
        <f t="shared" si="92"/>
        <v>16.52</v>
      </c>
      <c r="BZ378" s="212">
        <f ca="1">IF(L378="BR",'Impostos e Frete'!$F$6,IF(L378="EU",'Impostos e Frete'!$I$3,IF(L378="CN",'Impostos e Frete'!$I$4,IF(L378="JP",'Impostos e Frete'!$I$5,IF(L378="RU",'Impostos e Frete'!$I$7,"ERRO")))))</f>
        <v>0.14176320000000001</v>
      </c>
      <c r="CA378" s="212">
        <f>VLOOKUP(L378,'Impostos e Frete'!$A$3:$B$7,2,0)*'Preços e Condições'!BY378</f>
        <v>2.1476000000000002</v>
      </c>
      <c r="CB378" s="147">
        <f t="shared" si="94"/>
        <v>0</v>
      </c>
      <c r="CC378" s="147">
        <f>IF(X378="BRL",'Impostos e Frete'!$B$11,'Impostos e Frete'!$B$12)</f>
        <v>9.1999999999999998E-2</v>
      </c>
      <c r="CD378" s="213">
        <f t="shared" ca="1" si="95"/>
        <v>18.901363199999999</v>
      </c>
      <c r="CE378" s="214">
        <f t="shared" ca="1" si="96"/>
        <v>1.3230954239999999</v>
      </c>
      <c r="CF378" s="215">
        <f>VLOOKUP(L378,'Impostos e Frete'!$A$3:$C$7,3,0)</f>
        <v>105</v>
      </c>
      <c r="CG378" s="215">
        <f t="shared" si="97"/>
        <v>120</v>
      </c>
      <c r="CH378" s="215">
        <f t="shared" si="98"/>
        <v>15</v>
      </c>
      <c r="CI378" s="216">
        <f t="shared" ca="1" si="99"/>
        <v>-0.14018509834854953</v>
      </c>
      <c r="CJ378" s="217">
        <f t="shared" ca="1" si="100"/>
        <v>18.761178101651449</v>
      </c>
      <c r="CK378" s="218">
        <f t="shared" ca="1" si="101"/>
        <v>1.3132824671156014</v>
      </c>
    </row>
    <row r="379" spans="1:89">
      <c r="A379" s="176">
        <v>10251</v>
      </c>
      <c r="B379" s="177" t="s">
        <v>75</v>
      </c>
      <c r="C379" s="178">
        <v>40</v>
      </c>
      <c r="D379" s="178">
        <v>1900</v>
      </c>
      <c r="E379" s="178" t="s">
        <v>209</v>
      </c>
      <c r="F379" s="179" t="s">
        <v>207</v>
      </c>
      <c r="G379" s="189" t="s">
        <v>214</v>
      </c>
      <c r="H379" s="178" t="s">
        <v>43</v>
      </c>
      <c r="I379" s="178"/>
      <c r="J379" s="178"/>
      <c r="K379" s="178"/>
      <c r="L379" s="178" t="s">
        <v>208</v>
      </c>
      <c r="M379" s="178">
        <v>90</v>
      </c>
      <c r="N379" s="178"/>
      <c r="O379" s="178"/>
      <c r="P379" s="178"/>
      <c r="Q379" s="178"/>
      <c r="R379" s="178" t="s">
        <v>19</v>
      </c>
      <c r="S379" s="181"/>
      <c r="T379" s="181"/>
      <c r="U379" s="182"/>
      <c r="V379" s="182" t="s">
        <v>35</v>
      </c>
      <c r="W379" s="183"/>
      <c r="X379" s="182" t="s">
        <v>158</v>
      </c>
      <c r="Y379" s="184"/>
      <c r="Z379" s="184"/>
      <c r="AA379" s="184"/>
      <c r="AB379" s="184"/>
      <c r="AC379" s="184"/>
      <c r="AD379" s="184"/>
      <c r="AE379" s="184"/>
      <c r="AF379" s="184"/>
      <c r="AG379" s="184"/>
      <c r="AH379" s="184"/>
      <c r="AI379" s="184"/>
      <c r="AJ379" s="184"/>
      <c r="AK379" s="184"/>
      <c r="AL379" s="184"/>
      <c r="AM379" s="184"/>
      <c r="AN379" s="184"/>
      <c r="AO379" s="184">
        <v>2198</v>
      </c>
      <c r="AP379" s="184">
        <v>2198</v>
      </c>
      <c r="AQ379" s="184"/>
      <c r="AR379" s="184"/>
      <c r="AS379" s="184"/>
      <c r="AT379" s="184"/>
      <c r="AU379" s="184"/>
      <c r="AV379" s="184"/>
      <c r="AW379" s="184"/>
      <c r="AX379" s="184"/>
      <c r="AY379" s="184"/>
      <c r="AZ379" s="184"/>
      <c r="BA379" s="184"/>
      <c r="BB379" s="184"/>
      <c r="BC379" s="184"/>
      <c r="BD379" s="184"/>
      <c r="BE379" s="184"/>
      <c r="BF379" s="184"/>
      <c r="BG379" s="184"/>
      <c r="BH379" s="184"/>
      <c r="BI379" s="184"/>
      <c r="BJ379" s="184"/>
      <c r="BK379" s="184"/>
      <c r="BL379" s="184"/>
      <c r="BM379" s="184"/>
      <c r="BN379" s="184"/>
      <c r="BO379" s="184"/>
      <c r="BP379" s="184"/>
      <c r="BQ379" s="184"/>
      <c r="BR379" s="184"/>
      <c r="BS379" s="184"/>
      <c r="BT379" s="184"/>
      <c r="BU379" s="146" cm="1">
        <f t="array" ref="BU379">LOOKUP(2,1/(Y379:BT379&lt;&gt;""),Y379:BH379)</f>
        <v>2198</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45444</v>
      </c>
      <c r="BW379" s="211" t="e" cm="1">
        <f t="array" ref="BW379">(LOOKUP(2,1/(BH379:BT379&lt;&gt;""),BH379:BT379))/(INDEX(BH379:BT379,MATCH(TRUE,INDEX((BH379:BT379&lt;&gt;0),0),0)))-1</f>
        <v>#N/A</v>
      </c>
      <c r="BX379" s="212">
        <f t="shared" si="93"/>
        <v>2.198</v>
      </c>
      <c r="BY379" s="212">
        <f t="shared" si="92"/>
        <v>10.99</v>
      </c>
      <c r="BZ379" s="212">
        <f ca="1">IF(L379="BR",'Impostos e Frete'!$F$6,IF(L379="EU",'Impostos e Frete'!$I$3,IF(L379="CN",'Impostos e Frete'!$I$4,IF(L379="JP",'Impostos e Frete'!$I$5,IF(L379="RU",'Impostos e Frete'!$I$7,"ERRO")))))</f>
        <v>1.8659666666666668</v>
      </c>
      <c r="CA379" s="212">
        <f>VLOOKUP(L379,'Impostos e Frete'!$A$3:$B$7,2,0)*'Preços e Condições'!BY379</f>
        <v>1.6485000000000001</v>
      </c>
      <c r="CB379" s="147">
        <f t="shared" si="94"/>
        <v>0</v>
      </c>
      <c r="CC379" s="147">
        <f>IF(X379="BRL",'Impostos e Frete'!$B$11,'Impostos e Frete'!$B$12)</f>
        <v>9.1999999999999998E-2</v>
      </c>
      <c r="CD379" s="213">
        <f t="shared" ca="1" si="95"/>
        <v>14.596466666666668</v>
      </c>
      <c r="CE379" s="214">
        <f t="shared" ca="1" si="96"/>
        <v>0.58385866666666675</v>
      </c>
      <c r="CF379" s="215">
        <f>VLOOKUP(L379,'Impostos e Frete'!$A$3:$C$7,3,0)</f>
        <v>120</v>
      </c>
      <c r="CG379" s="215">
        <f t="shared" si="97"/>
        <v>90</v>
      </c>
      <c r="CH379" s="215">
        <f t="shared" si="98"/>
        <v>-30</v>
      </c>
      <c r="CI379" s="216">
        <f t="shared" ca="1" si="99"/>
        <v>0.21894699999999823</v>
      </c>
      <c r="CJ379" s="217">
        <f t="shared" ca="1" si="100"/>
        <v>14.815413666666666</v>
      </c>
      <c r="CK379" s="218">
        <f t="shared" ca="1" si="101"/>
        <v>0.59261654666666663</v>
      </c>
    </row>
    <row r="380" spans="1:89">
      <c r="A380" s="176">
        <v>10223</v>
      </c>
      <c r="B380" s="177" t="s">
        <v>76</v>
      </c>
      <c r="C380" s="178">
        <v>40</v>
      </c>
      <c r="D380" s="178">
        <v>1900</v>
      </c>
      <c r="E380" s="178" t="s">
        <v>209</v>
      </c>
      <c r="F380" s="179" t="s">
        <v>207</v>
      </c>
      <c r="G380" s="189" t="s">
        <v>215</v>
      </c>
      <c r="H380" s="178" t="s">
        <v>62</v>
      </c>
      <c r="I380" s="178"/>
      <c r="J380" s="178"/>
      <c r="K380" s="178"/>
      <c r="L380" s="178" t="s">
        <v>208</v>
      </c>
      <c r="M380" s="178">
        <v>90</v>
      </c>
      <c r="N380" s="178"/>
      <c r="O380" s="178"/>
      <c r="P380" s="178"/>
      <c r="Q380" s="178"/>
      <c r="R380" s="178" t="s">
        <v>19</v>
      </c>
      <c r="S380" s="181"/>
      <c r="T380" s="181"/>
      <c r="U380" s="182"/>
      <c r="V380" s="182" t="s">
        <v>35</v>
      </c>
      <c r="W380" s="183"/>
      <c r="X380" s="182" t="s">
        <v>158</v>
      </c>
      <c r="Y380" s="184"/>
      <c r="Z380" s="184"/>
      <c r="AA380" s="184"/>
      <c r="AB380" s="184"/>
      <c r="AC380" s="184"/>
      <c r="AD380" s="184"/>
      <c r="AE380" s="184"/>
      <c r="AF380" s="184"/>
      <c r="AG380" s="184"/>
      <c r="AH380" s="184"/>
      <c r="AI380" s="184"/>
      <c r="AJ380" s="184"/>
      <c r="AK380" s="184"/>
      <c r="AL380" s="184"/>
      <c r="AM380" s="184"/>
      <c r="AN380" s="184"/>
      <c r="AO380" s="184">
        <v>2153</v>
      </c>
      <c r="AP380" s="184">
        <v>2153</v>
      </c>
      <c r="AQ380" s="184"/>
      <c r="AR380" s="184"/>
      <c r="AS380" s="184"/>
      <c r="AT380" s="184"/>
      <c r="AU380" s="184"/>
      <c r="AV380" s="184"/>
      <c r="AW380" s="184"/>
      <c r="AX380" s="184"/>
      <c r="AY380" s="184"/>
      <c r="AZ380" s="184"/>
      <c r="BA380" s="184"/>
      <c r="BB380" s="184"/>
      <c r="BC380" s="184"/>
      <c r="BD380" s="184"/>
      <c r="BE380" s="184"/>
      <c r="BF380" s="184"/>
      <c r="BG380" s="184"/>
      <c r="BH380" s="184"/>
      <c r="BI380" s="184"/>
      <c r="BJ380" s="184"/>
      <c r="BK380" s="184"/>
      <c r="BL380" s="184"/>
      <c r="BM380" s="184"/>
      <c r="BN380" s="184"/>
      <c r="BO380" s="184"/>
      <c r="BP380" s="184"/>
      <c r="BQ380" s="184"/>
      <c r="BR380" s="184"/>
      <c r="BS380" s="184"/>
      <c r="BT380" s="184"/>
      <c r="BU380" s="146" cm="1">
        <f t="array" ref="BU380">LOOKUP(2,1/(Y380:BT380&lt;&gt;""),Y380:BH380)</f>
        <v>2153</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45444</v>
      </c>
      <c r="BW380" s="211" t="e" cm="1">
        <f t="array" ref="BW380">(LOOKUP(2,1/(BH380:BT380&lt;&gt;""),BH380:BT380))/(INDEX(BH380:BT380,MATCH(TRUE,INDEX((BH380:BT380&lt;&gt;0),0),0)))-1</f>
        <v>#N/A</v>
      </c>
      <c r="BX380" s="212">
        <f t="shared" si="93"/>
        <v>2.153</v>
      </c>
      <c r="BY380" s="212">
        <f t="shared" si="92"/>
        <v>10.765000000000001</v>
      </c>
      <c r="BZ380" s="212">
        <f ca="1">IF(L380="BR",'Impostos e Frete'!$F$6,IF(L380="EU",'Impostos e Frete'!$I$3,IF(L380="CN",'Impostos e Frete'!$I$4,IF(L380="JP",'Impostos e Frete'!$I$5,IF(L380="RU",'Impostos e Frete'!$I$7,"ERRO")))))</f>
        <v>1.8659666666666668</v>
      </c>
      <c r="CA380" s="212">
        <f>VLOOKUP(L380,'Impostos e Frete'!$A$3:$B$7,2,0)*'Preços e Condições'!BY380</f>
        <v>1.6147500000000001</v>
      </c>
      <c r="CB380" s="147">
        <f t="shared" si="94"/>
        <v>0</v>
      </c>
      <c r="CC380" s="147">
        <f>IF(X380="BRL",'Impostos e Frete'!$B$11,'Impostos e Frete'!$B$12)</f>
        <v>9.1999999999999998E-2</v>
      </c>
      <c r="CD380" s="213">
        <f t="shared" ca="1" si="95"/>
        <v>14.337716666666669</v>
      </c>
      <c r="CE380" s="214">
        <f t="shared" ca="1" si="96"/>
        <v>0.57350866666666678</v>
      </c>
      <c r="CF380" s="215">
        <f>VLOOKUP(L380,'Impostos e Frete'!$A$3:$C$7,3,0)</f>
        <v>120</v>
      </c>
      <c r="CG380" s="215">
        <f t="shared" si="97"/>
        <v>90</v>
      </c>
      <c r="CH380" s="215">
        <f t="shared" si="98"/>
        <v>-30</v>
      </c>
      <c r="CI380" s="216">
        <f t="shared" ca="1" si="99"/>
        <v>0.21506574999999906</v>
      </c>
      <c r="CJ380" s="217">
        <f t="shared" ca="1" si="100"/>
        <v>14.552782416666668</v>
      </c>
      <c r="CK380" s="218">
        <f t="shared" ca="1" si="101"/>
        <v>0.58211129666666672</v>
      </c>
    </row>
    <row r="381" spans="1:89">
      <c r="A381" s="176"/>
      <c r="B381" s="177" t="s">
        <v>75</v>
      </c>
      <c r="C381" s="178">
        <v>30</v>
      </c>
      <c r="D381" s="178">
        <v>1900</v>
      </c>
      <c r="E381" s="178" t="s">
        <v>209</v>
      </c>
      <c r="F381" s="179" t="s">
        <v>207</v>
      </c>
      <c r="G381" s="189" t="s">
        <v>214</v>
      </c>
      <c r="H381" s="178" t="s">
        <v>43</v>
      </c>
      <c r="I381" s="178"/>
      <c r="J381" s="178"/>
      <c r="K381" s="178"/>
      <c r="L381" s="178" t="s">
        <v>208</v>
      </c>
      <c r="M381" s="178">
        <v>90</v>
      </c>
      <c r="N381" s="178"/>
      <c r="O381" s="178"/>
      <c r="P381" s="178"/>
      <c r="Q381" s="178"/>
      <c r="R381" s="178" t="s">
        <v>19</v>
      </c>
      <c r="S381" s="181"/>
      <c r="T381" s="181"/>
      <c r="U381" s="182"/>
      <c r="V381" s="182" t="s">
        <v>35</v>
      </c>
      <c r="W381" s="183"/>
      <c r="X381" s="182" t="s">
        <v>158</v>
      </c>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v>1990</v>
      </c>
      <c r="BB381" s="184"/>
      <c r="BC381" s="184"/>
      <c r="BD381" s="184"/>
      <c r="BE381" s="184"/>
      <c r="BF381" s="184"/>
      <c r="BG381" s="184"/>
      <c r="BH381" s="184"/>
      <c r="BI381" s="184"/>
      <c r="BJ381" s="184"/>
      <c r="BK381" s="184"/>
      <c r="BL381" s="184"/>
      <c r="BM381" s="184"/>
      <c r="BN381" s="184"/>
      <c r="BO381" s="184"/>
      <c r="BP381" s="184"/>
      <c r="BQ381" s="184"/>
      <c r="BR381" s="184"/>
      <c r="BS381" s="184"/>
      <c r="BT381" s="184"/>
      <c r="BU381" s="146" cm="1">
        <f t="array" ref="BU381">LOOKUP(2,1/(Y381:BT381&lt;&gt;""),Y381:BH381)</f>
        <v>1990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45778</v>
      </c>
      <c r="BW381" s="211" t="e" cm="1">
        <f t="array" ref="BW381">(LOOKUP(2,1/(BH381:BT381&lt;&gt;""),BH381:BT381))/(INDEX(BH381:BT381,MATCH(TRUE,INDEX((BH381:BT381&lt;&gt;0),0),0)))-1</f>
        <v>#N/A</v>
      </c>
      <c r="BX381" s="212">
        <f t="shared" si="93"/>
        <v>1.99</v>
      </c>
      <c r="BY381" s="212">
        <f t="shared" ref="BY381:BY456" si="111">IF(X381="BRL",BX381,IF(X381="EUR",BX381*$CK$2,IF(X381="USD",BX381*$CK$1,IF(X381="CNY",BX381*$CM$1,IF(X381="RUB",BX381*$CM$2,"CRRY#")))))</f>
        <v>9.9499999999999993</v>
      </c>
      <c r="BZ381" s="212">
        <f ca="1">IF(L381="BR",'Impostos e Frete'!$F$6,IF(L381="EU",'Impostos e Frete'!$I$3,IF(L381="CN",'Impostos e Frete'!$I$4,IF(L381="JP",'Impostos e Frete'!$I$5,IF(L381="RU",'Impostos e Frete'!$I$7,"ERRO")))))</f>
        <v>1.8659666666666668</v>
      </c>
      <c r="CA381" s="212">
        <f>VLOOKUP(L381,'Impostos e Frete'!$A$3:$B$7,2,0)*'Preços e Condições'!BY381</f>
        <v>1.4924999999999999</v>
      </c>
      <c r="CB381" s="147">
        <f t="shared" si="94"/>
        <v>0</v>
      </c>
      <c r="CC381" s="147">
        <f>IF(X381="BRL",'Impostos e Frete'!$B$11,'Impostos e Frete'!$B$12)</f>
        <v>9.1999999999999998E-2</v>
      </c>
      <c r="CD381" s="213">
        <f t="shared" ca="1" si="95"/>
        <v>13.400466666666667</v>
      </c>
      <c r="CE381" s="214">
        <f t="shared" ca="1" si="96"/>
        <v>0.40201399999999998</v>
      </c>
      <c r="CF381" s="215">
        <f>VLOOKUP(L381,'Impostos e Frete'!$A$3:$C$7,3,0)</f>
        <v>120</v>
      </c>
      <c r="CG381" s="215">
        <f t="shared" si="97"/>
        <v>90</v>
      </c>
      <c r="CH381" s="215">
        <f t="shared" si="98"/>
        <v>-30</v>
      </c>
      <c r="CI381" s="216">
        <f t="shared" ca="1" si="99"/>
        <v>0.20100699999999883</v>
      </c>
      <c r="CJ381" s="217">
        <f t="shared" ca="1" si="100"/>
        <v>13.601473666666665</v>
      </c>
      <c r="CK381" s="218">
        <f t="shared" ca="1" si="101"/>
        <v>0.40804420999999996</v>
      </c>
    </row>
    <row r="382" spans="1:89">
      <c r="A382" s="176"/>
      <c r="B382" s="177" t="s">
        <v>76</v>
      </c>
      <c r="C382" s="178">
        <v>30</v>
      </c>
      <c r="D382" s="178">
        <v>1900</v>
      </c>
      <c r="E382" s="178" t="s">
        <v>209</v>
      </c>
      <c r="F382" s="179" t="s">
        <v>207</v>
      </c>
      <c r="G382" s="189" t="s">
        <v>215</v>
      </c>
      <c r="H382" s="178" t="s">
        <v>62</v>
      </c>
      <c r="I382" s="178"/>
      <c r="J382" s="178"/>
      <c r="K382" s="178"/>
      <c r="L382" s="178" t="s">
        <v>208</v>
      </c>
      <c r="M382" s="178">
        <v>90</v>
      </c>
      <c r="N382" s="178"/>
      <c r="O382" s="178"/>
      <c r="P382" s="178"/>
      <c r="Q382" s="178"/>
      <c r="R382" s="178" t="s">
        <v>19</v>
      </c>
      <c r="S382" s="181"/>
      <c r="T382" s="181"/>
      <c r="U382" s="182"/>
      <c r="V382" s="182" t="s">
        <v>35</v>
      </c>
      <c r="W382" s="183"/>
      <c r="X382" s="182" t="s">
        <v>158</v>
      </c>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v>1990</v>
      </c>
      <c r="BB382" s="184"/>
      <c r="BC382" s="184"/>
      <c r="BD382" s="184"/>
      <c r="BE382" s="184"/>
      <c r="BF382" s="184"/>
      <c r="BG382" s="184"/>
      <c r="BH382" s="184"/>
      <c r="BI382" s="184"/>
      <c r="BJ382" s="184"/>
      <c r="BK382" s="184"/>
      <c r="BL382" s="184"/>
      <c r="BM382" s="184"/>
      <c r="BN382" s="184"/>
      <c r="BO382" s="184"/>
      <c r="BP382" s="184"/>
      <c r="BQ382" s="184"/>
      <c r="BR382" s="184"/>
      <c r="BS382" s="184"/>
      <c r="BT382" s="184"/>
      <c r="BU382" s="146" cm="1">
        <f t="array" ref="BU382">LOOKUP(2,1/(Y382:BT382&lt;&gt;""),Y382:BH382)</f>
        <v>1990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45778</v>
      </c>
      <c r="BW382" s="211" t="e" cm="1">
        <f t="array" ref="BW382">(LOOKUP(2,1/(BH382:BT382&lt;&gt;""),BH382:BT382))/(INDEX(BH382:BT382,MATCH(TRUE,INDEX((BH382:BT382&lt;&gt;0),0),0)))-1</f>
        <v>#N/A</v>
      </c>
      <c r="BX382" s="212">
        <f t="shared" si="93"/>
        <v>1.99</v>
      </c>
      <c r="BY382" s="212">
        <f t="shared" si="111"/>
        <v>9.9499999999999993</v>
      </c>
      <c r="BZ382" s="212">
        <f ca="1">IF(L382="BR",'Impostos e Frete'!$F$6,IF(L382="EU",'Impostos e Frete'!$I$3,IF(L382="CN",'Impostos e Frete'!$I$4,IF(L382="JP",'Impostos e Frete'!$I$5,IF(L382="RU",'Impostos e Frete'!$I$7,"ERRO")))))</f>
        <v>1.8659666666666668</v>
      </c>
      <c r="CA382" s="212">
        <f>VLOOKUP(L382,'Impostos e Frete'!$A$3:$B$7,2,0)*'Preços e Condições'!BY382</f>
        <v>1.4924999999999999</v>
      </c>
      <c r="CB382" s="147">
        <f t="shared" si="94"/>
        <v>0</v>
      </c>
      <c r="CC382" s="147">
        <f>IF(X382="BRL",'Impostos e Frete'!$B$11,'Impostos e Frete'!$B$12)</f>
        <v>9.1999999999999998E-2</v>
      </c>
      <c r="CD382" s="213">
        <f t="shared" ca="1" si="95"/>
        <v>13.400466666666667</v>
      </c>
      <c r="CE382" s="214">
        <f t="shared" ca="1" si="96"/>
        <v>0.40201399999999998</v>
      </c>
      <c r="CF382" s="215">
        <f>VLOOKUP(L382,'Impostos e Frete'!$A$3:$C$7,3,0)</f>
        <v>120</v>
      </c>
      <c r="CG382" s="215">
        <f t="shared" si="97"/>
        <v>90</v>
      </c>
      <c r="CH382" s="215">
        <f t="shared" si="98"/>
        <v>-30</v>
      </c>
      <c r="CI382" s="216">
        <f t="shared" ca="1" si="99"/>
        <v>0.20100699999999883</v>
      </c>
      <c r="CJ382" s="217">
        <f t="shared" ca="1" si="100"/>
        <v>13.601473666666665</v>
      </c>
      <c r="CK382" s="218">
        <f t="shared" ca="1" si="101"/>
        <v>0.40804420999999996</v>
      </c>
    </row>
    <row r="383" spans="1:89">
      <c r="A383" s="176">
        <v>10801</v>
      </c>
      <c r="B383" s="177" t="s">
        <v>75</v>
      </c>
      <c r="C383" s="178">
        <v>40</v>
      </c>
      <c r="D383" s="178">
        <v>1900</v>
      </c>
      <c r="E383" s="178" t="s">
        <v>209</v>
      </c>
      <c r="F383" s="179" t="s">
        <v>21</v>
      </c>
      <c r="G383" s="185" t="s">
        <v>75</v>
      </c>
      <c r="H383" s="178" t="s">
        <v>43</v>
      </c>
      <c r="I383" s="178"/>
      <c r="J383" s="178"/>
      <c r="K383" s="178"/>
      <c r="L383" s="183" t="s">
        <v>58</v>
      </c>
      <c r="M383" s="183">
        <v>0</v>
      </c>
      <c r="N383" s="183"/>
      <c r="O383" s="178"/>
      <c r="P383" s="178">
        <v>0</v>
      </c>
      <c r="Q383" s="178"/>
      <c r="R383" s="178" t="s">
        <v>19</v>
      </c>
      <c r="S383" s="181">
        <v>0.12</v>
      </c>
      <c r="T383" s="181" t="s">
        <v>23</v>
      </c>
      <c r="U383" s="182">
        <v>9.2499999999999999E-2</v>
      </c>
      <c r="V383" s="182" t="s">
        <v>35</v>
      </c>
      <c r="W383" s="183"/>
      <c r="X383" s="182" t="s">
        <v>46</v>
      </c>
      <c r="Y383" s="184"/>
      <c r="Z383" s="184"/>
      <c r="AA383" s="184"/>
      <c r="AB383" s="146">
        <f>14912.17*0.7875</f>
        <v>11743.333875</v>
      </c>
      <c r="AC383" s="146">
        <f>14912.17*0.7986</f>
        <v>11908.858962</v>
      </c>
      <c r="AD383" s="146">
        <f>14912.17*0.7986</f>
        <v>11908.858962</v>
      </c>
      <c r="AE383" s="146">
        <f t="shared" ref="AE383:AJ383" si="112">14155.17*0.7986</f>
        <v>11304.318761999999</v>
      </c>
      <c r="AF383" s="146">
        <f t="shared" si="112"/>
        <v>11304.318761999999</v>
      </c>
      <c r="AG383" s="146">
        <f t="shared" si="112"/>
        <v>11304.318761999999</v>
      </c>
      <c r="AH383" s="146">
        <f t="shared" si="112"/>
        <v>11304.318761999999</v>
      </c>
      <c r="AI383" s="146">
        <f t="shared" si="112"/>
        <v>11304.318761999999</v>
      </c>
      <c r="AJ383" s="146">
        <f t="shared" si="112"/>
        <v>11304.318761999999</v>
      </c>
      <c r="AK383" s="146">
        <f>15358.36*0.7986</f>
        <v>12265.186296</v>
      </c>
      <c r="AL383" s="146">
        <f>15358.36*0.7986</f>
        <v>12265.186296</v>
      </c>
      <c r="AM383" s="146">
        <f>15358.36*0.7986</f>
        <v>12265.186296</v>
      </c>
      <c r="AN383" s="146">
        <f>15358.36*0.7986</f>
        <v>12265.186296</v>
      </c>
      <c r="AO383" s="146">
        <f>16279.86*0.7986</f>
        <v>13001.096196</v>
      </c>
      <c r="AP383" s="146">
        <f>16279.86*0.7986</f>
        <v>13001.096196</v>
      </c>
      <c r="AQ383" s="146">
        <f>16279.86*0.7986</f>
        <v>13001.096196</v>
      </c>
      <c r="AR383" s="184">
        <v>13911.18</v>
      </c>
      <c r="AS383" s="184">
        <v>13911.18</v>
      </c>
      <c r="AT383" s="184">
        <v>13911.18</v>
      </c>
      <c r="AU383" s="184">
        <v>13911.18</v>
      </c>
      <c r="AV383" s="184">
        <v>13911.18</v>
      </c>
      <c r="AW383" s="184">
        <v>13911.18</v>
      </c>
      <c r="AX383" s="184">
        <v>13911.18</v>
      </c>
      <c r="AY383" s="184">
        <v>13911.18</v>
      </c>
      <c r="AZ383" s="184">
        <v>13911.18</v>
      </c>
      <c r="BA383" s="184">
        <v>13911.18</v>
      </c>
      <c r="BB383" s="184">
        <v>13911.18</v>
      </c>
      <c r="BC383" s="184">
        <v>13911.18</v>
      </c>
      <c r="BD383" s="184">
        <v>13911.18</v>
      </c>
      <c r="BE383" s="184">
        <v>13911.18</v>
      </c>
      <c r="BF383" s="184">
        <v>13911.18</v>
      </c>
      <c r="BG383" s="184">
        <v>13911.18</v>
      </c>
      <c r="BH383" s="184">
        <v>13911.18</v>
      </c>
      <c r="BI383" s="184">
        <v>13274.03</v>
      </c>
      <c r="BJ383" s="184">
        <v>13738.61</v>
      </c>
      <c r="BK383" s="184">
        <v>14203.2</v>
      </c>
      <c r="BL383" s="184">
        <v>14203.2</v>
      </c>
      <c r="BM383" s="184"/>
      <c r="BN383" s="184"/>
      <c r="BO383" s="184"/>
      <c r="BP383" s="184"/>
      <c r="BQ383" s="184"/>
      <c r="BR383" s="184"/>
      <c r="BS383" s="184"/>
      <c r="BT383" s="184"/>
      <c r="BU383" s="146" cm="1">
        <f t="array" ref="BU383">LOOKUP(2,1/(Y383:BT383&lt;&gt;""),Y383:BH383)</f>
        <v>14203.2</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46113</v>
      </c>
      <c r="BW383" s="211" cm="1">
        <f t="array" ref="BW383">(LOOKUP(2,1/(BH383:BT383&lt;&gt;""),BH383:BT383))/(INDEX(BH383:BT383,MATCH(TRUE,INDEX((BH383:BT383&lt;&gt;0),0),0)))-1</f>
        <v>2.0991749082392763E-2</v>
      </c>
      <c r="BX383" s="212">
        <f t="shared" si="93"/>
        <v>14.203200000000001</v>
      </c>
      <c r="BY383" s="212">
        <f t="shared" si="111"/>
        <v>14.203200000000001</v>
      </c>
      <c r="BZ383" s="212">
        <f>IF(L383="BR",'Impostos e Frete'!$F$6,IF(L383="EU",'Impostos e Frete'!$I$3,IF(L383="CN",'Impostos e Frete'!$I$4,IF(L383="JP",'Impostos e Frete'!$I$5,IF(L383="RU",'Impostos e Frete'!$I$7,"ERRO")))))</f>
        <v>0</v>
      </c>
      <c r="CA383" s="212">
        <f>VLOOKUP(L383,'Impostos e Frete'!$A$3:$B$7,2,0)*'Preços e Condições'!BY383</f>
        <v>0</v>
      </c>
      <c r="CB383" s="147">
        <f t="shared" si="94"/>
        <v>0</v>
      </c>
      <c r="CC383" s="147">
        <f>IF(X383="BRL",'Impostos e Frete'!$B$11,'Impostos e Frete'!$B$12)</f>
        <v>0.2</v>
      </c>
      <c r="CD383" s="213">
        <f t="shared" si="95"/>
        <v>14.4032</v>
      </c>
      <c r="CE383" s="214">
        <f t="shared" si="96"/>
        <v>0.57612799999999997</v>
      </c>
      <c r="CF383" s="215">
        <f>VLOOKUP(L383,'Impostos e Frete'!$A$3:$C$7,3,0)</f>
        <v>45</v>
      </c>
      <c r="CG383" s="215">
        <f t="shared" si="97"/>
        <v>0</v>
      </c>
      <c r="CH383" s="215">
        <f t="shared" si="98"/>
        <v>-45</v>
      </c>
      <c r="CI383" s="216">
        <f t="shared" si="99"/>
        <v>0.32528424878766948</v>
      </c>
      <c r="CJ383" s="217">
        <f t="shared" si="100"/>
        <v>14.728484248787669</v>
      </c>
      <c r="CK383" s="218">
        <f t="shared" si="101"/>
        <v>0.58913936995150673</v>
      </c>
    </row>
    <row r="384" spans="1:89">
      <c r="A384" s="176">
        <v>10805</v>
      </c>
      <c r="B384" s="177" t="s">
        <v>76</v>
      </c>
      <c r="C384" s="178">
        <v>40</v>
      </c>
      <c r="D384" s="178">
        <v>1900</v>
      </c>
      <c r="E384" s="178" t="s">
        <v>209</v>
      </c>
      <c r="F384" s="179" t="s">
        <v>21</v>
      </c>
      <c r="G384" s="185" t="s">
        <v>76</v>
      </c>
      <c r="H384" s="178" t="s">
        <v>62</v>
      </c>
      <c r="I384" s="178"/>
      <c r="J384" s="178"/>
      <c r="K384" s="178"/>
      <c r="L384" s="183" t="s">
        <v>58</v>
      </c>
      <c r="M384" s="183">
        <v>0</v>
      </c>
      <c r="N384" s="183"/>
      <c r="O384" s="178"/>
      <c r="P384" s="178">
        <v>0</v>
      </c>
      <c r="Q384" s="178"/>
      <c r="R384" s="178" t="s">
        <v>19</v>
      </c>
      <c r="S384" s="181">
        <v>0.12</v>
      </c>
      <c r="T384" s="181" t="s">
        <v>23</v>
      </c>
      <c r="U384" s="182">
        <v>9.2499999999999999E-2</v>
      </c>
      <c r="V384" s="182" t="s">
        <v>35</v>
      </c>
      <c r="W384" s="183"/>
      <c r="X384" s="182" t="s">
        <v>46</v>
      </c>
      <c r="Y384" s="184"/>
      <c r="Z384" s="184"/>
      <c r="AA384" s="184"/>
      <c r="AB384" s="146">
        <f>12381.98*0.7875</f>
        <v>9750.8092500000002</v>
      </c>
      <c r="AC384" s="146">
        <f>12381.98*0.7986</f>
        <v>9888.2492279999988</v>
      </c>
      <c r="AD384" s="146">
        <f>12381.98*0.7986</f>
        <v>9888.2492279999988</v>
      </c>
      <c r="AE384" s="146">
        <f t="shared" ref="AE384:AJ384" si="113">12229.65*0.7986</f>
        <v>9766.5984900000003</v>
      </c>
      <c r="AF384" s="146">
        <f t="shared" si="113"/>
        <v>9766.5984900000003</v>
      </c>
      <c r="AG384" s="146">
        <f t="shared" si="113"/>
        <v>9766.5984900000003</v>
      </c>
      <c r="AH384" s="146">
        <f t="shared" si="113"/>
        <v>9766.5984900000003</v>
      </c>
      <c r="AI384" s="146">
        <f t="shared" si="113"/>
        <v>9766.5984900000003</v>
      </c>
      <c r="AJ384" s="146">
        <f t="shared" si="113"/>
        <v>9766.5984900000003</v>
      </c>
      <c r="AK384" s="146">
        <f>13269.17*0.7986</f>
        <v>10596.759162</v>
      </c>
      <c r="AL384" s="146">
        <f>13269.17*0.7986</f>
        <v>10596.759162</v>
      </c>
      <c r="AM384" s="146">
        <f>13269.17*0.7986</f>
        <v>10596.759162</v>
      </c>
      <c r="AN384" s="146">
        <f>13269.17*0.7986</f>
        <v>10596.759162</v>
      </c>
      <c r="AO384" s="146">
        <f>14065.32*0.7986</f>
        <v>11232.564552</v>
      </c>
      <c r="AP384" s="146">
        <f>14065.32*0.7986</f>
        <v>11232.564552</v>
      </c>
      <c r="AQ384" s="146">
        <f>14065.32*0.7986</f>
        <v>11232.564552</v>
      </c>
      <c r="AR384" s="184">
        <v>12131.17</v>
      </c>
      <c r="AS384" s="184">
        <v>12131.17</v>
      </c>
      <c r="AT384" s="184">
        <v>12131.17</v>
      </c>
      <c r="AU384" s="184">
        <v>12131.17</v>
      </c>
      <c r="AV384" s="184">
        <v>12131.17</v>
      </c>
      <c r="AW384" s="184">
        <v>12131.17</v>
      </c>
      <c r="AX384" s="184">
        <v>12131.17</v>
      </c>
      <c r="AY384" s="184">
        <v>12131.17</v>
      </c>
      <c r="AZ384" s="184">
        <v>12131.17</v>
      </c>
      <c r="BA384" s="184">
        <v>12131.17</v>
      </c>
      <c r="BB384" s="184">
        <v>12131.17</v>
      </c>
      <c r="BC384" s="184">
        <v>12131.17</v>
      </c>
      <c r="BD384" s="184">
        <v>12131.17</v>
      </c>
      <c r="BE384" s="184">
        <v>12131.17</v>
      </c>
      <c r="BF384" s="184">
        <v>12131.17</v>
      </c>
      <c r="BG384" s="184">
        <v>12131.17</v>
      </c>
      <c r="BH384" s="184">
        <v>12131.17</v>
      </c>
      <c r="BI384" s="184">
        <v>11575.55</v>
      </c>
      <c r="BJ384" s="184">
        <v>11980.69</v>
      </c>
      <c r="BK384" s="184">
        <v>12385.83</v>
      </c>
      <c r="BL384" s="184">
        <v>12385.83</v>
      </c>
      <c r="BM384" s="184"/>
      <c r="BN384" s="184"/>
      <c r="BO384" s="184"/>
      <c r="BP384" s="184"/>
      <c r="BQ384" s="184"/>
      <c r="BR384" s="184"/>
      <c r="BS384" s="184"/>
      <c r="BT384" s="184"/>
      <c r="BU384" s="146" cm="1">
        <f t="array" ref="BU384">LOOKUP(2,1/(Y384:BT384&lt;&gt;""),Y384:BH384)</f>
        <v>12385.83</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46113</v>
      </c>
      <c r="BW384" s="211" cm="1">
        <f t="array" ref="BW384">(LOOKUP(2,1/(BH384:BT384&lt;&gt;""),BH384:BT384))/(INDEX(BH384:BT384,MATCH(TRUE,INDEX((BH384:BT384&lt;&gt;0),0),0)))-1</f>
        <v>2.0992204379297386E-2</v>
      </c>
      <c r="BX384" s="212">
        <f t="shared" si="93"/>
        <v>12.38583</v>
      </c>
      <c r="BY384" s="212">
        <f t="shared" si="111"/>
        <v>12.38583</v>
      </c>
      <c r="BZ384" s="212">
        <f>IF(L384="BR",'Impostos e Frete'!$F$6,IF(L384="EU",'Impostos e Frete'!$I$3,IF(L384="CN",'Impostos e Frete'!$I$4,IF(L384="JP",'Impostos e Frete'!$I$5,IF(L384="RU",'Impostos e Frete'!$I$7,"ERRO")))))</f>
        <v>0</v>
      </c>
      <c r="CA384" s="212">
        <f>VLOOKUP(L384,'Impostos e Frete'!$A$3:$B$7,2,0)*'Preços e Condições'!BY384</f>
        <v>0</v>
      </c>
      <c r="CB384" s="147">
        <f t="shared" si="94"/>
        <v>0</v>
      </c>
      <c r="CC384" s="147">
        <f>IF(X384="BRL",'Impostos e Frete'!$B$11,'Impostos e Frete'!$B$12)</f>
        <v>0.2</v>
      </c>
      <c r="CD384" s="213">
        <f t="shared" si="95"/>
        <v>12.58583</v>
      </c>
      <c r="CE384" s="214">
        <f t="shared" si="96"/>
        <v>0.50343319999999991</v>
      </c>
      <c r="CF384" s="215">
        <f>VLOOKUP(L384,'Impostos e Frete'!$A$3:$C$7,3,0)</f>
        <v>45</v>
      </c>
      <c r="CG384" s="215">
        <f t="shared" si="97"/>
        <v>0</v>
      </c>
      <c r="CH384" s="215">
        <f t="shared" si="98"/>
        <v>-45</v>
      </c>
      <c r="CI384" s="216">
        <f t="shared" si="99"/>
        <v>0.28424046440508555</v>
      </c>
      <c r="CJ384" s="217">
        <f t="shared" si="100"/>
        <v>12.870070464405085</v>
      </c>
      <c r="CK384" s="218">
        <f t="shared" si="101"/>
        <v>0.51480281857620336</v>
      </c>
    </row>
    <row r="385" spans="1:89">
      <c r="A385" s="176">
        <v>10831</v>
      </c>
      <c r="B385" s="177" t="s">
        <v>77</v>
      </c>
      <c r="C385" s="178">
        <v>40</v>
      </c>
      <c r="D385" s="178">
        <v>1900</v>
      </c>
      <c r="E385" s="178" t="s">
        <v>209</v>
      </c>
      <c r="F385" s="179" t="s">
        <v>21</v>
      </c>
      <c r="G385" s="185" t="s">
        <v>77</v>
      </c>
      <c r="H385" s="178" t="s">
        <v>65</v>
      </c>
      <c r="I385" s="178"/>
      <c r="J385" s="178"/>
      <c r="K385" s="178"/>
      <c r="L385" s="183" t="s">
        <v>58</v>
      </c>
      <c r="M385" s="183">
        <v>0</v>
      </c>
      <c r="N385" s="183"/>
      <c r="O385" s="178"/>
      <c r="P385" s="178">
        <v>0</v>
      </c>
      <c r="Q385" s="178"/>
      <c r="R385" s="178" t="s">
        <v>19</v>
      </c>
      <c r="S385" s="181">
        <v>0.12</v>
      </c>
      <c r="T385" s="181" t="s">
        <v>23</v>
      </c>
      <c r="U385" s="182">
        <v>9.2499999999999999E-2</v>
      </c>
      <c r="V385" s="182" t="s">
        <v>35</v>
      </c>
      <c r="W385" s="183"/>
      <c r="X385" s="182" t="s">
        <v>46</v>
      </c>
      <c r="Y385" s="184"/>
      <c r="Z385" s="184"/>
      <c r="AA385" s="184"/>
      <c r="AB385" s="146">
        <f>17291.08*0.7875</f>
        <v>13616.7255</v>
      </c>
      <c r="AC385" s="146">
        <f>17291.08*0.7986</f>
        <v>13808.656488000001</v>
      </c>
      <c r="AD385" s="146">
        <f>17291.08*0.7986</f>
        <v>13808.656488000001</v>
      </c>
      <c r="AE385" s="146">
        <f t="shared" ref="AE385:AJ385" si="114">17056.46*0.7986</f>
        <v>13621.288955999999</v>
      </c>
      <c r="AF385" s="146">
        <f t="shared" si="114"/>
        <v>13621.288955999999</v>
      </c>
      <c r="AG385" s="146">
        <f t="shared" si="114"/>
        <v>13621.288955999999</v>
      </c>
      <c r="AH385" s="146">
        <f t="shared" si="114"/>
        <v>13621.288955999999</v>
      </c>
      <c r="AI385" s="146">
        <f t="shared" si="114"/>
        <v>13621.288955999999</v>
      </c>
      <c r="AJ385" s="146">
        <f t="shared" si="114"/>
        <v>13621.288955999999</v>
      </c>
      <c r="AK385" s="146">
        <f>18165.13*0.7986</f>
        <v>14506.672818000001</v>
      </c>
      <c r="AL385" s="146">
        <f>18165.13*0.7986</f>
        <v>14506.672818000001</v>
      </c>
      <c r="AM385" s="146">
        <f>18165.13*0.7986</f>
        <v>14506.672818000001</v>
      </c>
      <c r="AN385" s="146">
        <f>18165.13*0.7986</f>
        <v>14506.672818000001</v>
      </c>
      <c r="AO385" s="146">
        <f>19255.04*0.7986</f>
        <v>15377.074944</v>
      </c>
      <c r="AP385" s="146">
        <f>19255.04*0.7986</f>
        <v>15377.074944</v>
      </c>
      <c r="AQ385" s="146">
        <f>19255.04*0.7986</f>
        <v>15377.074944</v>
      </c>
      <c r="AR385" s="184">
        <v>16914.78</v>
      </c>
      <c r="AS385" s="184">
        <v>16914.78</v>
      </c>
      <c r="AT385" s="184">
        <v>16914.78</v>
      </c>
      <c r="AU385" s="184">
        <v>16914.78</v>
      </c>
      <c r="AV385" s="184">
        <v>16914.78</v>
      </c>
      <c r="AW385" s="184">
        <v>16914.78</v>
      </c>
      <c r="AX385" s="184">
        <v>16914.78</v>
      </c>
      <c r="AY385" s="184">
        <v>16914.78</v>
      </c>
      <c r="AZ385" s="184">
        <v>16914.78</v>
      </c>
      <c r="BA385" s="184">
        <v>16914.78</v>
      </c>
      <c r="BB385" s="184">
        <v>16914.78</v>
      </c>
      <c r="BC385" s="184">
        <v>16914.78</v>
      </c>
      <c r="BD385" s="184">
        <v>16914.78</v>
      </c>
      <c r="BE385" s="184">
        <v>16914.78</v>
      </c>
      <c r="BF385" s="184">
        <v>16914.78</v>
      </c>
      <c r="BG385" s="184">
        <v>16914.78</v>
      </c>
      <c r="BH385" s="184">
        <v>16914.78</v>
      </c>
      <c r="BI385" s="184">
        <v>16140.06</v>
      </c>
      <c r="BJ385" s="184">
        <v>16704.96</v>
      </c>
      <c r="BK385" s="184">
        <v>17269.86</v>
      </c>
      <c r="BL385" s="184">
        <v>17269.86</v>
      </c>
      <c r="BM385" s="184"/>
      <c r="BN385" s="184"/>
      <c r="BO385" s="184"/>
      <c r="BP385" s="184"/>
      <c r="BQ385" s="184"/>
      <c r="BR385" s="184"/>
      <c r="BS385" s="184"/>
      <c r="BT385" s="184"/>
      <c r="BU385" s="146" cm="1">
        <f t="array" ref="BU385">LOOKUP(2,1/(Y385:BT385&lt;&gt;""),Y385:BH385)</f>
        <v>17269.86</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46113</v>
      </c>
      <c r="BW385" s="211" cm="1">
        <f t="array" ref="BW385">(LOOKUP(2,1/(BH385:BT385&lt;&gt;""),BH385:BT385))/(INDEX(BH385:BT385,MATCH(TRUE,INDEX((BH385:BT385&lt;&gt;0),0),0)))-1</f>
        <v>2.0992291948225272E-2</v>
      </c>
      <c r="BX385" s="212">
        <f t="shared" ref="BX385:BX475" si="115">BU385/1000</f>
        <v>17.269860000000001</v>
      </c>
      <c r="BY385" s="212">
        <f t="shared" si="111"/>
        <v>17.269860000000001</v>
      </c>
      <c r="BZ385" s="212">
        <f>IF(L385="BR",'Impostos e Frete'!$F$6,IF(L385="EU",'Impostos e Frete'!$I$3,IF(L385="CN",'Impostos e Frete'!$I$4,IF(L385="JP",'Impostos e Frete'!$I$5,IF(L385="RU",'Impostos e Frete'!$I$7,"ERRO")))))</f>
        <v>0</v>
      </c>
      <c r="CA385" s="212">
        <f>VLOOKUP(L385,'Impostos e Frete'!$A$3:$B$7,2,0)*'Preços e Condições'!BY385</f>
        <v>0</v>
      </c>
      <c r="CB385" s="147">
        <f t="shared" ref="CB385:CB475" si="116">IF(R385="CFR",$CB$2,IF(R385="FOB",0,IF(R385="EXW",$CB$1,"ERRO")))</f>
        <v>0</v>
      </c>
      <c r="CC385" s="147">
        <f>IF(X385="BRL",'Impostos e Frete'!$B$11,'Impostos e Frete'!$B$12)</f>
        <v>0.2</v>
      </c>
      <c r="CD385" s="213">
        <f t="shared" ref="CD385:CD475" si="117">SUM(BY385:CC385)</f>
        <v>17.469860000000001</v>
      </c>
      <c r="CE385" s="214">
        <f t="shared" ref="CE385:CE475" si="118">IF(C385="","erro",(CD385/1000)*C385)</f>
        <v>0.69879440000000004</v>
      </c>
      <c r="CF385" s="215">
        <f>VLOOKUP(L385,'Impostos e Frete'!$A$3:$C$7,3,0)</f>
        <v>45</v>
      </c>
      <c r="CG385" s="215">
        <f t="shared" ref="CG385:CG475" si="119">M385</f>
        <v>0</v>
      </c>
      <c r="CH385" s="215">
        <f t="shared" ref="CH385:CH475" si="120">CG385-CF385</f>
        <v>-45</v>
      </c>
      <c r="CI385" s="216">
        <f t="shared" ref="CI385:CI475" si="121">CD385*(1+VALUE($CI$2))^((CH385*-1)/30)-CD385</f>
        <v>0.39454220496318726</v>
      </c>
      <c r="CJ385" s="217">
        <f t="shared" ref="CJ385:CJ475" si="122">CD385+CI385</f>
        <v>17.864402204963188</v>
      </c>
      <c r="CK385" s="218">
        <f t="shared" ref="CK385:CK475" si="123">IF(C385="","erro",(CJ385/1000)*C385)</f>
        <v>0.71457608819852747</v>
      </c>
    </row>
    <row r="386" spans="1:89">
      <c r="A386" s="176">
        <v>10860</v>
      </c>
      <c r="B386" s="177" t="s">
        <v>122</v>
      </c>
      <c r="C386" s="178">
        <v>40</v>
      </c>
      <c r="D386" s="178">
        <v>1900</v>
      </c>
      <c r="E386" s="178" t="s">
        <v>209</v>
      </c>
      <c r="F386" s="179" t="s">
        <v>21</v>
      </c>
      <c r="G386" s="185" t="s">
        <v>122</v>
      </c>
      <c r="H386" s="178" t="s">
        <v>43</v>
      </c>
      <c r="I386" s="178"/>
      <c r="J386" s="178"/>
      <c r="K386" s="178"/>
      <c r="L386" s="183" t="s">
        <v>58</v>
      </c>
      <c r="M386" s="183">
        <v>0</v>
      </c>
      <c r="N386" s="183"/>
      <c r="O386" s="178"/>
      <c r="P386" s="178">
        <v>0</v>
      </c>
      <c r="Q386" s="178"/>
      <c r="R386" s="178" t="s">
        <v>19</v>
      </c>
      <c r="S386" s="181">
        <v>0.12</v>
      </c>
      <c r="T386" s="181" t="s">
        <v>23</v>
      </c>
      <c r="U386" s="182">
        <v>9.2499999999999999E-2</v>
      </c>
      <c r="V386" s="182" t="s">
        <v>35</v>
      </c>
      <c r="W386" s="183"/>
      <c r="X386" s="182" t="s">
        <v>46</v>
      </c>
      <c r="Y386" s="184"/>
      <c r="Z386" s="184"/>
      <c r="AA386" s="184"/>
      <c r="AB386" s="146">
        <f>22405.74*0.7875</f>
        <v>17644.520250000001</v>
      </c>
      <c r="AC386" s="146">
        <f>22405.74*0.7986</f>
        <v>17893.223964000001</v>
      </c>
      <c r="AD386" s="146">
        <f>22405.74*0.7986</f>
        <v>17893.223964000001</v>
      </c>
      <c r="AE386" s="146">
        <f t="shared" ref="AE386:AJ386" si="124">20712.35*0.7986</f>
        <v>16540.882709999998</v>
      </c>
      <c r="AF386" s="146">
        <f t="shared" si="124"/>
        <v>16540.882709999998</v>
      </c>
      <c r="AG386" s="146">
        <f t="shared" si="124"/>
        <v>16540.882709999998</v>
      </c>
      <c r="AH386" s="146">
        <f t="shared" si="124"/>
        <v>16540.882709999998</v>
      </c>
      <c r="AI386" s="146">
        <f t="shared" si="124"/>
        <v>16540.882709999998</v>
      </c>
      <c r="AJ386" s="146">
        <f t="shared" si="124"/>
        <v>16540.882709999998</v>
      </c>
      <c r="AK386" s="146">
        <f t="shared" ref="AK386:AQ386" si="125">22472.9*0.7986</f>
        <v>17946.857940000002</v>
      </c>
      <c r="AL386" s="146">
        <f t="shared" si="125"/>
        <v>17946.857940000002</v>
      </c>
      <c r="AM386" s="146">
        <f t="shared" si="125"/>
        <v>17946.857940000002</v>
      </c>
      <c r="AN386" s="146">
        <f t="shared" si="125"/>
        <v>17946.857940000002</v>
      </c>
      <c r="AO386" s="146">
        <f t="shared" si="125"/>
        <v>17946.857940000002</v>
      </c>
      <c r="AP386" s="146">
        <f t="shared" si="125"/>
        <v>17946.857940000002</v>
      </c>
      <c r="AQ386" s="146">
        <f t="shared" si="125"/>
        <v>17946.857940000002</v>
      </c>
      <c r="AR386" s="184">
        <v>18844.2</v>
      </c>
      <c r="AS386" s="184">
        <v>18844.2</v>
      </c>
      <c r="AT386" s="184">
        <v>18844.2</v>
      </c>
      <c r="AU386" s="184">
        <v>18844.2</v>
      </c>
      <c r="AV386" s="184">
        <v>18844.2</v>
      </c>
      <c r="AW386" s="184">
        <v>18844.2</v>
      </c>
      <c r="AX386" s="184">
        <v>18844.2</v>
      </c>
      <c r="AY386" s="184">
        <v>18844.2</v>
      </c>
      <c r="AZ386" s="184">
        <v>18844.2</v>
      </c>
      <c r="BA386" s="184">
        <v>18844.2</v>
      </c>
      <c r="BB386" s="184">
        <v>18844.2</v>
      </c>
      <c r="BC386" s="184">
        <v>18844.2</v>
      </c>
      <c r="BD386" s="184">
        <v>18844.2</v>
      </c>
      <c r="BE386" s="184">
        <v>18844.2</v>
      </c>
      <c r="BF386" s="184">
        <v>18844.2</v>
      </c>
      <c r="BG386" s="184">
        <v>18844.2</v>
      </c>
      <c r="BH386" s="184">
        <v>18844.2</v>
      </c>
      <c r="BI386" s="184">
        <v>17981.11</v>
      </c>
      <c r="BJ386" s="184">
        <v>18610.439999999999</v>
      </c>
      <c r="BK386" s="184">
        <v>19239.78</v>
      </c>
      <c r="BL386" s="184">
        <v>19239.78</v>
      </c>
      <c r="BM386" s="184"/>
      <c r="BN386" s="184"/>
      <c r="BO386" s="184"/>
      <c r="BP386" s="184"/>
      <c r="BQ386" s="184"/>
      <c r="BR386" s="184"/>
      <c r="BS386" s="184"/>
      <c r="BT386" s="184"/>
      <c r="BU386" s="146" cm="1">
        <f t="array" ref="BU386">LOOKUP(2,1/(Y386:BT386&lt;&gt;""),Y386:BH386)</f>
        <v>19239.78</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46113</v>
      </c>
      <c r="BW386" s="211" cm="1">
        <f t="array" ref="BW386">(LOOKUP(2,1/(BH386:BT386&lt;&gt;""),BH386:BT386))/(INDEX(BH386:BT386,MATCH(TRUE,INDEX((BH386:BT386&lt;&gt;0),0),0)))-1</f>
        <v>2.0992135511191723E-2</v>
      </c>
      <c r="BX386" s="212">
        <f t="shared" si="115"/>
        <v>19.23978</v>
      </c>
      <c r="BY386" s="212">
        <f t="shared" si="111"/>
        <v>19.23978</v>
      </c>
      <c r="BZ386" s="212">
        <f>IF(L386="BR",'Impostos e Frete'!$F$6,IF(L386="EU",'Impostos e Frete'!$I$3,IF(L386="CN",'Impostos e Frete'!$I$4,IF(L386="JP",'Impostos e Frete'!$I$5,IF(L386="RU",'Impostos e Frete'!$I$7,"ERRO")))))</f>
        <v>0</v>
      </c>
      <c r="CA386" s="212">
        <f>VLOOKUP(L386,'Impostos e Frete'!$A$3:$B$7,2,0)*'Preços e Condições'!BY386</f>
        <v>0</v>
      </c>
      <c r="CB386" s="147">
        <f t="shared" si="116"/>
        <v>0</v>
      </c>
      <c r="CC386" s="147">
        <f>IF(X386="BRL",'Impostos e Frete'!$B$11,'Impostos e Frete'!$B$12)</f>
        <v>0.2</v>
      </c>
      <c r="CD386" s="213">
        <f t="shared" si="117"/>
        <v>19.439779999999999</v>
      </c>
      <c r="CE386" s="214">
        <f t="shared" si="118"/>
        <v>0.77759120000000004</v>
      </c>
      <c r="CF386" s="215">
        <f>VLOOKUP(L386,'Impostos e Frete'!$A$3:$C$7,3,0)</f>
        <v>45</v>
      </c>
      <c r="CG386" s="215">
        <f t="shared" si="119"/>
        <v>0</v>
      </c>
      <c r="CH386" s="215">
        <f t="shared" si="120"/>
        <v>-45</v>
      </c>
      <c r="CI386" s="216">
        <f t="shared" si="121"/>
        <v>0.43903120375316362</v>
      </c>
      <c r="CJ386" s="217">
        <f t="shared" si="122"/>
        <v>19.878811203753163</v>
      </c>
      <c r="CK386" s="218">
        <f t="shared" si="123"/>
        <v>0.79515244815012653</v>
      </c>
    </row>
    <row r="387" spans="1:89">
      <c r="A387" s="176">
        <v>10862</v>
      </c>
      <c r="B387" s="177" t="s">
        <v>76</v>
      </c>
      <c r="C387" s="178">
        <v>40</v>
      </c>
      <c r="D387" s="178">
        <v>1905</v>
      </c>
      <c r="E387" s="178" t="s">
        <v>209</v>
      </c>
      <c r="F387" s="179" t="s">
        <v>21</v>
      </c>
      <c r="G387" s="185" t="s">
        <v>76</v>
      </c>
      <c r="H387" s="178" t="s">
        <v>62</v>
      </c>
      <c r="I387" s="178"/>
      <c r="J387" s="178"/>
      <c r="K387" s="178"/>
      <c r="L387" s="183" t="s">
        <v>58</v>
      </c>
      <c r="M387" s="183">
        <v>0</v>
      </c>
      <c r="N387" s="183"/>
      <c r="O387" s="178"/>
      <c r="P387" s="178">
        <v>0</v>
      </c>
      <c r="Q387" s="178"/>
      <c r="R387" s="178" t="s">
        <v>19</v>
      </c>
      <c r="S387" s="181">
        <v>0.12</v>
      </c>
      <c r="T387" s="181" t="s">
        <v>23</v>
      </c>
      <c r="U387" s="182">
        <v>9.2499999999999999E-2</v>
      </c>
      <c r="V387" s="182" t="s">
        <v>35</v>
      </c>
      <c r="W387" s="183"/>
      <c r="X387" s="182" t="s">
        <v>46</v>
      </c>
      <c r="Y387" s="184"/>
      <c r="Z387" s="184"/>
      <c r="AA387" s="184"/>
      <c r="AB387" s="146">
        <f>12381.98*0.7875</f>
        <v>9750.8092500000002</v>
      </c>
      <c r="AC387" s="146">
        <f>12381.98*0.7986</f>
        <v>9888.2492279999988</v>
      </c>
      <c r="AD387" s="146">
        <f>12381.98*0.7986</f>
        <v>9888.2492279999988</v>
      </c>
      <c r="AE387" s="146">
        <f t="shared" ref="AE387:AJ387" si="126">12229.65*0.7986</f>
        <v>9766.5984900000003</v>
      </c>
      <c r="AF387" s="146">
        <f t="shared" si="126"/>
        <v>9766.5984900000003</v>
      </c>
      <c r="AG387" s="146">
        <f t="shared" si="126"/>
        <v>9766.5984900000003</v>
      </c>
      <c r="AH387" s="146">
        <f t="shared" si="126"/>
        <v>9766.5984900000003</v>
      </c>
      <c r="AI387" s="146">
        <f t="shared" si="126"/>
        <v>9766.5984900000003</v>
      </c>
      <c r="AJ387" s="146">
        <f t="shared" si="126"/>
        <v>9766.5984900000003</v>
      </c>
      <c r="AK387" s="146">
        <f>13269.17*0.7986</f>
        <v>10596.759162</v>
      </c>
      <c r="AL387" s="146">
        <f>13269.17*0.7986</f>
        <v>10596.759162</v>
      </c>
      <c r="AM387" s="146">
        <f>13269.17*0.7986</f>
        <v>10596.759162</v>
      </c>
      <c r="AN387" s="146">
        <f>13269.17*0.7986</f>
        <v>10596.759162</v>
      </c>
      <c r="AO387" s="146">
        <f>14065.32*0.7986</f>
        <v>11232.564552</v>
      </c>
      <c r="AP387" s="146">
        <f>14065.32*0.7986</f>
        <v>11232.564552</v>
      </c>
      <c r="AQ387" s="146">
        <f>14065.32*0.7986</f>
        <v>11232.564552</v>
      </c>
      <c r="AR387" s="184">
        <v>12131.17</v>
      </c>
      <c r="AS387" s="184">
        <v>12131.17</v>
      </c>
      <c r="AT387" s="184">
        <v>12131.17</v>
      </c>
      <c r="AU387" s="184">
        <v>12131.17</v>
      </c>
      <c r="AV387" s="184">
        <v>12131.17</v>
      </c>
      <c r="AW387" s="184">
        <v>12131.17</v>
      </c>
      <c r="AX387" s="184">
        <v>12131.17</v>
      </c>
      <c r="AY387" s="184">
        <v>12131.17</v>
      </c>
      <c r="AZ387" s="184">
        <v>12131.17</v>
      </c>
      <c r="BA387" s="184">
        <v>12131.17</v>
      </c>
      <c r="BB387" s="184">
        <v>12131.17</v>
      </c>
      <c r="BC387" s="184">
        <v>12131.17</v>
      </c>
      <c r="BD387" s="184">
        <v>12131.17</v>
      </c>
      <c r="BE387" s="184">
        <v>12131.17</v>
      </c>
      <c r="BF387" s="184">
        <v>12131.17</v>
      </c>
      <c r="BG387" s="184">
        <v>12131.17</v>
      </c>
      <c r="BH387" s="184">
        <v>12131.17</v>
      </c>
      <c r="BI387" s="184">
        <v>11575.55</v>
      </c>
      <c r="BJ387" s="184">
        <v>11980.69</v>
      </c>
      <c r="BK387" s="184">
        <v>12385.83</v>
      </c>
      <c r="BL387" s="184">
        <v>12385.83</v>
      </c>
      <c r="BM387" s="184"/>
      <c r="BN387" s="184"/>
      <c r="BO387" s="184"/>
      <c r="BP387" s="184"/>
      <c r="BQ387" s="184"/>
      <c r="BR387" s="184"/>
      <c r="BS387" s="184"/>
      <c r="BT387" s="184"/>
      <c r="BU387" s="146" cm="1">
        <f t="array" ref="BU387">LOOKUP(2,1/(Y387:BT387&lt;&gt;""),Y387:BH387)</f>
        <v>12385.83</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46113</v>
      </c>
      <c r="BW387" s="211" cm="1">
        <f t="array" ref="BW387">(LOOKUP(2,1/(BH387:BT387&lt;&gt;""),BH387:BT387))/(INDEX(BH387:BT387,MATCH(TRUE,INDEX((BH387:BT387&lt;&gt;0),0),0)))-1</f>
        <v>2.0992204379297386E-2</v>
      </c>
      <c r="BX387" s="212">
        <f t="shared" si="115"/>
        <v>12.38583</v>
      </c>
      <c r="BY387" s="212">
        <f t="shared" si="111"/>
        <v>12.38583</v>
      </c>
      <c r="BZ387" s="212">
        <f>IF(L387="BR",'Impostos e Frete'!$F$6,IF(L387="EU",'Impostos e Frete'!$I$3,IF(L387="CN",'Impostos e Frete'!$I$4,IF(L387="JP",'Impostos e Frete'!$I$5,IF(L387="RU",'Impostos e Frete'!$I$7,"ERRO")))))</f>
        <v>0</v>
      </c>
      <c r="CA387" s="212">
        <f>VLOOKUP(L387,'Impostos e Frete'!$A$3:$B$7,2,0)*'Preços e Condições'!BY387</f>
        <v>0</v>
      </c>
      <c r="CB387" s="147">
        <f t="shared" si="116"/>
        <v>0</v>
      </c>
      <c r="CC387" s="147">
        <f>IF(X387="BRL",'Impostos e Frete'!$B$11,'Impostos e Frete'!$B$12)</f>
        <v>0.2</v>
      </c>
      <c r="CD387" s="213">
        <f t="shared" si="117"/>
        <v>12.58583</v>
      </c>
      <c r="CE387" s="214">
        <f t="shared" si="118"/>
        <v>0.50343319999999991</v>
      </c>
      <c r="CF387" s="215">
        <f>VLOOKUP(L387,'Impostos e Frete'!$A$3:$C$7,3,0)</f>
        <v>45</v>
      </c>
      <c r="CG387" s="215">
        <f t="shared" si="119"/>
        <v>0</v>
      </c>
      <c r="CH387" s="215">
        <f t="shared" si="120"/>
        <v>-45</v>
      </c>
      <c r="CI387" s="216">
        <f t="shared" si="121"/>
        <v>0.28424046440508555</v>
      </c>
      <c r="CJ387" s="217">
        <f t="shared" si="122"/>
        <v>12.870070464405085</v>
      </c>
      <c r="CK387" s="218">
        <f t="shared" si="123"/>
        <v>0.51480281857620336</v>
      </c>
    </row>
    <row r="388" spans="1:89">
      <c r="A388" s="176">
        <v>10843</v>
      </c>
      <c r="B388" s="177" t="s">
        <v>78</v>
      </c>
      <c r="C388" s="178">
        <v>45</v>
      </c>
      <c r="D388" s="178">
        <v>1900</v>
      </c>
      <c r="E388" s="178" t="s">
        <v>209</v>
      </c>
      <c r="F388" s="179" t="s">
        <v>21</v>
      </c>
      <c r="G388" s="185" t="s">
        <v>78</v>
      </c>
      <c r="H388" s="178" t="s">
        <v>66</v>
      </c>
      <c r="I388" s="178"/>
      <c r="J388" s="178"/>
      <c r="K388" s="178"/>
      <c r="L388" s="183" t="s">
        <v>58</v>
      </c>
      <c r="M388" s="183">
        <v>0</v>
      </c>
      <c r="N388" s="183"/>
      <c r="O388" s="178"/>
      <c r="P388" s="178">
        <v>0</v>
      </c>
      <c r="Q388" s="178"/>
      <c r="R388" s="178" t="s">
        <v>19</v>
      </c>
      <c r="S388" s="181">
        <v>0.12</v>
      </c>
      <c r="T388" s="181" t="s">
        <v>23</v>
      </c>
      <c r="U388" s="182">
        <v>9.2499999999999999E-2</v>
      </c>
      <c r="V388" s="182" t="s">
        <v>35</v>
      </c>
      <c r="W388" s="183"/>
      <c r="X388" s="182" t="s">
        <v>46</v>
      </c>
      <c r="Y388" s="184"/>
      <c r="Z388" s="184"/>
      <c r="AA388" s="184"/>
      <c r="AB388" s="146">
        <f>15908.98*0.7875</f>
        <v>12528.321749999999</v>
      </c>
      <c r="AC388" s="146">
        <f>15908.98*0.7986</f>
        <v>12704.911427999999</v>
      </c>
      <c r="AD388" s="146">
        <f>15908.98*0.7986</f>
        <v>12704.911427999999</v>
      </c>
      <c r="AE388" s="146">
        <f t="shared" ref="AE388:AJ388" si="127">15417.17*0.7986</f>
        <v>12312.151962</v>
      </c>
      <c r="AF388" s="146">
        <f t="shared" si="127"/>
        <v>12312.151962</v>
      </c>
      <c r="AG388" s="146">
        <f t="shared" si="127"/>
        <v>12312.151962</v>
      </c>
      <c r="AH388" s="146">
        <f t="shared" si="127"/>
        <v>12312.151962</v>
      </c>
      <c r="AI388" s="146">
        <f t="shared" si="127"/>
        <v>12312.151962</v>
      </c>
      <c r="AJ388" s="146">
        <f t="shared" si="127"/>
        <v>12312.151962</v>
      </c>
      <c r="AK388" s="146">
        <f>16727.63*0.7986</f>
        <v>13358.685318</v>
      </c>
      <c r="AL388" s="146">
        <f>16727.63*0.7986</f>
        <v>13358.685318</v>
      </c>
      <c r="AM388" s="146">
        <f>16727.63*0.7986</f>
        <v>13358.685318</v>
      </c>
      <c r="AN388" s="146">
        <f>16727.63*0.7986</f>
        <v>13358.685318</v>
      </c>
      <c r="AO388" s="146">
        <f>17731.28*0.7986</f>
        <v>14160.200207999998</v>
      </c>
      <c r="AP388" s="146">
        <f>17731.28*0.7986</f>
        <v>14160.200207999998</v>
      </c>
      <c r="AQ388" s="146">
        <f>17731.28*0.7986</f>
        <v>14160.200207999998</v>
      </c>
      <c r="AR388" s="184">
        <v>19859.43</v>
      </c>
      <c r="AS388" s="184">
        <v>19859.43</v>
      </c>
      <c r="AT388" s="184">
        <v>19859.43</v>
      </c>
      <c r="AU388" s="184">
        <v>19859.43</v>
      </c>
      <c r="AV388" s="184">
        <v>19859.43</v>
      </c>
      <c r="AW388" s="184">
        <v>15859</v>
      </c>
      <c r="AX388" s="184">
        <v>15859</v>
      </c>
      <c r="AY388" s="184">
        <v>15859</v>
      </c>
      <c r="AZ388" s="184">
        <v>15859</v>
      </c>
      <c r="BA388" s="184">
        <v>15859</v>
      </c>
      <c r="BB388" s="184">
        <v>15859</v>
      </c>
      <c r="BC388" s="184">
        <v>16477.5</v>
      </c>
      <c r="BD388" s="184">
        <v>16477.5</v>
      </c>
      <c r="BE388" s="184">
        <v>16477.5</v>
      </c>
      <c r="BF388" s="184">
        <v>16477.5</v>
      </c>
      <c r="BG388" s="184">
        <v>16477.5</v>
      </c>
      <c r="BH388" s="184">
        <v>16477.5</v>
      </c>
      <c r="BI388" s="184">
        <v>15722.81</v>
      </c>
      <c r="BJ388" s="184">
        <v>16273.1</v>
      </c>
      <c r="BK388" s="184">
        <v>16823.400000000001</v>
      </c>
      <c r="BL388" s="184">
        <v>16823.400000000001</v>
      </c>
      <c r="BM388" s="184"/>
      <c r="BN388" s="184"/>
      <c r="BO388" s="184"/>
      <c r="BP388" s="184"/>
      <c r="BQ388" s="184"/>
      <c r="BR388" s="184"/>
      <c r="BS388" s="184"/>
      <c r="BT388" s="184"/>
      <c r="BU388" s="146" cm="1">
        <f t="array" ref="BU388">LOOKUP(2,1/(Y388:BT388&lt;&gt;""),Y388:BH388)</f>
        <v>16823.400000000001</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46113</v>
      </c>
      <c r="BW388" s="211" cm="1">
        <f t="array" ref="BW388">(LOOKUP(2,1/(BH388:BT388&lt;&gt;""),BH388:BT388))/(INDEX(BH388:BT388,MATCH(TRUE,INDEX((BH388:BT388&lt;&gt;0),0),0)))-1</f>
        <v>2.0992262175694165E-2</v>
      </c>
      <c r="BX388" s="212">
        <f t="shared" si="115"/>
        <v>16.823400000000003</v>
      </c>
      <c r="BY388" s="212">
        <f t="shared" si="111"/>
        <v>16.823400000000003</v>
      </c>
      <c r="BZ388" s="212">
        <f>IF(L388="BR",'Impostos e Frete'!$F$6,IF(L388="EU",'Impostos e Frete'!$I$3,IF(L388="CN",'Impostos e Frete'!$I$4,IF(L388="JP",'Impostos e Frete'!$I$5,IF(L388="RU",'Impostos e Frete'!$I$7,"ERRO")))))</f>
        <v>0</v>
      </c>
      <c r="CA388" s="212">
        <f>VLOOKUP(L388,'Impostos e Frete'!$A$3:$B$7,2,0)*'Preços e Condições'!BY388</f>
        <v>0</v>
      </c>
      <c r="CB388" s="147">
        <f t="shared" si="116"/>
        <v>0</v>
      </c>
      <c r="CC388" s="147">
        <f>IF(X388="BRL",'Impostos e Frete'!$B$11,'Impostos e Frete'!$B$12)</f>
        <v>0.2</v>
      </c>
      <c r="CD388" s="213">
        <f t="shared" si="117"/>
        <v>17.023400000000002</v>
      </c>
      <c r="CE388" s="214">
        <f t="shared" si="118"/>
        <v>0.76605300000000009</v>
      </c>
      <c r="CF388" s="215">
        <f>VLOOKUP(L388,'Impostos e Frete'!$A$3:$C$7,3,0)</f>
        <v>45</v>
      </c>
      <c r="CG388" s="215">
        <f t="shared" si="119"/>
        <v>0</v>
      </c>
      <c r="CH388" s="215">
        <f t="shared" si="120"/>
        <v>-45</v>
      </c>
      <c r="CI388" s="216">
        <f t="shared" si="121"/>
        <v>0.38445927855004669</v>
      </c>
      <c r="CJ388" s="217">
        <f t="shared" si="122"/>
        <v>17.407859278550049</v>
      </c>
      <c r="CK388" s="218">
        <f t="shared" si="123"/>
        <v>0.78335366753475222</v>
      </c>
    </row>
    <row r="389" spans="1:89">
      <c r="A389" s="176">
        <v>10866</v>
      </c>
      <c r="B389" s="177" t="s">
        <v>344</v>
      </c>
      <c r="C389" s="178">
        <v>40</v>
      </c>
      <c r="D389" s="178">
        <v>1270</v>
      </c>
      <c r="E389" s="178" t="s">
        <v>209</v>
      </c>
      <c r="F389" s="179" t="s">
        <v>21</v>
      </c>
      <c r="G389" s="185" t="s">
        <v>333</v>
      </c>
      <c r="H389" s="178" t="s">
        <v>43</v>
      </c>
      <c r="I389" s="178"/>
      <c r="J389" s="178"/>
      <c r="K389" s="178"/>
      <c r="L389" s="183" t="s">
        <v>58</v>
      </c>
      <c r="M389" s="183">
        <v>0</v>
      </c>
      <c r="N389" s="183"/>
      <c r="O389" s="178"/>
      <c r="P389" s="178">
        <v>0</v>
      </c>
      <c r="Q389" s="178"/>
      <c r="R389" s="178" t="s">
        <v>19</v>
      </c>
      <c r="S389" s="181">
        <v>0.12</v>
      </c>
      <c r="T389" s="181" t="s">
        <v>23</v>
      </c>
      <c r="U389" s="182">
        <v>9.2499999999999999E-2</v>
      </c>
      <c r="V389" s="182" t="s">
        <v>35</v>
      </c>
      <c r="W389" s="183"/>
      <c r="X389" s="182" t="s">
        <v>46</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v>9432</v>
      </c>
      <c r="BB389" s="184">
        <v>9432</v>
      </c>
      <c r="BC389" s="184">
        <v>9432</v>
      </c>
      <c r="BD389" s="184">
        <v>9432</v>
      </c>
      <c r="BE389" s="184">
        <v>9432</v>
      </c>
      <c r="BF389" s="184">
        <v>9432</v>
      </c>
      <c r="BG389" s="184">
        <v>9432</v>
      </c>
      <c r="BH389" s="184">
        <v>9432</v>
      </c>
      <c r="BI389" s="184"/>
      <c r="BJ389" s="184"/>
      <c r="BK389" s="184"/>
      <c r="BL389" s="184"/>
      <c r="BM389" s="184"/>
      <c r="BN389" s="184"/>
      <c r="BO389" s="184"/>
      <c r="BP389" s="184"/>
      <c r="BQ389" s="184"/>
      <c r="BR389" s="184"/>
      <c r="BS389" s="184"/>
      <c r="BT389" s="184"/>
      <c r="BU389" s="146" cm="1">
        <f t="array" ref="BU389">LOOKUP(2,1/(Y389:BT389&lt;&gt;""),Y389:BH389)</f>
        <v>9432</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45992</v>
      </c>
      <c r="BW389" s="211" cm="1">
        <f t="array" ref="BW389">(LOOKUP(2,1/(BH389:BT389&lt;&gt;""),BH389:BT389))/(INDEX(BH389:BT389,MATCH(TRUE,INDEX((BH389:BT389&lt;&gt;0),0),0)))-1</f>
        <v>0</v>
      </c>
      <c r="BX389" s="212">
        <f t="shared" si="115"/>
        <v>9.4320000000000004</v>
      </c>
      <c r="BY389" s="212">
        <f t="shared" si="111"/>
        <v>9.4320000000000004</v>
      </c>
      <c r="BZ389" s="212">
        <f>IF(L389="BR",'Impostos e Frete'!$F$6,IF(L389="EU",'Impostos e Frete'!$I$3,IF(L389="CN",'Impostos e Frete'!$I$4,IF(L389="JP",'Impostos e Frete'!$I$5,IF(L389="RU",'Impostos e Frete'!$I$7,"ERRO")))))</f>
        <v>0</v>
      </c>
      <c r="CA389" s="212">
        <f>VLOOKUP(L389,'Impostos e Frete'!$A$3:$B$7,2,0)*'Preços e Condições'!BY389</f>
        <v>0</v>
      </c>
      <c r="CB389" s="147">
        <f t="shared" si="116"/>
        <v>0</v>
      </c>
      <c r="CC389" s="147">
        <f>IF(X389="BRL",'Impostos e Frete'!$B$11,'Impostos e Frete'!$B$12)</f>
        <v>0.2</v>
      </c>
      <c r="CD389" s="213">
        <f t="shared" si="117"/>
        <v>9.6319999999999997</v>
      </c>
      <c r="CE389" s="214">
        <f t="shared" si="118"/>
        <v>0.38528000000000001</v>
      </c>
      <c r="CF389" s="215">
        <f>VLOOKUP(L389,'Impostos e Frete'!$A$3:$C$7,3,0)</f>
        <v>45</v>
      </c>
      <c r="CG389" s="215">
        <f t="shared" si="119"/>
        <v>0</v>
      </c>
      <c r="CH389" s="215">
        <f t="shared" si="120"/>
        <v>-45</v>
      </c>
      <c r="CI389" s="216">
        <f t="shared" si="121"/>
        <v>0.21753067959362049</v>
      </c>
      <c r="CJ389" s="217">
        <f t="shared" si="122"/>
        <v>9.8495306795936202</v>
      </c>
      <c r="CK389" s="218">
        <f t="shared" si="123"/>
        <v>0.39398122718374479</v>
      </c>
    </row>
    <row r="390" spans="1:89">
      <c r="A390" s="176">
        <v>10865</v>
      </c>
      <c r="B390" s="177" t="s">
        <v>123</v>
      </c>
      <c r="C390" s="178">
        <v>60</v>
      </c>
      <c r="D390" s="178">
        <v>2080</v>
      </c>
      <c r="E390" s="178" t="s">
        <v>49</v>
      </c>
      <c r="F390" s="179" t="s">
        <v>21</v>
      </c>
      <c r="G390" s="192" t="s">
        <v>15</v>
      </c>
      <c r="H390" s="178" t="s">
        <v>61</v>
      </c>
      <c r="I390" s="178"/>
      <c r="J390" s="178"/>
      <c r="K390" s="178"/>
      <c r="L390" s="183" t="s">
        <v>58</v>
      </c>
      <c r="M390" s="183">
        <v>0</v>
      </c>
      <c r="N390" s="183"/>
      <c r="O390" s="178"/>
      <c r="P390" s="178">
        <v>0</v>
      </c>
      <c r="Q390" s="178"/>
      <c r="R390" s="178" t="s">
        <v>19</v>
      </c>
      <c r="S390" s="181">
        <v>0.12</v>
      </c>
      <c r="T390" s="181" t="s">
        <v>23</v>
      </c>
      <c r="U390" s="182">
        <v>9.2499999999999999E-2</v>
      </c>
      <c r="V390" s="182" t="s">
        <v>35</v>
      </c>
      <c r="W390" s="183"/>
      <c r="X390" s="182" t="s">
        <v>46</v>
      </c>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v>10590</v>
      </c>
      <c r="BC390" s="184">
        <v>10590</v>
      </c>
      <c r="BD390" s="184">
        <v>10590</v>
      </c>
      <c r="BE390" s="184">
        <v>10590</v>
      </c>
      <c r="BF390" s="184">
        <v>10590</v>
      </c>
      <c r="BG390" s="184">
        <v>10590</v>
      </c>
      <c r="BH390" s="184">
        <v>10590</v>
      </c>
      <c r="BI390" s="184"/>
      <c r="BJ390" s="184"/>
      <c r="BK390" s="184"/>
      <c r="BL390" s="184"/>
      <c r="BM390" s="184"/>
      <c r="BN390" s="184"/>
      <c r="BO390" s="184"/>
      <c r="BP390" s="184"/>
      <c r="BQ390" s="184"/>
      <c r="BR390" s="184"/>
      <c r="BS390" s="184"/>
      <c r="BT390" s="184"/>
      <c r="BU390" s="146" cm="1">
        <f t="array" ref="BU390">LOOKUP(2,1/(Y390:BT390&lt;&gt;""),Y390:BH390)</f>
        <v>10590</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45992</v>
      </c>
      <c r="BW390" s="211" cm="1">
        <f t="array" ref="BW390">(LOOKUP(2,1/(BH390:BT390&lt;&gt;""),BH390:BT390))/(INDEX(BH390:BT390,MATCH(TRUE,INDEX((BH390:BT390&lt;&gt;0),0),0)))-1</f>
        <v>0</v>
      </c>
      <c r="BX390" s="212">
        <f t="shared" si="115"/>
        <v>10.59</v>
      </c>
      <c r="BY390" s="212">
        <f t="shared" si="111"/>
        <v>10.59</v>
      </c>
      <c r="BZ390" s="212">
        <f>IF(L390="BR",'Impostos e Frete'!$F$6,IF(L390="EU",'Impostos e Frete'!$I$3,IF(L390="CN",'Impostos e Frete'!$I$4,IF(L390="JP",'Impostos e Frete'!$I$5,IF(L390="RU",'Impostos e Frete'!$I$7,"ERRO")))))</f>
        <v>0</v>
      </c>
      <c r="CA390" s="212">
        <f>VLOOKUP(L390,'Impostos e Frete'!$A$3:$B$7,2,0)*'Preços e Condições'!BY390</f>
        <v>0</v>
      </c>
      <c r="CB390" s="147">
        <f t="shared" si="116"/>
        <v>0</v>
      </c>
      <c r="CC390" s="147">
        <f>IF(X390="BRL",'Impostos e Frete'!$B$11,'Impostos e Frete'!$B$12)</f>
        <v>0.2</v>
      </c>
      <c r="CD390" s="213">
        <f t="shared" si="117"/>
        <v>10.79</v>
      </c>
      <c r="CE390" s="214">
        <f t="shared" si="118"/>
        <v>0.64739999999999998</v>
      </c>
      <c r="CF390" s="215">
        <f>VLOOKUP(L390,'Impostos e Frete'!$A$3:$C$7,3,0)</f>
        <v>45</v>
      </c>
      <c r="CG390" s="215">
        <f t="shared" si="119"/>
        <v>0</v>
      </c>
      <c r="CH390" s="215">
        <f t="shared" si="120"/>
        <v>-45</v>
      </c>
      <c r="CI390" s="216">
        <f t="shared" si="121"/>
        <v>0.24368314294177296</v>
      </c>
      <c r="CJ390" s="217">
        <f t="shared" si="122"/>
        <v>11.033683142941772</v>
      </c>
      <c r="CK390" s="218">
        <f t="shared" si="123"/>
        <v>0.66202098857650626</v>
      </c>
    </row>
    <row r="391" spans="1:89">
      <c r="A391" s="196"/>
      <c r="B391" s="186" t="s">
        <v>75</v>
      </c>
      <c r="C391" s="197">
        <v>40</v>
      </c>
      <c r="D391" s="197">
        <v>1900</v>
      </c>
      <c r="E391" s="197" t="s">
        <v>209</v>
      </c>
      <c r="F391" s="198" t="s">
        <v>385</v>
      </c>
      <c r="G391" s="199" t="s">
        <v>76</v>
      </c>
      <c r="H391" s="197" t="s">
        <v>43</v>
      </c>
      <c r="I391" s="197"/>
      <c r="J391" s="197"/>
      <c r="K391" s="197"/>
      <c r="L391" s="200" t="s">
        <v>60</v>
      </c>
      <c r="M391" s="200">
        <v>0</v>
      </c>
      <c r="N391" s="200"/>
      <c r="O391" s="197"/>
      <c r="P391" s="197"/>
      <c r="Q391" s="197"/>
      <c r="R391" s="197" t="s">
        <v>19</v>
      </c>
      <c r="S391" s="201"/>
      <c r="T391" s="201"/>
      <c r="U391" s="202"/>
      <c r="V391" s="202" t="s">
        <v>35</v>
      </c>
      <c r="W391" s="200">
        <v>20</v>
      </c>
      <c r="X391" s="202" t="s">
        <v>51</v>
      </c>
      <c r="Y391" s="203"/>
      <c r="Z391" s="203"/>
      <c r="AA391" s="203"/>
      <c r="AB391" s="203"/>
      <c r="AC391" s="203"/>
      <c r="AD391" s="203"/>
      <c r="AE391" s="203"/>
      <c r="AF391" s="203"/>
      <c r="AG391" s="203"/>
      <c r="AH391" s="203"/>
      <c r="AI391" s="203"/>
      <c r="AJ391" s="203"/>
      <c r="AK391" s="203"/>
      <c r="AL391" s="203"/>
      <c r="AM391" s="203"/>
      <c r="AN391" s="203"/>
      <c r="AO391" s="203"/>
      <c r="AP391" s="203"/>
      <c r="AQ391" s="203"/>
      <c r="AR391" s="203"/>
      <c r="AS391" s="203"/>
      <c r="AT391" s="203"/>
      <c r="AU391" s="203"/>
      <c r="AV391" s="203"/>
      <c r="AW391" s="203"/>
      <c r="AX391" s="203"/>
      <c r="AY391" s="203"/>
      <c r="AZ391" s="203"/>
      <c r="BA391" s="203"/>
      <c r="BB391" s="203"/>
      <c r="BC391" s="203"/>
      <c r="BD391" s="203"/>
      <c r="BE391" s="203"/>
      <c r="BF391" s="203"/>
      <c r="BG391" s="203"/>
      <c r="BH391" s="203"/>
      <c r="BI391" s="203"/>
      <c r="BJ391" s="203"/>
      <c r="BK391" s="203"/>
      <c r="BL391" s="203"/>
      <c r="BM391" s="203">
        <v>1750</v>
      </c>
      <c r="BN391" s="203"/>
      <c r="BO391" s="203"/>
      <c r="BP391" s="203"/>
      <c r="BQ391" s="203"/>
      <c r="BR391" s="203"/>
      <c r="BS391" s="203"/>
      <c r="BT391" s="203"/>
      <c r="BU391" s="146" cm="1">
        <f t="array" ref="BU391">LOOKUP(2,1/(Y391:BT391&lt;&gt;""),Y391:BH391)</f>
        <v>1750</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46143</v>
      </c>
      <c r="BW391" s="211" cm="1">
        <f t="array" ref="BW391">(LOOKUP(2,1/(BH391:BT391&lt;&gt;""),BH391:BT391))/(INDEX(BH391:BT391,MATCH(TRUE,INDEX((BH391:BT391&lt;&gt;0),0),0)))-1</f>
        <v>0</v>
      </c>
      <c r="BX391" s="212">
        <f t="shared" ref="BX391" si="128">BU391/1000</f>
        <v>1.75</v>
      </c>
      <c r="BY391" s="212">
        <f t="shared" ref="BY391" si="129">IF(X391="BRL",BX391,IF(X391="EUR",BX391*$CK$2,IF(X391="USD",BX391*$CK$1,IF(X391="CNY",BX391*$CM$1,IF(X391="RUB",BX391*$CM$2,"CRRY#")))))</f>
        <v>10.325000000000001</v>
      </c>
      <c r="BZ391" s="212">
        <f ca="1">IF(L391="BR",'Impostos e Frete'!$F$6,IF(L391="EU",'Impostos e Frete'!$I$3,IF(L391="CN",'Impostos e Frete'!$I$4,IF(L391="JP",'Impostos e Frete'!$I$5,IF(L391="RU",'Impostos e Frete'!$I$7,"ERRO")))))</f>
        <v>1.11958</v>
      </c>
      <c r="CA391" s="212">
        <f>VLOOKUP(L391,'Impostos e Frete'!$A$3:$B$7,2,0)*'Preços e Condições'!BY391</f>
        <v>1.4455000000000002</v>
      </c>
      <c r="CB391" s="147">
        <f t="shared" ref="CB391" si="130">IF(R391="CFR",$CB$2,IF(R391="FOB",0,IF(R391="EXW",$CB$1,"ERRO")))</f>
        <v>0</v>
      </c>
      <c r="CC391" s="147">
        <f>IF(X391="BRL",'Impostos e Frete'!$B$11,'Impostos e Frete'!$B$12)</f>
        <v>9.1999999999999998E-2</v>
      </c>
      <c r="CD391" s="213">
        <f t="shared" ref="CD391" ca="1" si="131">SUM(BY391:CC391)</f>
        <v>12.982080000000003</v>
      </c>
      <c r="CE391" s="214">
        <f t="shared" ref="CE391" ca="1" si="132">IF(C391="","erro",(CD391/1000)*C391)</f>
        <v>0.51928320000000017</v>
      </c>
      <c r="CF391" s="215">
        <f>VLOOKUP(L391,'Impostos e Frete'!$A$3:$C$7,3,0)</f>
        <v>120</v>
      </c>
      <c r="CG391" s="215">
        <f t="shared" ref="CG391" si="133">M391</f>
        <v>0</v>
      </c>
      <c r="CH391" s="215">
        <f t="shared" ref="CH391" si="134">CG391-CF391</f>
        <v>-120</v>
      </c>
      <c r="CI391" s="216">
        <f t="shared" ref="CI391" ca="1" si="135">CD391*(1+VALUE($CI$2))^((CH391*-1)/30)-CD391</f>
        <v>0.79662652329779249</v>
      </c>
      <c r="CJ391" s="217">
        <f t="shared" ref="CJ391" ca="1" si="136">CD391+CI391</f>
        <v>13.778706523297796</v>
      </c>
      <c r="CK391" s="218">
        <f t="shared" ref="CK391" ca="1" si="137">IF(C391="","erro",(CJ391/1000)*C391)</f>
        <v>0.55114826093191183</v>
      </c>
    </row>
    <row r="392" spans="1:89">
      <c r="A392" s="196"/>
      <c r="B392" s="186" t="s">
        <v>76</v>
      </c>
      <c r="C392" s="197">
        <v>40</v>
      </c>
      <c r="D392" s="197">
        <v>1900</v>
      </c>
      <c r="E392" s="197" t="s">
        <v>209</v>
      </c>
      <c r="F392" s="198" t="s">
        <v>385</v>
      </c>
      <c r="G392" s="199" t="s">
        <v>76</v>
      </c>
      <c r="H392" s="197" t="s">
        <v>62</v>
      </c>
      <c r="I392" s="197"/>
      <c r="J392" s="197"/>
      <c r="K392" s="197"/>
      <c r="L392" s="200" t="s">
        <v>60</v>
      </c>
      <c r="M392" s="200">
        <v>0</v>
      </c>
      <c r="N392" s="200"/>
      <c r="O392" s="197"/>
      <c r="P392" s="197"/>
      <c r="Q392" s="197"/>
      <c r="R392" s="197" t="s">
        <v>19</v>
      </c>
      <c r="S392" s="201"/>
      <c r="T392" s="201"/>
      <c r="U392" s="202"/>
      <c r="V392" s="202" t="s">
        <v>35</v>
      </c>
      <c r="W392" s="200">
        <v>20</v>
      </c>
      <c r="X392" s="202" t="s">
        <v>51</v>
      </c>
      <c r="Y392" s="203"/>
      <c r="Z392" s="203"/>
      <c r="AA392" s="203"/>
      <c r="AB392" s="203"/>
      <c r="AC392" s="203"/>
      <c r="AD392" s="203"/>
      <c r="AE392" s="203"/>
      <c r="AF392" s="203"/>
      <c r="AG392" s="203"/>
      <c r="AH392" s="203"/>
      <c r="AI392" s="203"/>
      <c r="AJ392" s="203"/>
      <c r="AK392" s="203"/>
      <c r="AL392" s="203"/>
      <c r="AM392" s="203"/>
      <c r="AN392" s="203"/>
      <c r="AO392" s="203"/>
      <c r="AP392" s="203"/>
      <c r="AQ392" s="203"/>
      <c r="AR392" s="203"/>
      <c r="AS392" s="203"/>
      <c r="AT392" s="203"/>
      <c r="AU392" s="203"/>
      <c r="AV392" s="203"/>
      <c r="AW392" s="203"/>
      <c r="AX392" s="203"/>
      <c r="AY392" s="203"/>
      <c r="AZ392" s="203"/>
      <c r="BA392" s="203"/>
      <c r="BB392" s="203"/>
      <c r="BC392" s="203"/>
      <c r="BD392" s="203"/>
      <c r="BE392" s="203"/>
      <c r="BF392" s="203"/>
      <c r="BG392" s="203"/>
      <c r="BH392" s="203"/>
      <c r="BI392" s="203"/>
      <c r="BJ392" s="203"/>
      <c r="BK392" s="203"/>
      <c r="BL392" s="203"/>
      <c r="BM392" s="203">
        <v>1750</v>
      </c>
      <c r="BN392" s="203"/>
      <c r="BO392" s="203"/>
      <c r="BP392" s="203"/>
      <c r="BQ392" s="203"/>
      <c r="BR392" s="203"/>
      <c r="BS392" s="203"/>
      <c r="BT392" s="203"/>
      <c r="BU392" s="146" cm="1">
        <f t="array" ref="BU392">LOOKUP(2,1/(Y392:BT392&lt;&gt;""),Y392:BH392)</f>
        <v>1750</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46143</v>
      </c>
      <c r="BW392" s="211" cm="1">
        <f t="array" ref="BW392">(LOOKUP(2,1/(BH392:BT392&lt;&gt;""),BH392:BT392))/(INDEX(BH392:BT392,MATCH(TRUE,INDEX((BH392:BT392&lt;&gt;0),0),0)))-1</f>
        <v>0</v>
      </c>
      <c r="BX392" s="212">
        <f t="shared" si="115"/>
        <v>1.75</v>
      </c>
      <c r="BY392" s="212">
        <f t="shared" si="111"/>
        <v>10.325000000000001</v>
      </c>
      <c r="BZ392" s="212">
        <f ca="1">IF(L392="BR",'Impostos e Frete'!$F$6,IF(L392="EU",'Impostos e Frete'!$I$3,IF(L392="CN",'Impostos e Frete'!$I$4,IF(L392="JP",'Impostos e Frete'!$I$5,IF(L392="RU",'Impostos e Frete'!$I$7,"ERRO")))))</f>
        <v>1.11958</v>
      </c>
      <c r="CA392" s="212">
        <f>VLOOKUP(L392,'Impostos e Frete'!$A$3:$B$7,2,0)*'Preços e Condições'!BY392</f>
        <v>1.4455000000000002</v>
      </c>
      <c r="CB392" s="147">
        <f t="shared" si="116"/>
        <v>0</v>
      </c>
      <c r="CC392" s="147">
        <f>IF(X392="BRL",'Impostos e Frete'!$B$11,'Impostos e Frete'!$B$12)</f>
        <v>9.1999999999999998E-2</v>
      </c>
      <c r="CD392" s="213">
        <f t="shared" ca="1" si="117"/>
        <v>12.982080000000003</v>
      </c>
      <c r="CE392" s="214">
        <f t="shared" ca="1" si="118"/>
        <v>0.51928320000000017</v>
      </c>
      <c r="CF392" s="215">
        <f>VLOOKUP(L392,'Impostos e Frete'!$A$3:$C$7,3,0)</f>
        <v>120</v>
      </c>
      <c r="CG392" s="215">
        <f t="shared" si="119"/>
        <v>0</v>
      </c>
      <c r="CH392" s="215">
        <f t="shared" si="120"/>
        <v>-120</v>
      </c>
      <c r="CI392" s="216">
        <f t="shared" ca="1" si="121"/>
        <v>0.79662652329779249</v>
      </c>
      <c r="CJ392" s="217">
        <f t="shared" ca="1" si="122"/>
        <v>13.778706523297796</v>
      </c>
      <c r="CK392" s="218">
        <f t="shared" ca="1" si="123"/>
        <v>0.55114826093191183</v>
      </c>
    </row>
    <row r="393" spans="1:89">
      <c r="A393" s="196">
        <v>7000481</v>
      </c>
      <c r="B393" s="186">
        <v>104</v>
      </c>
      <c r="C393" s="197">
        <v>80</v>
      </c>
      <c r="D393" s="197"/>
      <c r="E393" s="197" t="s">
        <v>49</v>
      </c>
      <c r="F393" s="198" t="s">
        <v>0</v>
      </c>
      <c r="G393" s="180" t="s">
        <v>71</v>
      </c>
      <c r="H393" s="178" t="s">
        <v>43</v>
      </c>
      <c r="I393" s="178"/>
      <c r="J393" s="178"/>
      <c r="K393" s="178"/>
      <c r="L393" s="178" t="s">
        <v>60</v>
      </c>
      <c r="M393" s="178">
        <v>90</v>
      </c>
      <c r="N393" s="178">
        <v>3300</v>
      </c>
      <c r="O393" s="178"/>
      <c r="P393" s="178"/>
      <c r="Q393" s="178"/>
      <c r="R393" s="178" t="s">
        <v>19</v>
      </c>
      <c r="S393" s="181"/>
      <c r="T393" s="181"/>
      <c r="U393" s="182"/>
      <c r="V393" s="182" t="s">
        <v>35</v>
      </c>
      <c r="W393" s="183">
        <v>100</v>
      </c>
      <c r="X393" s="182" t="s">
        <v>267</v>
      </c>
      <c r="Y393" s="203"/>
      <c r="Z393" s="203"/>
      <c r="AA393" s="203"/>
      <c r="AB393" s="203"/>
      <c r="AC393" s="203"/>
      <c r="AD393" s="203"/>
      <c r="AE393" s="203"/>
      <c r="AF393" s="203"/>
      <c r="AG393" s="203"/>
      <c r="AH393" s="203"/>
      <c r="AI393" s="203"/>
      <c r="AJ393" s="203"/>
      <c r="AK393" s="203"/>
      <c r="AL393" s="203"/>
      <c r="AM393" s="203"/>
      <c r="AN393" s="203"/>
      <c r="AO393" s="203"/>
      <c r="AP393" s="203"/>
      <c r="AQ393" s="203"/>
      <c r="AR393" s="203"/>
      <c r="AS393" s="203"/>
      <c r="AT393" s="203"/>
      <c r="AU393" s="203"/>
      <c r="AV393" s="203"/>
      <c r="AW393" s="203"/>
      <c r="AX393" s="203"/>
      <c r="AY393" s="203"/>
      <c r="AZ393" s="203"/>
      <c r="BA393" s="203"/>
      <c r="BB393" s="203"/>
      <c r="BC393" s="203"/>
      <c r="BD393" s="203"/>
      <c r="BE393" s="203"/>
      <c r="BF393" s="203"/>
      <c r="BG393" s="203"/>
      <c r="BH393" s="203"/>
      <c r="BI393" s="184">
        <v>11650</v>
      </c>
      <c r="BJ393" s="184">
        <v>11650</v>
      </c>
      <c r="BK393" s="184">
        <v>11650</v>
      </c>
      <c r="BL393" s="184">
        <v>11650</v>
      </c>
      <c r="BM393" s="184">
        <v>11650</v>
      </c>
      <c r="BN393" s="184">
        <v>11650</v>
      </c>
      <c r="BO393" s="203"/>
      <c r="BP393" s="203"/>
      <c r="BQ393" s="203"/>
      <c r="BR393" s="203"/>
      <c r="BS393" s="203"/>
      <c r="BT393" s="203"/>
      <c r="BU393" s="146" cm="1">
        <f t="array" ref="BU393">LOOKUP(2,1/(Y393:BT393&lt;&gt;""),Y393:BH393)</f>
        <v>11650</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46174</v>
      </c>
      <c r="BW393" s="211" cm="1">
        <f t="array" ref="BW393">(LOOKUP(2,1/(BH393:BT393&lt;&gt;""),BH393:BT393))/(INDEX(BH393:BT393,MATCH(TRUE,INDEX((BH393:BT393&lt;&gt;0),0),0)))-1</f>
        <v>0</v>
      </c>
      <c r="BX393" s="212">
        <f t="shared" si="115"/>
        <v>11.65</v>
      </c>
      <c r="BY393" s="212">
        <f t="shared" si="111"/>
        <v>8.7375000000000007</v>
      </c>
      <c r="BZ393" s="212">
        <f ca="1">IF(L393="BR",'Impostos e Frete'!$F$6,IF(L393="EU",'Impostos e Frete'!$I$3,IF(L393="CN",'Impostos e Frete'!$I$4,IF(L393="JP",'Impostos e Frete'!$I$5,IF(L393="RU",'Impostos e Frete'!$I$7,"ERRO")))))</f>
        <v>1.11958</v>
      </c>
      <c r="CA393" s="212">
        <f>VLOOKUP(L393,'Impostos e Frete'!$A$3:$B$7,2,0)*'Preços e Condições'!BY393</f>
        <v>1.2232500000000002</v>
      </c>
      <c r="CB393" s="147">
        <f t="shared" si="116"/>
        <v>0</v>
      </c>
      <c r="CC393" s="147">
        <f>IF(X393="BRL",'Impostos e Frete'!$B$11,'Impostos e Frete'!$B$12)</f>
        <v>9.1999999999999998E-2</v>
      </c>
      <c r="CD393" s="213">
        <f t="shared" ca="1" si="117"/>
        <v>11.172330000000001</v>
      </c>
      <c r="CE393" s="214">
        <f t="shared" ca="1" si="118"/>
        <v>0.89378640000000009</v>
      </c>
      <c r="CF393" s="215">
        <f>VLOOKUP(L393,'Impostos e Frete'!$A$3:$C$7,3,0)</f>
        <v>120</v>
      </c>
      <c r="CG393" s="215">
        <f t="shared" si="119"/>
        <v>90</v>
      </c>
      <c r="CH393" s="215">
        <f t="shared" si="120"/>
        <v>-30</v>
      </c>
      <c r="CI393" s="216">
        <f t="shared" ca="1" si="121"/>
        <v>0.1675849499999984</v>
      </c>
      <c r="CJ393" s="217">
        <f t="shared" ca="1" si="122"/>
        <v>11.339914949999999</v>
      </c>
      <c r="CK393" s="218">
        <f t="shared" ca="1" si="123"/>
        <v>0.90719319599999992</v>
      </c>
    </row>
    <row r="394" spans="1:89">
      <c r="A394" s="196">
        <v>7000485</v>
      </c>
      <c r="B394" s="186">
        <v>9080</v>
      </c>
      <c r="C394" s="197">
        <v>80</v>
      </c>
      <c r="D394" s="197"/>
      <c r="E394" s="197" t="s">
        <v>49</v>
      </c>
      <c r="F394" s="198" t="s">
        <v>1</v>
      </c>
      <c r="G394" s="192" t="s">
        <v>8</v>
      </c>
      <c r="H394" s="183" t="s">
        <v>42</v>
      </c>
      <c r="I394" s="178">
        <v>9080</v>
      </c>
      <c r="J394" s="183"/>
      <c r="K394" s="183" t="s">
        <v>28</v>
      </c>
      <c r="L394" s="183" t="s">
        <v>58</v>
      </c>
      <c r="M394" s="183">
        <v>0</v>
      </c>
      <c r="N394" s="183"/>
      <c r="O394" s="183"/>
      <c r="P394" s="183">
        <v>3</v>
      </c>
      <c r="Q394" s="183" t="s">
        <v>27</v>
      </c>
      <c r="R394" s="183" t="s">
        <v>19</v>
      </c>
      <c r="S394" s="181">
        <v>0.12</v>
      </c>
      <c r="T394" s="181" t="s">
        <v>210</v>
      </c>
      <c r="U394" s="182">
        <v>9.2499999999999999E-2</v>
      </c>
      <c r="V394" s="182" t="s">
        <v>35</v>
      </c>
      <c r="W394" s="183">
        <v>40</v>
      </c>
      <c r="X394" s="182" t="s">
        <v>46</v>
      </c>
      <c r="Y394" s="203"/>
      <c r="Z394" s="203"/>
      <c r="AA394" s="203"/>
      <c r="AB394" s="203"/>
      <c r="AC394" s="203"/>
      <c r="AD394" s="203"/>
      <c r="AE394" s="203"/>
      <c r="AF394" s="203"/>
      <c r="AG394" s="203"/>
      <c r="AH394" s="203"/>
      <c r="AI394" s="203"/>
      <c r="AJ394" s="203"/>
      <c r="AK394" s="203"/>
      <c r="AL394" s="203"/>
      <c r="AM394" s="203"/>
      <c r="AN394" s="203"/>
      <c r="AO394" s="203"/>
      <c r="AP394" s="203"/>
      <c r="AQ394" s="203"/>
      <c r="AR394" s="203"/>
      <c r="AS394" s="203"/>
      <c r="AT394" s="203"/>
      <c r="AU394" s="203"/>
      <c r="AV394" s="203"/>
      <c r="AW394" s="203"/>
      <c r="AX394" s="203"/>
      <c r="AY394" s="203"/>
      <c r="AZ394" s="203"/>
      <c r="BA394" s="203"/>
      <c r="BB394" s="203"/>
      <c r="BC394" s="203"/>
      <c r="BD394" s="203"/>
      <c r="BE394" s="203"/>
      <c r="BF394" s="203"/>
      <c r="BG394" s="203"/>
      <c r="BH394" s="203"/>
      <c r="BI394" s="184">
        <v>17941</v>
      </c>
      <c r="BJ394" s="184">
        <v>17941</v>
      </c>
      <c r="BK394" s="184">
        <v>17941</v>
      </c>
      <c r="BL394" s="203">
        <v>18981</v>
      </c>
      <c r="BM394" s="203">
        <v>18981</v>
      </c>
      <c r="BN394" s="203">
        <v>18981</v>
      </c>
      <c r="BO394" s="203"/>
      <c r="BP394" s="203"/>
      <c r="BQ394" s="203"/>
      <c r="BR394" s="203"/>
      <c r="BS394" s="203"/>
      <c r="BT394" s="203"/>
      <c r="BU394" s="146" cm="1">
        <f t="array" ref="BU394">LOOKUP(2,1/(Y394:BT394&lt;&gt;""),Y394:BH394)</f>
        <v>18981</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46174</v>
      </c>
      <c r="BW394" s="211" cm="1">
        <f t="array" ref="BW394">(LOOKUP(2,1/(BH394:BT394&lt;&gt;""),BH394:BT394))/(INDEX(BH394:BT394,MATCH(TRUE,INDEX((BH394:BT394&lt;&gt;0),0),0)))-1</f>
        <v>5.796778328967167E-2</v>
      </c>
      <c r="BX394" s="212">
        <f t="shared" si="115"/>
        <v>18.981000000000002</v>
      </c>
      <c r="BY394" s="212">
        <f t="shared" si="111"/>
        <v>18.981000000000002</v>
      </c>
      <c r="BZ394" s="212">
        <f>IF(L394="BR",'Impostos e Frete'!$F$6,IF(L394="EU",'Impostos e Frete'!$I$3,IF(L394="CN",'Impostos e Frete'!$I$4,IF(L394="JP",'Impostos e Frete'!$I$5,IF(L394="RU",'Impostos e Frete'!$I$7,"ERRO")))))</f>
        <v>0</v>
      </c>
      <c r="CA394" s="212">
        <f>VLOOKUP(L394,'Impostos e Frete'!$A$3:$B$7,2,0)*'Preços e Condições'!BY394</f>
        <v>0</v>
      </c>
      <c r="CB394" s="147">
        <f t="shared" si="116"/>
        <v>0</v>
      </c>
      <c r="CC394" s="147">
        <f>IF(X394="BRL",'Impostos e Frete'!$B$11,'Impostos e Frete'!$B$12)</f>
        <v>0.2</v>
      </c>
      <c r="CD394" s="213">
        <f t="shared" si="117"/>
        <v>19.181000000000001</v>
      </c>
      <c r="CE394" s="214">
        <f t="shared" si="118"/>
        <v>1.5344800000000001</v>
      </c>
      <c r="CF394" s="215">
        <f>VLOOKUP(L394,'Impostos e Frete'!$A$3:$C$7,3,0)</f>
        <v>45</v>
      </c>
      <c r="CG394" s="215">
        <f t="shared" si="119"/>
        <v>0</v>
      </c>
      <c r="CH394" s="215">
        <f t="shared" si="120"/>
        <v>-45</v>
      </c>
      <c r="CI394" s="216">
        <f t="shared" si="121"/>
        <v>0.43318687347230522</v>
      </c>
      <c r="CJ394" s="217">
        <f t="shared" si="122"/>
        <v>19.614186873472306</v>
      </c>
      <c r="CK394" s="218">
        <f t="shared" si="123"/>
        <v>1.5691349498777845</v>
      </c>
    </row>
    <row r="395" spans="1:89">
      <c r="A395" s="196">
        <v>7000479</v>
      </c>
      <c r="B395" s="186">
        <v>104</v>
      </c>
      <c r="C395" s="197">
        <v>80</v>
      </c>
      <c r="D395" s="197"/>
      <c r="E395" s="197" t="s">
        <v>49</v>
      </c>
      <c r="F395" s="198" t="s">
        <v>1</v>
      </c>
      <c r="G395" s="192" t="s">
        <v>4</v>
      </c>
      <c r="H395" s="183" t="s">
        <v>43</v>
      </c>
      <c r="I395" s="178">
        <v>963</v>
      </c>
      <c r="J395" s="183"/>
      <c r="K395" s="183" t="s">
        <v>28</v>
      </c>
      <c r="L395" s="183" t="s">
        <v>58</v>
      </c>
      <c r="M395" s="183">
        <v>0</v>
      </c>
      <c r="N395" s="183"/>
      <c r="O395" s="183"/>
      <c r="P395" s="183">
        <v>3</v>
      </c>
      <c r="Q395" s="183" t="s">
        <v>27</v>
      </c>
      <c r="R395" s="183" t="s">
        <v>19</v>
      </c>
      <c r="S395" s="181">
        <v>0.12</v>
      </c>
      <c r="T395" s="181" t="s">
        <v>210</v>
      </c>
      <c r="U395" s="182">
        <v>9.2499999999999999E-2</v>
      </c>
      <c r="V395" s="182" t="s">
        <v>35</v>
      </c>
      <c r="W395" s="183">
        <v>40</v>
      </c>
      <c r="X395" s="182" t="s">
        <v>46</v>
      </c>
      <c r="Y395" s="203"/>
      <c r="Z395" s="203"/>
      <c r="AA395" s="203"/>
      <c r="AB395" s="203"/>
      <c r="AC395" s="203"/>
      <c r="AD395" s="203"/>
      <c r="AE395" s="203"/>
      <c r="AF395" s="203"/>
      <c r="AG395" s="203"/>
      <c r="AH395" s="203"/>
      <c r="AI395" s="203"/>
      <c r="AJ395" s="203"/>
      <c r="AK395" s="203"/>
      <c r="AL395" s="203"/>
      <c r="AM395" s="203"/>
      <c r="AN395" s="203"/>
      <c r="AO395" s="203"/>
      <c r="AP395" s="203"/>
      <c r="AQ395" s="203"/>
      <c r="AR395" s="203"/>
      <c r="AS395" s="203"/>
      <c r="AT395" s="203"/>
      <c r="AU395" s="203"/>
      <c r="AV395" s="203"/>
      <c r="AW395" s="203"/>
      <c r="AX395" s="203"/>
      <c r="AY395" s="203"/>
      <c r="AZ395" s="203"/>
      <c r="BA395" s="203"/>
      <c r="BB395" s="203"/>
      <c r="BC395" s="203"/>
      <c r="BD395" s="203"/>
      <c r="BE395" s="203"/>
      <c r="BF395" s="203"/>
      <c r="BG395" s="203"/>
      <c r="BH395" s="203"/>
      <c r="BI395" s="184">
        <v>13634</v>
      </c>
      <c r="BJ395" s="184">
        <v>13634</v>
      </c>
      <c r="BK395" s="184">
        <v>13634</v>
      </c>
      <c r="BL395" s="203">
        <v>14425</v>
      </c>
      <c r="BM395" s="203">
        <v>14425</v>
      </c>
      <c r="BN395" s="203">
        <v>14425</v>
      </c>
      <c r="BO395" s="203"/>
      <c r="BP395" s="203"/>
      <c r="BQ395" s="203"/>
      <c r="BR395" s="203"/>
      <c r="BS395" s="203"/>
      <c r="BT395" s="203"/>
      <c r="BU395" s="146" cm="1">
        <f t="array" ref="BU395">LOOKUP(2,1/(Y395:BT395&lt;&gt;""),Y395:BH395)</f>
        <v>14425</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46174</v>
      </c>
      <c r="BW395" s="211" cm="1">
        <f t="array" ref="BW395">(LOOKUP(2,1/(BH395:BT395&lt;&gt;""),BH395:BT395))/(INDEX(BH395:BT395,MATCH(TRUE,INDEX((BH395:BT395&lt;&gt;0),0),0)))-1</f>
        <v>5.8016722898635686E-2</v>
      </c>
      <c r="BX395" s="212">
        <f t="shared" ref="BX395" si="138">BU395/1000</f>
        <v>14.425000000000001</v>
      </c>
      <c r="BY395" s="212">
        <f t="shared" si="111"/>
        <v>14.425000000000001</v>
      </c>
      <c r="BZ395" s="212">
        <f>IF(L395="BR",'Impostos e Frete'!$F$6,IF(L395="EU",'Impostos e Frete'!$I$3,IF(L395="CN",'Impostos e Frete'!$I$4,IF(L395="JP",'Impostos e Frete'!$I$5,IF(L395="RU",'Impostos e Frete'!$I$7,"ERRO")))))</f>
        <v>0</v>
      </c>
      <c r="CA395" s="212">
        <f>VLOOKUP(L395,'Impostos e Frete'!$A$3:$B$7,2,0)*'Preços e Condições'!BY395</f>
        <v>0</v>
      </c>
      <c r="CB395" s="147">
        <f t="shared" ref="CB395" si="139">IF(R395="CFR",$CB$2,IF(R395="FOB",0,IF(R395="EXW",$CB$1,"ERRO")))</f>
        <v>0</v>
      </c>
      <c r="CC395" s="147">
        <f>IF(X395="BRL",'Impostos e Frete'!$B$11,'Impostos e Frete'!$B$12)</f>
        <v>0.2</v>
      </c>
      <c r="CD395" s="213">
        <f t="shared" ref="CD395" si="140">SUM(BY395:CC395)</f>
        <v>14.625</v>
      </c>
      <c r="CE395" s="214">
        <f t="shared" ref="CE395" si="141">IF(C395="","erro",(CD395/1000)*C395)</f>
        <v>1.1700000000000002</v>
      </c>
      <c r="CF395" s="215">
        <f>VLOOKUP(L395,'Impostos e Frete'!$A$3:$C$7,3,0)</f>
        <v>45</v>
      </c>
      <c r="CG395" s="215">
        <f t="shared" ref="CG395" si="142">M395</f>
        <v>0</v>
      </c>
      <c r="CH395" s="215">
        <f t="shared" ref="CH395" si="143">CG395-CF395</f>
        <v>-45</v>
      </c>
      <c r="CI395" s="216">
        <f t="shared" ref="CI395" si="144">CD395*(1+VALUE($CI$2))^((CH395*-1)/30)-CD395</f>
        <v>0.33029341663794654</v>
      </c>
      <c r="CJ395" s="217">
        <f t="shared" ref="CJ395" si="145">CD395+CI395</f>
        <v>14.955293416637947</v>
      </c>
      <c r="CK395" s="218">
        <f t="shared" ref="CK395" si="146">IF(C395="","erro",(CJ395/1000)*C395)</f>
        <v>1.1964234733310357</v>
      </c>
    </row>
    <row r="396" spans="1:89">
      <c r="A396" s="196">
        <v>7000483</v>
      </c>
      <c r="B396" s="186">
        <v>86</v>
      </c>
      <c r="C396" s="197">
        <v>70</v>
      </c>
      <c r="D396" s="197">
        <v>1860</v>
      </c>
      <c r="E396" s="197" t="s">
        <v>49</v>
      </c>
      <c r="F396" s="198" t="s">
        <v>0</v>
      </c>
      <c r="G396" s="180" t="s">
        <v>340</v>
      </c>
      <c r="H396" s="178" t="s">
        <v>43</v>
      </c>
      <c r="I396" s="178" t="s">
        <v>100</v>
      </c>
      <c r="J396" s="178"/>
      <c r="K396" s="178"/>
      <c r="L396" s="178" t="s">
        <v>60</v>
      </c>
      <c r="M396" s="178">
        <v>90</v>
      </c>
      <c r="N396" s="178">
        <v>3300</v>
      </c>
      <c r="O396" s="178"/>
      <c r="P396" s="178"/>
      <c r="Q396" s="178"/>
      <c r="R396" s="178" t="s">
        <v>19</v>
      </c>
      <c r="S396" s="181"/>
      <c r="T396" s="181"/>
      <c r="U396" s="182"/>
      <c r="V396" s="182" t="s">
        <v>35</v>
      </c>
      <c r="W396" s="183">
        <v>100</v>
      </c>
      <c r="X396" s="182" t="s">
        <v>267</v>
      </c>
      <c r="Y396" s="203"/>
      <c r="Z396" s="203"/>
      <c r="AA396" s="203"/>
      <c r="AB396" s="203"/>
      <c r="AC396" s="203"/>
      <c r="AD396" s="203"/>
      <c r="AE396" s="203"/>
      <c r="AF396" s="203"/>
      <c r="AG396" s="203"/>
      <c r="AH396" s="203"/>
      <c r="AI396" s="203"/>
      <c r="AJ396" s="203"/>
      <c r="AK396" s="203"/>
      <c r="AL396" s="203"/>
      <c r="AM396" s="203"/>
      <c r="AN396" s="203"/>
      <c r="AO396" s="203"/>
      <c r="AP396" s="203"/>
      <c r="AQ396" s="203"/>
      <c r="AR396" s="203"/>
      <c r="AS396" s="203"/>
      <c r="AT396" s="203"/>
      <c r="AU396" s="203"/>
      <c r="AV396" s="203"/>
      <c r="AW396" s="203"/>
      <c r="AX396" s="203"/>
      <c r="AY396" s="203"/>
      <c r="AZ396" s="203"/>
      <c r="BA396" s="203"/>
      <c r="BB396" s="203"/>
      <c r="BC396" s="203"/>
      <c r="BD396" s="203"/>
      <c r="BE396" s="203"/>
      <c r="BF396" s="203"/>
      <c r="BG396" s="203"/>
      <c r="BH396" s="203"/>
      <c r="BI396" s="203">
        <v>11600</v>
      </c>
      <c r="BJ396" s="203">
        <v>11600</v>
      </c>
      <c r="BK396" s="203">
        <v>11600</v>
      </c>
      <c r="BL396" s="203">
        <v>11600</v>
      </c>
      <c r="BM396" s="203">
        <v>11600</v>
      </c>
      <c r="BN396" s="203">
        <v>11600</v>
      </c>
      <c r="BO396" s="203"/>
      <c r="BP396" s="203"/>
      <c r="BQ396" s="203"/>
      <c r="BR396" s="203"/>
      <c r="BS396" s="203"/>
      <c r="BT396" s="203"/>
      <c r="BU396" s="146" cm="1">
        <f t="array" ref="BU396">LOOKUP(2,1/(Y396:BT396&lt;&gt;""),Y396:BH396)</f>
        <v>11600</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46174</v>
      </c>
      <c r="BW396" s="211" cm="1">
        <f t="array" ref="BW396">(LOOKUP(2,1/(BH396:BT396&lt;&gt;""),BH396:BT396))/(INDEX(BH396:BT396,MATCH(TRUE,INDEX((BH396:BT396&lt;&gt;0),0),0)))-1</f>
        <v>0</v>
      </c>
      <c r="BX396" s="212">
        <f t="shared" si="115"/>
        <v>11.6</v>
      </c>
      <c r="BY396" s="212">
        <f t="shared" si="111"/>
        <v>8.6999999999999993</v>
      </c>
      <c r="BZ396" s="212">
        <f ca="1">IF(L396="BR",'Impostos e Frete'!$F$6,IF(L396="EU",'Impostos e Frete'!$I$3,IF(L396="CN",'Impostos e Frete'!$I$4,IF(L396="JP",'Impostos e Frete'!$I$5,IF(L396="RU",'Impostos e Frete'!$I$7,"ERRO")))))</f>
        <v>1.11958</v>
      </c>
      <c r="CA396" s="212">
        <f>VLOOKUP(L396,'Impostos e Frete'!$A$3:$B$7,2,0)*'Preços e Condições'!BY396</f>
        <v>1.218</v>
      </c>
      <c r="CB396" s="147">
        <f t="shared" si="116"/>
        <v>0</v>
      </c>
      <c r="CC396" s="147">
        <f>IF(X396="BRL",'Impostos e Frete'!$B$11,'Impostos e Frete'!$B$12)</f>
        <v>9.1999999999999998E-2</v>
      </c>
      <c r="CD396" s="213">
        <f t="shared" ca="1" si="117"/>
        <v>11.129579999999999</v>
      </c>
      <c r="CE396" s="214">
        <f t="shared" ca="1" si="118"/>
        <v>0.77907059999999984</v>
      </c>
      <c r="CF396" s="215">
        <f>VLOOKUP(L396,'Impostos e Frete'!$A$3:$C$7,3,0)</f>
        <v>120</v>
      </c>
      <c r="CG396" s="215">
        <f t="shared" si="119"/>
        <v>90</v>
      </c>
      <c r="CH396" s="215">
        <f t="shared" si="120"/>
        <v>-30</v>
      </c>
      <c r="CI396" s="216">
        <f t="shared" ca="1" si="121"/>
        <v>0.16694369999999914</v>
      </c>
      <c r="CJ396" s="217">
        <f t="shared" ca="1" si="122"/>
        <v>11.296523699999998</v>
      </c>
      <c r="CK396" s="218">
        <f t="shared" ca="1" si="123"/>
        <v>0.79075665899999992</v>
      </c>
    </row>
    <row r="397" spans="1:89">
      <c r="A397" s="196">
        <v>7000477</v>
      </c>
      <c r="B397" s="186">
        <v>3222</v>
      </c>
      <c r="C397" s="197">
        <v>80</v>
      </c>
      <c r="D397" s="178">
        <v>1830</v>
      </c>
      <c r="E397" s="178" t="s">
        <v>49</v>
      </c>
      <c r="F397" s="179" t="s">
        <v>47</v>
      </c>
      <c r="G397" s="185" t="s">
        <v>143</v>
      </c>
      <c r="H397" s="178" t="s">
        <v>66</v>
      </c>
      <c r="I397" s="178">
        <v>3222</v>
      </c>
      <c r="J397" s="178"/>
      <c r="K397" s="178"/>
      <c r="L397" s="178" t="s">
        <v>59</v>
      </c>
      <c r="M397" s="178">
        <v>120</v>
      </c>
      <c r="N397" s="178">
        <v>300</v>
      </c>
      <c r="O397" s="178"/>
      <c r="P397" s="178"/>
      <c r="Q397" s="178"/>
      <c r="R397" s="178" t="s">
        <v>19</v>
      </c>
      <c r="S397" s="181"/>
      <c r="T397" s="181"/>
      <c r="U397" s="182"/>
      <c r="V397" s="182" t="s">
        <v>35</v>
      </c>
      <c r="W397" s="183"/>
      <c r="X397" s="182" t="s">
        <v>51</v>
      </c>
      <c r="Y397" s="203"/>
      <c r="Z397" s="203"/>
      <c r="AA397" s="203"/>
      <c r="AB397" s="203"/>
      <c r="AC397" s="203"/>
      <c r="AD397" s="203"/>
      <c r="AE397" s="203"/>
      <c r="AF397" s="203"/>
      <c r="AG397" s="203"/>
      <c r="AH397" s="203"/>
      <c r="AI397" s="203"/>
      <c r="AJ397" s="184"/>
      <c r="AK397" s="203"/>
      <c r="AL397" s="203"/>
      <c r="AM397" s="203"/>
      <c r="AN397" s="203"/>
      <c r="AO397" s="203"/>
      <c r="AP397" s="203"/>
      <c r="AQ397" s="203"/>
      <c r="AR397" s="203"/>
      <c r="AS397" s="203"/>
      <c r="AT397" s="203"/>
      <c r="AU397" s="203"/>
      <c r="AV397" s="203"/>
      <c r="AW397" s="203"/>
      <c r="AX397" s="203"/>
      <c r="AY397" s="203"/>
      <c r="AZ397" s="184"/>
      <c r="BA397" s="184"/>
      <c r="BB397" s="184"/>
      <c r="BC397" s="203"/>
      <c r="BD397" s="203"/>
      <c r="BE397" s="203"/>
      <c r="BF397" s="203"/>
      <c r="BG397" s="203"/>
      <c r="BH397" s="203"/>
      <c r="BI397" s="203"/>
      <c r="BJ397" s="203"/>
      <c r="BK397" s="203"/>
      <c r="BL397" s="203"/>
      <c r="BM397" s="203"/>
      <c r="BN397" s="203"/>
      <c r="BO397" s="203"/>
      <c r="BP397" s="203"/>
      <c r="BQ397" s="203"/>
      <c r="BR397" s="203"/>
      <c r="BS397" s="203"/>
      <c r="BT397" s="203"/>
      <c r="BU397" s="146" t="e" cm="1">
        <f t="array" ref="BU397">LOOKUP(2,1/(Y397:BT397&lt;&gt;""),Y397:BH397)</f>
        <v>#N/A</v>
      </c>
      <c r="BV397" s="145" t="e"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#N/A</v>
      </c>
      <c r="BW397" s="211" t="e" cm="1">
        <f t="array" ref="BW397">(LOOKUP(2,1/(BH397:BT397&lt;&gt;""),BH397:BT397))/(INDEX(BH397:BT397,MATCH(TRUE,INDEX((BH397:BT397&lt;&gt;0),0),0)))-1</f>
        <v>#N/A</v>
      </c>
      <c r="BX397" s="212" t="e">
        <f t="shared" si="115"/>
        <v>#N/A</v>
      </c>
      <c r="BY397" s="212" t="e">
        <f t="shared" si="111"/>
        <v>#N/A</v>
      </c>
      <c r="BZ397" s="212">
        <f ca="1">IF(L397="BR",'Impostos e Frete'!$F$6,IF(L397="EU",'Impostos e Frete'!$I$3,IF(L397="CN",'Impostos e Frete'!$I$4,IF(L397="JP",'Impostos e Frete'!$I$5,IF(L397="RU",'Impostos e Frete'!$I$7,"ERRO")))))</f>
        <v>0.14176320000000001</v>
      </c>
      <c r="CA397" s="212" t="e">
        <f>VLOOKUP(L397,'Impostos e Frete'!$A$3:$B$7,2,0)*'Preços e Condições'!BY397</f>
        <v>#N/A</v>
      </c>
      <c r="CB397" s="147">
        <f t="shared" si="116"/>
        <v>0</v>
      </c>
      <c r="CC397" s="147">
        <f>IF(X397="BRL",'Impostos e Frete'!$B$11,'Impostos e Frete'!$B$12)</f>
        <v>9.1999999999999998E-2</v>
      </c>
      <c r="CD397" s="213" t="e">
        <f t="shared" si="117"/>
        <v>#N/A</v>
      </c>
      <c r="CE397" s="214" t="e">
        <f t="shared" si="118"/>
        <v>#N/A</v>
      </c>
      <c r="CF397" s="215">
        <f>VLOOKUP(L397,'Impostos e Frete'!$A$3:$C$7,3,0)</f>
        <v>105</v>
      </c>
      <c r="CG397" s="215">
        <f t="shared" si="119"/>
        <v>120</v>
      </c>
      <c r="CH397" s="215">
        <f t="shared" si="120"/>
        <v>15</v>
      </c>
      <c r="CI397" s="216" t="e">
        <f t="shared" si="121"/>
        <v>#N/A</v>
      </c>
      <c r="CJ397" s="217" t="e">
        <f t="shared" si="122"/>
        <v>#N/A</v>
      </c>
      <c r="CK397" s="218" t="e">
        <f t="shared" si="123"/>
        <v>#N/A</v>
      </c>
    </row>
    <row r="398" spans="1:89">
      <c r="A398" s="196">
        <v>7000484</v>
      </c>
      <c r="B398" s="186">
        <v>2</v>
      </c>
      <c r="C398" s="197">
        <v>80</v>
      </c>
      <c r="D398" s="197"/>
      <c r="E398" s="197" t="s">
        <v>49</v>
      </c>
      <c r="F398" s="198" t="s">
        <v>0</v>
      </c>
      <c r="G398" s="180" t="s">
        <v>96</v>
      </c>
      <c r="H398" s="178" t="s">
        <v>43</v>
      </c>
      <c r="I398" s="178" t="s">
        <v>99</v>
      </c>
      <c r="J398" s="178"/>
      <c r="K398" s="178"/>
      <c r="L398" s="178" t="s">
        <v>60</v>
      </c>
      <c r="M398" s="178">
        <v>90</v>
      </c>
      <c r="N398" s="178">
        <v>3300</v>
      </c>
      <c r="O398" s="178"/>
      <c r="P398" s="178"/>
      <c r="Q398" s="178"/>
      <c r="R398" s="178" t="s">
        <v>19</v>
      </c>
      <c r="S398" s="181"/>
      <c r="T398" s="181"/>
      <c r="U398" s="182"/>
      <c r="V398" s="182" t="s">
        <v>35</v>
      </c>
      <c r="W398" s="183">
        <v>100</v>
      </c>
      <c r="X398" s="182" t="s">
        <v>267</v>
      </c>
      <c r="Y398" s="184"/>
      <c r="Z398" s="203"/>
      <c r="AA398" s="203"/>
      <c r="AB398" s="203"/>
      <c r="AC398" s="203"/>
      <c r="AD398" s="203"/>
      <c r="AE398" s="203"/>
      <c r="AF398" s="203"/>
      <c r="AG398" s="203"/>
      <c r="AH398" s="203"/>
      <c r="AI398" s="203"/>
      <c r="AJ398" s="203"/>
      <c r="AK398" s="203"/>
      <c r="AL398" s="203"/>
      <c r="AM398" s="203"/>
      <c r="AN398" s="203"/>
      <c r="AO398" s="203"/>
      <c r="AP398" s="203"/>
      <c r="AQ398" s="203"/>
      <c r="AR398" s="203"/>
      <c r="AS398" s="203"/>
      <c r="AT398" s="203"/>
      <c r="AU398" s="203"/>
      <c r="AV398" s="203"/>
      <c r="AW398" s="203"/>
      <c r="AX398" s="203"/>
      <c r="AY398" s="203"/>
      <c r="AZ398" s="203"/>
      <c r="BA398" s="203"/>
      <c r="BB398" s="203"/>
      <c r="BC398" s="203"/>
      <c r="BD398" s="203"/>
      <c r="BE398" s="203"/>
      <c r="BF398" s="203"/>
      <c r="BG398" s="203"/>
      <c r="BH398" s="203"/>
      <c r="BI398" s="184">
        <v>14500</v>
      </c>
      <c r="BJ398" s="184">
        <v>14500</v>
      </c>
      <c r="BK398" s="184">
        <v>14500</v>
      </c>
      <c r="BL398" s="184">
        <v>14500</v>
      </c>
      <c r="BM398" s="184">
        <v>14500</v>
      </c>
      <c r="BN398" s="184">
        <v>14500</v>
      </c>
      <c r="BO398" s="203"/>
      <c r="BP398" s="203"/>
      <c r="BQ398" s="203"/>
      <c r="BR398" s="203"/>
      <c r="BS398" s="203"/>
      <c r="BT398" s="203"/>
      <c r="BU398" s="146" cm="1">
        <f t="array" ref="BU398">LOOKUP(2,1/(Y398:BT398&lt;&gt;""),Y398:BH398)</f>
        <v>14500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46174</v>
      </c>
      <c r="BW398" s="211" cm="1">
        <f t="array" ref="BW398">(LOOKUP(2,1/(BH398:BT398&lt;&gt;""),BH398:BT398))/(INDEX(BH398:BT398,MATCH(TRUE,INDEX((BH398:BT398&lt;&gt;0),0),0)))-1</f>
        <v>0</v>
      </c>
      <c r="BX398" s="212">
        <f t="shared" si="115"/>
        <v>14.5</v>
      </c>
      <c r="BY398" s="212">
        <f t="shared" si="111"/>
        <v>10.875</v>
      </c>
      <c r="BZ398" s="212">
        <f ca="1">IF(L398="BR",'Impostos e Frete'!$F$6,IF(L398="EU",'Impostos e Frete'!$I$3,IF(L398="CN",'Impostos e Frete'!$I$4,IF(L398="JP",'Impostos e Frete'!$I$5,IF(L398="RU",'Impostos e Frete'!$I$7,"ERRO")))))</f>
        <v>1.11958</v>
      </c>
      <c r="CA398" s="212">
        <f>VLOOKUP(L398,'Impostos e Frete'!$A$3:$B$7,2,0)*'Preços e Condições'!BY398</f>
        <v>1.5225000000000002</v>
      </c>
      <c r="CB398" s="147">
        <f t="shared" si="116"/>
        <v>0</v>
      </c>
      <c r="CC398" s="147">
        <f>IF(X398="BRL",'Impostos e Frete'!$B$11,'Impostos e Frete'!$B$12)</f>
        <v>9.1999999999999998E-2</v>
      </c>
      <c r="CD398" s="213">
        <f t="shared" ca="1" si="117"/>
        <v>13.609080000000001</v>
      </c>
      <c r="CE398" s="214">
        <f t="shared" ca="1" si="118"/>
        <v>1.0887264000000001</v>
      </c>
      <c r="CF398" s="215">
        <f>VLOOKUP(L398,'Impostos e Frete'!$A$3:$C$7,3,0)</f>
        <v>120</v>
      </c>
      <c r="CG398" s="215">
        <f t="shared" si="119"/>
        <v>90</v>
      </c>
      <c r="CH398" s="215">
        <f t="shared" si="120"/>
        <v>-30</v>
      </c>
      <c r="CI398" s="216">
        <f t="shared" ca="1" si="121"/>
        <v>0.20413619999999888</v>
      </c>
      <c r="CJ398" s="217">
        <f t="shared" ca="1" si="122"/>
        <v>13.813216199999999</v>
      </c>
      <c r="CK398" s="218">
        <f t="shared" ca="1" si="123"/>
        <v>1.105057296</v>
      </c>
    </row>
    <row r="399" spans="1:89">
      <c r="A399" s="196">
        <v>7002369</v>
      </c>
      <c r="B399" s="186">
        <v>2</v>
      </c>
      <c r="C399" s="197">
        <v>80</v>
      </c>
      <c r="D399" s="197"/>
      <c r="E399" s="197" t="s">
        <v>49</v>
      </c>
      <c r="F399" s="198" t="s">
        <v>67</v>
      </c>
      <c r="G399" s="185" t="s">
        <v>379</v>
      </c>
      <c r="H399" s="178" t="s">
        <v>43</v>
      </c>
      <c r="I399" s="178" t="s">
        <v>378</v>
      </c>
      <c r="J399" s="178"/>
      <c r="K399" s="178"/>
      <c r="L399" s="178" t="s">
        <v>59</v>
      </c>
      <c r="M399" s="178">
        <v>90</v>
      </c>
      <c r="N399" s="178"/>
      <c r="O399" s="178"/>
      <c r="P399" s="178"/>
      <c r="Q399" s="178"/>
      <c r="R399" s="178" t="s">
        <v>19</v>
      </c>
      <c r="S399" s="181"/>
      <c r="T399" s="181"/>
      <c r="U399" s="182"/>
      <c r="V399" s="182" t="s">
        <v>35</v>
      </c>
      <c r="W399" s="183">
        <v>100</v>
      </c>
      <c r="X399" s="182" t="s">
        <v>51</v>
      </c>
      <c r="Y399" s="184"/>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A399" s="203"/>
      <c r="BB399" s="203"/>
      <c r="BC399" s="203"/>
      <c r="BD399" s="203"/>
      <c r="BE399" s="203"/>
      <c r="BF399" s="203"/>
      <c r="BG399" s="203"/>
      <c r="BH399" s="203"/>
      <c r="BI399" s="184">
        <v>2390</v>
      </c>
      <c r="BJ399" s="184">
        <v>2390</v>
      </c>
      <c r="BK399" s="184">
        <v>2390</v>
      </c>
      <c r="BL399" s="184">
        <v>2500</v>
      </c>
      <c r="BM399" s="184">
        <v>2500</v>
      </c>
      <c r="BN399" s="184">
        <v>2500</v>
      </c>
      <c r="BO399" s="203"/>
      <c r="BP399" s="203"/>
      <c r="BQ399" s="203"/>
      <c r="BR399" s="203"/>
      <c r="BS399" s="203"/>
      <c r="BT399" s="203"/>
      <c r="BU399" s="146" cm="1">
        <f t="array" ref="BU399">LOOKUP(2,1/(Y399:BT399&lt;&gt;""),Y399:BH399)</f>
        <v>2500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46174</v>
      </c>
      <c r="BW399" s="211" cm="1">
        <f t="array" ref="BW399">(LOOKUP(2,1/(BH399:BT399&lt;&gt;""),BH399:BT399))/(INDEX(BH399:BT399,MATCH(TRUE,INDEX((BH399:BT399&lt;&gt;0),0),0)))-1</f>
        <v>4.6025104602510414E-2</v>
      </c>
      <c r="BX399" s="212">
        <f t="shared" si="115"/>
        <v>2.5</v>
      </c>
      <c r="BY399" s="212">
        <f t="shared" si="111"/>
        <v>14.75</v>
      </c>
      <c r="BZ399" s="212">
        <f ca="1">IF(L399="BR",'Impostos e Frete'!$F$6,IF(L399="EU",'Impostos e Frete'!$I$3,IF(L399="CN",'Impostos e Frete'!$I$4,IF(L399="JP",'Impostos e Frete'!$I$5,IF(L399="RU",'Impostos e Frete'!$I$7,"ERRO")))))</f>
        <v>0.14176320000000001</v>
      </c>
      <c r="CA399" s="212">
        <f>VLOOKUP(L399,'Impostos e Frete'!$A$3:$B$7,2,0)*'Preços e Condições'!BY399</f>
        <v>1.9175</v>
      </c>
      <c r="CB399" s="147">
        <f t="shared" si="116"/>
        <v>0</v>
      </c>
      <c r="CC399" s="147">
        <f>IF(X399="BRL",'Impostos e Frete'!$B$11,'Impostos e Frete'!$B$12)</f>
        <v>9.1999999999999998E-2</v>
      </c>
      <c r="CD399" s="213">
        <f t="shared" ca="1" si="117"/>
        <v>16.901263199999999</v>
      </c>
      <c r="CE399" s="214">
        <f t="shared" ca="1" si="118"/>
        <v>1.352101056</v>
      </c>
      <c r="CF399" s="215">
        <f>VLOOKUP(L399,'Impostos e Frete'!$A$3:$C$7,3,0)</f>
        <v>105</v>
      </c>
      <c r="CG399" s="215">
        <f t="shared" si="119"/>
        <v>90</v>
      </c>
      <c r="CH399" s="215">
        <f t="shared" si="120"/>
        <v>-15</v>
      </c>
      <c r="CI399" s="216">
        <f t="shared" ca="1" si="121"/>
        <v>0.12628765800683794</v>
      </c>
      <c r="CJ399" s="217">
        <f t="shared" ca="1" si="122"/>
        <v>17.027550858006837</v>
      </c>
      <c r="CK399" s="218">
        <f t="shared" ca="1" si="123"/>
        <v>1.362204068640547</v>
      </c>
    </row>
    <row r="400" spans="1:89">
      <c r="A400" s="196">
        <v>7000459</v>
      </c>
      <c r="B400" s="186">
        <v>104</v>
      </c>
      <c r="C400" s="197">
        <v>70</v>
      </c>
      <c r="D400" s="197"/>
      <c r="E400" s="197" t="s">
        <v>50</v>
      </c>
      <c r="F400" s="198" t="s">
        <v>0</v>
      </c>
      <c r="G400" s="180" t="s">
        <v>71</v>
      </c>
      <c r="H400" s="178" t="s">
        <v>43</v>
      </c>
      <c r="I400" s="178"/>
      <c r="J400" s="178"/>
      <c r="K400" s="178"/>
      <c r="L400" s="178" t="s">
        <v>60</v>
      </c>
      <c r="M400" s="178">
        <v>90</v>
      </c>
      <c r="N400" s="178">
        <v>3300</v>
      </c>
      <c r="O400" s="178"/>
      <c r="P400" s="178"/>
      <c r="Q400" s="178"/>
      <c r="R400" s="178" t="s">
        <v>19</v>
      </c>
      <c r="S400" s="181"/>
      <c r="T400" s="181"/>
      <c r="U400" s="182"/>
      <c r="V400" s="182" t="s">
        <v>35</v>
      </c>
      <c r="W400" s="183">
        <v>100</v>
      </c>
      <c r="X400" s="182" t="s">
        <v>267</v>
      </c>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203"/>
      <c r="BB400" s="203"/>
      <c r="BC400" s="203"/>
      <c r="BD400" s="203"/>
      <c r="BE400" s="203"/>
      <c r="BF400" s="203"/>
      <c r="BG400" s="203"/>
      <c r="BH400" s="203"/>
      <c r="BI400" s="184">
        <v>11650</v>
      </c>
      <c r="BJ400" s="184">
        <v>11650</v>
      </c>
      <c r="BK400" s="184">
        <v>11650</v>
      </c>
      <c r="BL400" s="184">
        <v>11650</v>
      </c>
      <c r="BM400" s="184">
        <v>11650</v>
      </c>
      <c r="BN400" s="184">
        <v>11650</v>
      </c>
      <c r="BO400" s="203"/>
      <c r="BP400" s="203"/>
      <c r="BQ400" s="203"/>
      <c r="BR400" s="203"/>
      <c r="BS400" s="203"/>
      <c r="BT400" s="203"/>
      <c r="BU400" s="146" cm="1">
        <f t="array" ref="BU400">LOOKUP(2,1/(Y400:BT400&lt;&gt;""),Y400:BH400)</f>
        <v>11650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46174</v>
      </c>
      <c r="BW400" s="211" cm="1">
        <f t="array" ref="BW400">(LOOKUP(2,1/(BH400:BT400&lt;&gt;""),BH400:BT400))/(INDEX(BH400:BT400,MATCH(TRUE,INDEX((BH400:BT400&lt;&gt;0),0),0)))-1</f>
        <v>0</v>
      </c>
      <c r="BX400" s="212">
        <f t="shared" si="115"/>
        <v>11.65</v>
      </c>
      <c r="BY400" s="212">
        <f t="shared" si="111"/>
        <v>8.7375000000000007</v>
      </c>
      <c r="BZ400" s="212">
        <f ca="1">IF(L400="BR",'Impostos e Frete'!$F$6,IF(L400="EU",'Impostos e Frete'!$I$3,IF(L400="CN",'Impostos e Frete'!$I$4,IF(L400="JP",'Impostos e Frete'!$I$5,IF(L400="RU",'Impostos e Frete'!$I$7,"ERRO")))))</f>
        <v>1.11958</v>
      </c>
      <c r="CA400" s="212">
        <f>VLOOKUP(L400,'Impostos e Frete'!$A$3:$B$7,2,0)*'Preços e Condições'!BY400</f>
        <v>1.2232500000000002</v>
      </c>
      <c r="CB400" s="147">
        <f t="shared" si="116"/>
        <v>0</v>
      </c>
      <c r="CC400" s="147">
        <f>IF(X400="BRL",'Impostos e Frete'!$B$11,'Impostos e Frete'!$B$12)</f>
        <v>9.1999999999999998E-2</v>
      </c>
      <c r="CD400" s="213">
        <f t="shared" ca="1" si="117"/>
        <v>11.172330000000001</v>
      </c>
      <c r="CE400" s="214">
        <f t="shared" ca="1" si="118"/>
        <v>0.78206310000000012</v>
      </c>
      <c r="CF400" s="215">
        <f>VLOOKUP(L400,'Impostos e Frete'!$A$3:$C$7,3,0)</f>
        <v>120</v>
      </c>
      <c r="CG400" s="215">
        <f t="shared" si="119"/>
        <v>90</v>
      </c>
      <c r="CH400" s="215">
        <f t="shared" si="120"/>
        <v>-30</v>
      </c>
      <c r="CI400" s="216">
        <f t="shared" ca="1" si="121"/>
        <v>0.1675849499999984</v>
      </c>
      <c r="CJ400" s="217">
        <f t="shared" ca="1" si="122"/>
        <v>11.339914949999999</v>
      </c>
      <c r="CK400" s="218">
        <f t="shared" ca="1" si="123"/>
        <v>0.79379404649999985</v>
      </c>
    </row>
    <row r="401" spans="1:89">
      <c r="A401" s="196">
        <v>7000403</v>
      </c>
      <c r="B401" s="186">
        <v>104</v>
      </c>
      <c r="C401" s="197">
        <v>70</v>
      </c>
      <c r="D401" s="197"/>
      <c r="E401" s="197" t="s">
        <v>50</v>
      </c>
      <c r="F401" s="198" t="s">
        <v>1</v>
      </c>
      <c r="G401" s="192" t="s">
        <v>6</v>
      </c>
      <c r="H401" s="190" t="s">
        <v>43</v>
      </c>
      <c r="I401" s="178">
        <v>990</v>
      </c>
      <c r="J401" s="183"/>
      <c r="K401" s="190" t="s">
        <v>28</v>
      </c>
      <c r="L401" s="183" t="s">
        <v>58</v>
      </c>
      <c r="M401" s="183">
        <v>0</v>
      </c>
      <c r="N401" s="183"/>
      <c r="O401" s="183"/>
      <c r="P401" s="183">
        <v>3</v>
      </c>
      <c r="Q401" s="183" t="s">
        <v>27</v>
      </c>
      <c r="R401" s="183" t="s">
        <v>19</v>
      </c>
      <c r="S401" s="181">
        <v>0.12</v>
      </c>
      <c r="T401" s="181" t="s">
        <v>210</v>
      </c>
      <c r="U401" s="182">
        <v>9.2499999999999999E-2</v>
      </c>
      <c r="V401" s="182" t="s">
        <v>35</v>
      </c>
      <c r="W401" s="183">
        <v>70</v>
      </c>
      <c r="X401" s="202" t="s">
        <v>46</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203"/>
      <c r="BB401" s="203"/>
      <c r="BC401" s="203"/>
      <c r="BD401" s="203"/>
      <c r="BE401" s="203"/>
      <c r="BF401" s="203"/>
      <c r="BG401" s="203"/>
      <c r="BH401" s="203"/>
      <c r="BI401" s="184">
        <v>13634</v>
      </c>
      <c r="BJ401" s="184">
        <v>13634</v>
      </c>
      <c r="BK401" s="184">
        <v>13634</v>
      </c>
      <c r="BL401" s="203">
        <v>14425</v>
      </c>
      <c r="BM401" s="203">
        <v>14425</v>
      </c>
      <c r="BN401" s="203">
        <v>14425</v>
      </c>
      <c r="BO401" s="203"/>
      <c r="BP401" s="203"/>
      <c r="BQ401" s="203"/>
      <c r="BR401" s="203"/>
      <c r="BS401" s="203"/>
      <c r="BT401" s="203"/>
      <c r="BU401" s="146" cm="1">
        <f t="array" ref="BU401">LOOKUP(2,1/(Y401:BT401&lt;&gt;""),Y401:BH401)</f>
        <v>14425</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46174</v>
      </c>
      <c r="BW401" s="211" cm="1">
        <f t="array" ref="BW401">(LOOKUP(2,1/(BH401:BT401&lt;&gt;""),BH401:BT401))/(INDEX(BH401:BT401,MATCH(TRUE,INDEX((BH401:BT401&lt;&gt;0),0),0)))-1</f>
        <v>5.8016722898635686E-2</v>
      </c>
      <c r="BX401" s="212">
        <f t="shared" si="115"/>
        <v>14.425000000000001</v>
      </c>
      <c r="BY401" s="212">
        <f t="shared" si="111"/>
        <v>14.425000000000001</v>
      </c>
      <c r="BZ401" s="212">
        <f>IF(L401="BR",'Impostos e Frete'!$F$6,IF(L401="EU",'Impostos e Frete'!$I$3,IF(L401="CN",'Impostos e Frete'!$I$4,IF(L401="JP",'Impostos e Frete'!$I$5,IF(L401="RU",'Impostos e Frete'!$I$7,"ERRO")))))</f>
        <v>0</v>
      </c>
      <c r="CA401" s="212">
        <f>VLOOKUP(L401,'Impostos e Frete'!$A$3:$B$7,2,0)*'Preços e Condições'!BY401</f>
        <v>0</v>
      </c>
      <c r="CB401" s="147">
        <f t="shared" si="116"/>
        <v>0</v>
      </c>
      <c r="CC401" s="147">
        <f>IF(X401="BRL",'Impostos e Frete'!$B$11,'Impostos e Frete'!$B$12)</f>
        <v>0.2</v>
      </c>
      <c r="CD401" s="213">
        <f t="shared" si="117"/>
        <v>14.625</v>
      </c>
      <c r="CE401" s="214">
        <f t="shared" si="118"/>
        <v>1.0237500000000002</v>
      </c>
      <c r="CF401" s="215">
        <f>VLOOKUP(L401,'Impostos e Frete'!$A$3:$C$7,3,0)</f>
        <v>45</v>
      </c>
      <c r="CG401" s="215">
        <f t="shared" si="119"/>
        <v>0</v>
      </c>
      <c r="CH401" s="215">
        <f t="shared" si="120"/>
        <v>-45</v>
      </c>
      <c r="CI401" s="216">
        <f t="shared" si="121"/>
        <v>0.33029341663794654</v>
      </c>
      <c r="CJ401" s="217">
        <f t="shared" si="122"/>
        <v>14.955293416637947</v>
      </c>
      <c r="CK401" s="218">
        <f t="shared" si="123"/>
        <v>1.0468705391646562</v>
      </c>
    </row>
    <row r="402" spans="1:89">
      <c r="A402" s="204">
        <v>7002367</v>
      </c>
      <c r="B402" s="186">
        <v>104</v>
      </c>
      <c r="C402" s="197">
        <v>70</v>
      </c>
      <c r="D402" s="197"/>
      <c r="E402" s="197" t="s">
        <v>50</v>
      </c>
      <c r="F402" s="198" t="s">
        <v>240</v>
      </c>
      <c r="G402" s="180" t="s">
        <v>372</v>
      </c>
      <c r="H402" s="178" t="s">
        <v>43</v>
      </c>
      <c r="I402" s="178" t="s">
        <v>241</v>
      </c>
      <c r="J402" s="178"/>
      <c r="K402" s="178"/>
      <c r="L402" s="178" t="s">
        <v>60</v>
      </c>
      <c r="M402" s="178">
        <v>90</v>
      </c>
      <c r="N402" s="178">
        <v>3300</v>
      </c>
      <c r="O402" s="178"/>
      <c r="P402" s="178"/>
      <c r="Q402" s="178"/>
      <c r="R402" s="178" t="s">
        <v>19</v>
      </c>
      <c r="S402" s="181"/>
      <c r="T402" s="181"/>
      <c r="U402" s="182"/>
      <c r="V402" s="182" t="s">
        <v>35</v>
      </c>
      <c r="W402" s="183"/>
      <c r="X402" s="182" t="s">
        <v>267</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203"/>
      <c r="BB402" s="203"/>
      <c r="BC402" s="203"/>
      <c r="BD402" s="203"/>
      <c r="BE402" s="203"/>
      <c r="BF402" s="203"/>
      <c r="BG402" s="203"/>
      <c r="BH402" s="203"/>
      <c r="BI402" s="184">
        <v>12000</v>
      </c>
      <c r="BJ402" s="184">
        <v>12000</v>
      </c>
      <c r="BK402" s="184">
        <v>12000</v>
      </c>
      <c r="BL402" s="184">
        <v>12000</v>
      </c>
      <c r="BM402" s="184">
        <v>12000</v>
      </c>
      <c r="BN402" s="184">
        <v>12000</v>
      </c>
      <c r="BO402" s="203"/>
      <c r="BP402" s="203"/>
      <c r="BQ402" s="203"/>
      <c r="BR402" s="203"/>
      <c r="BS402" s="203"/>
      <c r="BT402" s="203"/>
      <c r="BU402" s="146" cm="1">
        <f t="array" ref="BU402">LOOKUP(2,1/(Y402:BT402&lt;&gt;""),Y402:BH402)</f>
        <v>12000</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46174</v>
      </c>
      <c r="BW402" s="211" cm="1">
        <f t="array" ref="BW402">(LOOKUP(2,1/(BH402:BT402&lt;&gt;""),BH402:BT402))/(INDEX(BH402:BT402,MATCH(TRUE,INDEX((BH402:BT402&lt;&gt;0),0),0)))-1</f>
        <v>0</v>
      </c>
      <c r="BX402" s="212">
        <f t="shared" si="115"/>
        <v>12</v>
      </c>
      <c r="BY402" s="212">
        <f t="shared" si="111"/>
        <v>9</v>
      </c>
      <c r="BZ402" s="212">
        <f ca="1">IF(L402="BR",'Impostos e Frete'!$F$6,IF(L402="EU",'Impostos e Frete'!$I$3,IF(L402="CN",'Impostos e Frete'!$I$4,IF(L402="JP",'Impostos e Frete'!$I$5,IF(L402="RU",'Impostos e Frete'!$I$7,"ERRO")))))</f>
        <v>1.11958</v>
      </c>
      <c r="CA402" s="212">
        <f>VLOOKUP(L402,'Impostos e Frete'!$A$3:$B$7,2,0)*'Preços e Condições'!BY402</f>
        <v>1.2600000000000002</v>
      </c>
      <c r="CB402" s="147">
        <f t="shared" si="116"/>
        <v>0</v>
      </c>
      <c r="CC402" s="147">
        <f>IF(X402="BRL",'Impostos e Frete'!$B$11,'Impostos e Frete'!$B$12)</f>
        <v>9.1999999999999998E-2</v>
      </c>
      <c r="CD402" s="213">
        <f t="shared" ca="1" si="117"/>
        <v>11.471579999999999</v>
      </c>
      <c r="CE402" s="214">
        <f t="shared" ca="1" si="118"/>
        <v>0.80301059999999991</v>
      </c>
      <c r="CF402" s="215">
        <f>VLOOKUP(L402,'Impostos e Frete'!$A$3:$C$7,3,0)</f>
        <v>120</v>
      </c>
      <c r="CG402" s="215">
        <f t="shared" si="119"/>
        <v>90</v>
      </c>
      <c r="CH402" s="215">
        <f t="shared" si="120"/>
        <v>-30</v>
      </c>
      <c r="CI402" s="216">
        <f t="shared" ca="1" si="121"/>
        <v>0.17207369999999855</v>
      </c>
      <c r="CJ402" s="217">
        <f t="shared" ca="1" si="122"/>
        <v>11.643653699999998</v>
      </c>
      <c r="CK402" s="218">
        <f t="shared" ca="1" si="123"/>
        <v>0.81505575899999982</v>
      </c>
    </row>
    <row r="403" spans="1:89">
      <c r="A403" s="204">
        <v>7000444</v>
      </c>
      <c r="B403" s="186">
        <v>399</v>
      </c>
      <c r="C403" s="197">
        <v>68</v>
      </c>
      <c r="D403" s="197"/>
      <c r="E403" s="197" t="s">
        <v>50</v>
      </c>
      <c r="F403" s="179" t="s">
        <v>47</v>
      </c>
      <c r="G403" s="179" t="s">
        <v>79</v>
      </c>
      <c r="H403" s="178" t="s">
        <v>42</v>
      </c>
      <c r="I403" s="178">
        <v>6656</v>
      </c>
      <c r="J403" s="178"/>
      <c r="K403" s="178"/>
      <c r="L403" s="178" t="s">
        <v>59</v>
      </c>
      <c r="M403" s="178">
        <v>120</v>
      </c>
      <c r="N403" s="178">
        <v>300</v>
      </c>
      <c r="O403" s="178"/>
      <c r="P403" s="178"/>
      <c r="Q403" s="178"/>
      <c r="R403" s="178" t="s">
        <v>19</v>
      </c>
      <c r="S403" s="181"/>
      <c r="T403" s="181"/>
      <c r="U403" s="182"/>
      <c r="V403" s="182" t="s">
        <v>35</v>
      </c>
      <c r="W403" s="183">
        <v>50</v>
      </c>
      <c r="X403" s="182" t="s">
        <v>51</v>
      </c>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3"/>
      <c r="BB403" s="203"/>
      <c r="BC403" s="203"/>
      <c r="BD403" s="203"/>
      <c r="BE403" s="203"/>
      <c r="BF403" s="203"/>
      <c r="BG403" s="203"/>
      <c r="BH403" s="203"/>
      <c r="BI403" s="184">
        <v>2540</v>
      </c>
      <c r="BJ403" s="184">
        <v>2540</v>
      </c>
      <c r="BK403" s="184">
        <v>2540</v>
      </c>
      <c r="BL403" s="203">
        <v>2640</v>
      </c>
      <c r="BM403" s="203">
        <v>2640</v>
      </c>
      <c r="BN403" s="203">
        <v>2640</v>
      </c>
      <c r="BO403" s="203"/>
      <c r="BP403" s="203"/>
      <c r="BQ403" s="203"/>
      <c r="BR403" s="203"/>
      <c r="BS403" s="203"/>
      <c r="BT403" s="203"/>
      <c r="BU403" s="146" cm="1">
        <f t="array" ref="BU403">LOOKUP(2,1/(Y403:BT403&lt;&gt;""),Y403:BH403)</f>
        <v>2640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46174</v>
      </c>
      <c r="BW403" s="211" cm="1">
        <f t="array" ref="BW403">(LOOKUP(2,1/(BH403:BT403&lt;&gt;""),BH403:BT403))/(INDEX(BH403:BT403,MATCH(TRUE,INDEX((BH403:BT403&lt;&gt;0),0),0)))-1</f>
        <v>3.937007874015741E-2</v>
      </c>
      <c r="BX403" s="212">
        <f t="shared" ref="BX403:BX405" si="147">BU403/1000</f>
        <v>2.64</v>
      </c>
      <c r="BY403" s="212">
        <f t="shared" si="111"/>
        <v>15.576000000000002</v>
      </c>
      <c r="BZ403" s="212">
        <f ca="1">IF(L403="BR",'Impostos e Frete'!$F$6,IF(L403="EU",'Impostos e Frete'!$I$3,IF(L403="CN",'Impostos e Frete'!$I$4,IF(L403="JP",'Impostos e Frete'!$I$5,IF(L403="RU",'Impostos e Frete'!$I$7,"ERRO")))))</f>
        <v>0.14176320000000001</v>
      </c>
      <c r="CA403" s="212">
        <f>VLOOKUP(L403,'Impostos e Frete'!$A$3:$B$7,2,0)*'Preços e Condições'!BY403</f>
        <v>2.0248800000000005</v>
      </c>
      <c r="CB403" s="147">
        <f t="shared" ref="CB403:CB405" si="148">IF(R403="CFR",$CB$2,IF(R403="FOB",0,IF(R403="EXW",$CB$1,"ERRO")))</f>
        <v>0</v>
      </c>
      <c r="CC403" s="147">
        <f>IF(X403="BRL",'Impostos e Frete'!$B$11,'Impostos e Frete'!$B$12)</f>
        <v>9.1999999999999998E-2</v>
      </c>
      <c r="CD403" s="213">
        <f t="shared" ref="CD403:CD405" ca="1" si="149">SUM(BY403:CC403)</f>
        <v>17.834643200000002</v>
      </c>
      <c r="CE403" s="214">
        <f t="shared" ref="CE403:CE405" ca="1" si="150">IF(C403="","erro",(CD403/1000)*C403)</f>
        <v>1.2127557376000002</v>
      </c>
      <c r="CF403" s="215">
        <f>VLOOKUP(L403,'Impostos e Frete'!$A$3:$C$7,3,0)</f>
        <v>105</v>
      </c>
      <c r="CG403" s="215">
        <f t="shared" ref="CG403:CG405" si="151">M403</f>
        <v>120</v>
      </c>
      <c r="CH403" s="215">
        <f t="shared" ref="CH403:CH405" si="152">CG403-CF403</f>
        <v>15</v>
      </c>
      <c r="CI403" s="216">
        <f t="shared" ref="CI403:CI405" ca="1" si="153">CD403*(1+VALUE($CI$2))^((CH403*-1)/30)-CD403</f>
        <v>-0.13227359236201863</v>
      </c>
      <c r="CJ403" s="217">
        <f t="shared" ref="CJ403:CJ405" ca="1" si="154">CD403+CI403</f>
        <v>17.702369607637984</v>
      </c>
      <c r="CK403" s="218">
        <f t="shared" ref="CK403:CK405" ca="1" si="155">IF(C403="","erro",(CJ403/1000)*C403)</f>
        <v>1.2037611333193829</v>
      </c>
    </row>
    <row r="404" spans="1:89">
      <c r="A404" s="204">
        <v>7000444</v>
      </c>
      <c r="B404" s="186">
        <v>399</v>
      </c>
      <c r="C404" s="197">
        <v>68</v>
      </c>
      <c r="D404" s="197"/>
      <c r="E404" s="197" t="s">
        <v>50</v>
      </c>
      <c r="F404" s="179" t="s">
        <v>47</v>
      </c>
      <c r="G404" s="179" t="s">
        <v>79</v>
      </c>
      <c r="H404" s="178" t="s">
        <v>42</v>
      </c>
      <c r="I404" s="178">
        <v>6656</v>
      </c>
      <c r="J404" s="178"/>
      <c r="K404" s="178"/>
      <c r="L404" s="178" t="s">
        <v>59</v>
      </c>
      <c r="M404" s="178">
        <v>120</v>
      </c>
      <c r="N404" s="178">
        <v>300</v>
      </c>
      <c r="O404" s="178"/>
      <c r="P404" s="178"/>
      <c r="Q404" s="178"/>
      <c r="R404" s="178" t="s">
        <v>19</v>
      </c>
      <c r="S404" s="181"/>
      <c r="T404" s="181"/>
      <c r="U404" s="182"/>
      <c r="V404" s="182" t="s">
        <v>35</v>
      </c>
      <c r="W404" s="183">
        <v>30</v>
      </c>
      <c r="X404" s="182" t="s">
        <v>51</v>
      </c>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3"/>
      <c r="BB404" s="203"/>
      <c r="BC404" s="203"/>
      <c r="BD404" s="203"/>
      <c r="BE404" s="203"/>
      <c r="BF404" s="203"/>
      <c r="BG404" s="203"/>
      <c r="BH404" s="203"/>
      <c r="BI404" s="184">
        <v>2590</v>
      </c>
      <c r="BJ404" s="184">
        <v>2590</v>
      </c>
      <c r="BK404" s="184">
        <v>2590</v>
      </c>
      <c r="BL404" s="203">
        <v>2690</v>
      </c>
      <c r="BM404" s="203">
        <v>2690</v>
      </c>
      <c r="BN404" s="203">
        <v>2690</v>
      </c>
      <c r="BO404" s="203"/>
      <c r="BP404" s="203"/>
      <c r="BQ404" s="203"/>
      <c r="BR404" s="203"/>
      <c r="BS404" s="203"/>
      <c r="BT404" s="203"/>
      <c r="BU404" s="146" cm="1">
        <f t="array" ref="BU404">LOOKUP(2,1/(Y404:BT404&lt;&gt;""),Y404:BH404)</f>
        <v>2690</v>
      </c>
      <c r="BV404" s="145"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46174</v>
      </c>
      <c r="BW404" s="211" cm="1">
        <f t="array" ref="BW404">(LOOKUP(2,1/(BH404:BT404&lt;&gt;""),BH404:BT404))/(INDEX(BH404:BT404,MATCH(TRUE,INDEX((BH404:BT404&lt;&gt;0),0),0)))-1</f>
        <v>3.8610038610038533E-2</v>
      </c>
      <c r="BX404" s="212">
        <f t="shared" si="147"/>
        <v>2.69</v>
      </c>
      <c r="BY404" s="212">
        <f t="shared" si="111"/>
        <v>15.871</v>
      </c>
      <c r="BZ404" s="212">
        <f ca="1">IF(L404="BR",'Impostos e Frete'!$F$6,IF(L404="EU",'Impostos e Frete'!$I$3,IF(L404="CN",'Impostos e Frete'!$I$4,IF(L404="JP",'Impostos e Frete'!$I$5,IF(L404="RU",'Impostos e Frete'!$I$7,"ERRO")))))</f>
        <v>0.14176320000000001</v>
      </c>
      <c r="CA404" s="212">
        <f>VLOOKUP(L404,'Impostos e Frete'!$A$3:$B$7,2,0)*'Preços e Condições'!BY404</f>
        <v>2.0632300000000003</v>
      </c>
      <c r="CB404" s="147">
        <f t="shared" si="148"/>
        <v>0</v>
      </c>
      <c r="CC404" s="147">
        <f>IF(X404="BRL",'Impostos e Frete'!$B$11,'Impostos e Frete'!$B$12)</f>
        <v>9.1999999999999998E-2</v>
      </c>
      <c r="CD404" s="213">
        <f t="shared" ca="1" si="149"/>
        <v>18.167993200000002</v>
      </c>
      <c r="CE404" s="214">
        <f t="shared" ca="1" si="150"/>
        <v>1.2354235376000002</v>
      </c>
      <c r="CF404" s="215">
        <f>VLOOKUP(L404,'Impostos e Frete'!$A$3:$C$7,3,0)</f>
        <v>105</v>
      </c>
      <c r="CG404" s="215">
        <f t="shared" si="151"/>
        <v>120</v>
      </c>
      <c r="CH404" s="215">
        <f t="shared" si="152"/>
        <v>15</v>
      </c>
      <c r="CI404" s="216">
        <f t="shared" ca="1" si="153"/>
        <v>-0.1347459379828102</v>
      </c>
      <c r="CJ404" s="217">
        <f t="shared" ca="1" si="154"/>
        <v>18.033247262017191</v>
      </c>
      <c r="CK404" s="218">
        <f t="shared" ca="1" si="155"/>
        <v>1.2262608138171691</v>
      </c>
    </row>
    <row r="405" spans="1:89">
      <c r="A405" s="204">
        <v>7000444</v>
      </c>
      <c r="B405" s="186">
        <v>399</v>
      </c>
      <c r="C405" s="197">
        <v>68</v>
      </c>
      <c r="D405" s="197"/>
      <c r="E405" s="197" t="s">
        <v>50</v>
      </c>
      <c r="F405" s="179" t="s">
        <v>47</v>
      </c>
      <c r="G405" s="179" t="s">
        <v>79</v>
      </c>
      <c r="H405" s="178" t="s">
        <v>42</v>
      </c>
      <c r="I405" s="178">
        <v>6656</v>
      </c>
      <c r="J405" s="178"/>
      <c r="K405" s="178"/>
      <c r="L405" s="178" t="s">
        <v>59</v>
      </c>
      <c r="M405" s="178">
        <v>120</v>
      </c>
      <c r="N405" s="178">
        <v>300</v>
      </c>
      <c r="O405" s="178"/>
      <c r="P405" s="178"/>
      <c r="Q405" s="178"/>
      <c r="R405" s="178" t="s">
        <v>19</v>
      </c>
      <c r="S405" s="181"/>
      <c r="T405" s="181"/>
      <c r="U405" s="182"/>
      <c r="V405" s="182" t="s">
        <v>35</v>
      </c>
      <c r="W405" s="183">
        <v>20</v>
      </c>
      <c r="X405" s="182" t="s">
        <v>51</v>
      </c>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3"/>
      <c r="BB405" s="203"/>
      <c r="BC405" s="203"/>
      <c r="BD405" s="203"/>
      <c r="BE405" s="203"/>
      <c r="BF405" s="203"/>
      <c r="BG405" s="203"/>
      <c r="BH405" s="203"/>
      <c r="BI405" s="184">
        <v>2640</v>
      </c>
      <c r="BJ405" s="184">
        <v>2640</v>
      </c>
      <c r="BK405" s="184">
        <v>2640</v>
      </c>
      <c r="BL405" s="203">
        <v>2740</v>
      </c>
      <c r="BM405" s="203">
        <v>2740</v>
      </c>
      <c r="BN405" s="203">
        <v>2740</v>
      </c>
      <c r="BO405" s="203"/>
      <c r="BP405" s="203"/>
      <c r="BQ405" s="203"/>
      <c r="BR405" s="203"/>
      <c r="BS405" s="203"/>
      <c r="BT405" s="203"/>
      <c r="BU405" s="146" cm="1">
        <f t="array" ref="BU405">LOOKUP(2,1/(Y405:BT405&lt;&gt;""),Y405:BH405)</f>
        <v>2740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46174</v>
      </c>
      <c r="BW405" s="211" cm="1">
        <f t="array" ref="BW405">(LOOKUP(2,1/(BH405:BT405&lt;&gt;""),BH405:BT405))/(INDEX(BH405:BT405,MATCH(TRUE,INDEX((BH405:BT405&lt;&gt;0),0),0)))-1</f>
        <v>3.7878787878787845E-2</v>
      </c>
      <c r="BX405" s="212">
        <f t="shared" si="147"/>
        <v>2.74</v>
      </c>
      <c r="BY405" s="212">
        <f t="shared" si="111"/>
        <v>16.166000000000004</v>
      </c>
      <c r="BZ405" s="212">
        <f ca="1">IF(L405="BR",'Impostos e Frete'!$F$6,IF(L405="EU",'Impostos e Frete'!$I$3,IF(L405="CN",'Impostos e Frete'!$I$4,IF(L405="JP",'Impostos e Frete'!$I$5,IF(L405="RU",'Impostos e Frete'!$I$7,"ERRO")))))</f>
        <v>0.14176320000000001</v>
      </c>
      <c r="CA405" s="212">
        <f>VLOOKUP(L405,'Impostos e Frete'!$A$3:$B$7,2,0)*'Preços e Condições'!BY405</f>
        <v>2.1015800000000007</v>
      </c>
      <c r="CB405" s="147">
        <f t="shared" si="148"/>
        <v>0</v>
      </c>
      <c r="CC405" s="147">
        <f>IF(X405="BRL",'Impostos e Frete'!$B$11,'Impostos e Frete'!$B$12)</f>
        <v>9.1999999999999998E-2</v>
      </c>
      <c r="CD405" s="213">
        <f t="shared" ca="1" si="149"/>
        <v>18.501343200000004</v>
      </c>
      <c r="CE405" s="214">
        <f t="shared" ca="1" si="150"/>
        <v>1.2580913376000005</v>
      </c>
      <c r="CF405" s="215">
        <f>VLOOKUP(L405,'Impostos e Frete'!$A$3:$C$7,3,0)</f>
        <v>105</v>
      </c>
      <c r="CG405" s="215">
        <f t="shared" si="151"/>
        <v>120</v>
      </c>
      <c r="CH405" s="215">
        <f t="shared" si="152"/>
        <v>15</v>
      </c>
      <c r="CI405" s="216">
        <f t="shared" ca="1" si="153"/>
        <v>-0.13721828360360178</v>
      </c>
      <c r="CJ405" s="217">
        <f t="shared" ca="1" si="154"/>
        <v>18.364124916396403</v>
      </c>
      <c r="CK405" s="218">
        <f t="shared" ca="1" si="155"/>
        <v>1.2487604943149553</v>
      </c>
    </row>
    <row r="406" spans="1:89">
      <c r="A406" s="204">
        <v>7000444</v>
      </c>
      <c r="B406" s="186">
        <v>399</v>
      </c>
      <c r="C406" s="197">
        <v>68</v>
      </c>
      <c r="D406" s="197"/>
      <c r="E406" s="197" t="s">
        <v>50</v>
      </c>
      <c r="F406" s="179" t="s">
        <v>47</v>
      </c>
      <c r="G406" s="179" t="s">
        <v>79</v>
      </c>
      <c r="H406" s="178" t="s">
        <v>42</v>
      </c>
      <c r="I406" s="178">
        <v>6656</v>
      </c>
      <c r="J406" s="178"/>
      <c r="K406" s="178"/>
      <c r="L406" s="178" t="s">
        <v>59</v>
      </c>
      <c r="M406" s="178">
        <v>120</v>
      </c>
      <c r="N406" s="178">
        <v>300</v>
      </c>
      <c r="O406" s="178"/>
      <c r="P406" s="178"/>
      <c r="Q406" s="178"/>
      <c r="R406" s="178" t="s">
        <v>19</v>
      </c>
      <c r="S406" s="181"/>
      <c r="T406" s="181"/>
      <c r="U406" s="182"/>
      <c r="V406" s="182" t="s">
        <v>35</v>
      </c>
      <c r="W406" s="183">
        <v>10</v>
      </c>
      <c r="X406" s="182" t="s">
        <v>51</v>
      </c>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3"/>
      <c r="BB406" s="203"/>
      <c r="BC406" s="203"/>
      <c r="BD406" s="203"/>
      <c r="BE406" s="203"/>
      <c r="BF406" s="203"/>
      <c r="BG406" s="203"/>
      <c r="BH406" s="203"/>
      <c r="BI406" s="184">
        <v>2720</v>
      </c>
      <c r="BJ406" s="184">
        <v>2720</v>
      </c>
      <c r="BK406" s="184">
        <v>2720</v>
      </c>
      <c r="BL406" s="203">
        <v>2820</v>
      </c>
      <c r="BM406" s="203">
        <v>2820</v>
      </c>
      <c r="BN406" s="203">
        <v>2820</v>
      </c>
      <c r="BO406" s="203"/>
      <c r="BP406" s="203"/>
      <c r="BQ406" s="203"/>
      <c r="BR406" s="203"/>
      <c r="BS406" s="203"/>
      <c r="BT406" s="203"/>
      <c r="BU406" s="146" cm="1">
        <f t="array" ref="BU406">LOOKUP(2,1/(Y406:BT406&lt;&gt;""),Y406:BH406)</f>
        <v>2820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46174</v>
      </c>
      <c r="BW406" s="211" cm="1">
        <f t="array" ref="BW406">(LOOKUP(2,1/(BH406:BT406&lt;&gt;""),BH406:BT406))/(INDEX(BH406:BT406,MATCH(TRUE,INDEX((BH406:BT406&lt;&gt;0),0),0)))-1</f>
        <v>3.6764705882353033E-2</v>
      </c>
      <c r="BX406" s="212">
        <f t="shared" si="115"/>
        <v>2.82</v>
      </c>
      <c r="BY406" s="212">
        <f t="shared" si="111"/>
        <v>16.638000000000002</v>
      </c>
      <c r="BZ406" s="212">
        <f ca="1">IF(L406="BR",'Impostos e Frete'!$F$6,IF(L406="EU",'Impostos e Frete'!$I$3,IF(L406="CN",'Impostos e Frete'!$I$4,IF(L406="JP",'Impostos e Frete'!$I$5,IF(L406="RU",'Impostos e Frete'!$I$7,"ERRO")))))</f>
        <v>0.14176320000000001</v>
      </c>
      <c r="CA406" s="212">
        <f>VLOOKUP(L406,'Impostos e Frete'!$A$3:$B$7,2,0)*'Preços e Condições'!BY406</f>
        <v>2.1629400000000003</v>
      </c>
      <c r="CB406" s="147">
        <f t="shared" si="116"/>
        <v>0</v>
      </c>
      <c r="CC406" s="147">
        <f>IF(X406="BRL",'Impostos e Frete'!$B$11,'Impostos e Frete'!$B$12)</f>
        <v>9.1999999999999998E-2</v>
      </c>
      <c r="CD406" s="213">
        <f t="shared" ca="1" si="117"/>
        <v>19.034703199999999</v>
      </c>
      <c r="CE406" s="214">
        <f t="shared" ca="1" si="118"/>
        <v>1.2943598176</v>
      </c>
      <c r="CF406" s="215">
        <f>VLOOKUP(L406,'Impostos e Frete'!$A$3:$C$7,3,0)</f>
        <v>105</v>
      </c>
      <c r="CG406" s="215">
        <f t="shared" si="119"/>
        <v>120</v>
      </c>
      <c r="CH406" s="215">
        <f t="shared" si="120"/>
        <v>15</v>
      </c>
      <c r="CI406" s="216">
        <f t="shared" ca="1" si="121"/>
        <v>-0.14117403659686545</v>
      </c>
      <c r="CJ406" s="217">
        <f t="shared" ca="1" si="122"/>
        <v>18.893529163403134</v>
      </c>
      <c r="CK406" s="218">
        <f t="shared" ca="1" si="123"/>
        <v>1.2847599831114132</v>
      </c>
    </row>
    <row r="407" spans="1:89">
      <c r="A407" s="204">
        <v>7000456</v>
      </c>
      <c r="B407" s="186">
        <v>689</v>
      </c>
      <c r="C407" s="197">
        <v>68</v>
      </c>
      <c r="D407" s="178"/>
      <c r="E407" s="197" t="s">
        <v>50</v>
      </c>
      <c r="F407" s="198" t="s">
        <v>2</v>
      </c>
      <c r="G407" s="189" t="s">
        <v>87</v>
      </c>
      <c r="H407" s="178" t="s">
        <v>63</v>
      </c>
      <c r="I407" s="178">
        <v>32166</v>
      </c>
      <c r="J407" s="178"/>
      <c r="K407" s="178"/>
      <c r="L407" s="178" t="s">
        <v>59</v>
      </c>
      <c r="M407" s="178">
        <v>120</v>
      </c>
      <c r="N407" s="178"/>
      <c r="O407" s="178"/>
      <c r="P407" s="178"/>
      <c r="Q407" s="178"/>
      <c r="R407" s="178" t="s">
        <v>126</v>
      </c>
      <c r="S407" s="181"/>
      <c r="T407" s="181"/>
      <c r="U407" s="182"/>
      <c r="V407" s="182" t="s">
        <v>35</v>
      </c>
      <c r="W407" s="183">
        <v>100</v>
      </c>
      <c r="X407" s="182" t="s">
        <v>51</v>
      </c>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3"/>
      <c r="BB407" s="203"/>
      <c r="BC407" s="203"/>
      <c r="BD407" s="203"/>
      <c r="BE407" s="203"/>
      <c r="BF407" s="203"/>
      <c r="BG407" s="203"/>
      <c r="BH407" s="203"/>
      <c r="BI407" s="184">
        <v>1800</v>
      </c>
      <c r="BJ407" s="184">
        <v>1800</v>
      </c>
      <c r="BK407" s="184">
        <v>1800</v>
      </c>
      <c r="BL407" s="184">
        <v>1880</v>
      </c>
      <c r="BM407" s="184">
        <v>1880</v>
      </c>
      <c r="BN407" s="184">
        <v>1770</v>
      </c>
      <c r="BO407" s="203">
        <v>1730</v>
      </c>
      <c r="BP407" s="203">
        <v>1730</v>
      </c>
      <c r="BQ407" s="203">
        <v>1730</v>
      </c>
      <c r="BR407" s="203"/>
      <c r="BS407" s="203"/>
      <c r="BT407" s="203"/>
      <c r="BU407" s="146" cm="1">
        <f t="array" ref="BU407">LOOKUP(2,1/(Y407:BT407&lt;&gt;""),Y407:BH407)</f>
        <v>1730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46199</v>
      </c>
      <c r="BW407" s="211" cm="1">
        <f t="array" ref="BW407">(LOOKUP(2,1/(BH407:BT407&lt;&gt;""),BH407:BT407))/(INDEX(BH407:BT407,MATCH(TRUE,INDEX((BH407:BT407&lt;&gt;0),0),0)))-1</f>
        <v>-3.8888888888888862E-2</v>
      </c>
      <c r="BX407" s="212">
        <f t="shared" ref="BX407" si="156">BU407/1000</f>
        <v>1.73</v>
      </c>
      <c r="BY407" s="212">
        <f t="shared" si="111"/>
        <v>10.207000000000001</v>
      </c>
      <c r="BZ407" s="212">
        <f ca="1">IF(L407="BR",'Impostos e Frete'!$F$6,IF(L407="EU",'Impostos e Frete'!$I$3,IF(L407="CN",'Impostos e Frete'!$I$4,IF(L407="JP",'Impostos e Frete'!$I$5,IF(L407="RU",'Impostos e Frete'!$I$7,"ERRO")))))</f>
        <v>0.14176320000000001</v>
      </c>
      <c r="CA407" s="212">
        <f>VLOOKUP(L407,'Impostos e Frete'!$A$3:$B$7,2,0)*'Preços e Condições'!BY407</f>
        <v>1.32691</v>
      </c>
      <c r="CB407" s="147">
        <f t="shared" ref="CB407" si="157">IF(R407="CFR",$CB$2,IF(R407="FOB",0,IF(R407="EXW",$CB$1,"ERRO")))</f>
        <v>-0.17699999999999999</v>
      </c>
      <c r="CC407" s="147">
        <f>IF(X407="BRL",'Impostos e Frete'!$B$11,'Impostos e Frete'!$B$12)</f>
        <v>9.1999999999999998E-2</v>
      </c>
      <c r="CD407" s="213">
        <f t="shared" ref="CD407" ca="1" si="158">SUM(BY407:CC407)</f>
        <v>11.590673200000001</v>
      </c>
      <c r="CE407" s="214">
        <f t="shared" ref="CE407" ca="1" si="159">IF(C407="","erro",(CD407/1000)*C407)</f>
        <v>0.78816577760000017</v>
      </c>
      <c r="CF407" s="215">
        <f>VLOOKUP(L407,'Impostos e Frete'!$A$3:$C$7,3,0)</f>
        <v>105</v>
      </c>
      <c r="CG407" s="215">
        <f t="shared" ref="CG407" si="160">M407</f>
        <v>120</v>
      </c>
      <c r="CH407" s="215">
        <f t="shared" ref="CH407" si="161">CG407-CF407</f>
        <v>15</v>
      </c>
      <c r="CI407" s="216">
        <f t="shared" ref="CI407" ca="1" si="162">CD407*(1+VALUE($CI$2))^((CH407*-1)/30)-CD407</f>
        <v>-8.5964152176488895E-2</v>
      </c>
      <c r="CJ407" s="217">
        <f t="shared" ref="CJ407" ca="1" si="163">CD407+CI407</f>
        <v>11.504709047823512</v>
      </c>
      <c r="CK407" s="218">
        <f t="shared" ref="CK407" ca="1" si="164">IF(C407="","erro",(CJ407/1000)*C407)</f>
        <v>0.78232021525199891</v>
      </c>
    </row>
    <row r="408" spans="1:89">
      <c r="A408" s="204">
        <v>7000456</v>
      </c>
      <c r="B408" s="186">
        <v>689</v>
      </c>
      <c r="C408" s="197">
        <v>68</v>
      </c>
      <c r="D408" s="178"/>
      <c r="E408" s="197" t="s">
        <v>50</v>
      </c>
      <c r="F408" s="198" t="s">
        <v>2</v>
      </c>
      <c r="G408" s="189" t="s">
        <v>87</v>
      </c>
      <c r="H408" s="178" t="s">
        <v>63</v>
      </c>
      <c r="I408" s="178">
        <v>32166</v>
      </c>
      <c r="J408" s="178"/>
      <c r="K408" s="178"/>
      <c r="L408" s="178" t="s">
        <v>59</v>
      </c>
      <c r="M408" s="178">
        <v>120</v>
      </c>
      <c r="N408" s="183"/>
      <c r="O408" s="178"/>
      <c r="P408" s="178"/>
      <c r="Q408" s="178"/>
      <c r="R408" s="178"/>
      <c r="S408" s="181"/>
      <c r="T408" s="181"/>
      <c r="U408" s="182"/>
      <c r="V408" s="182"/>
      <c r="W408" s="183">
        <v>600</v>
      </c>
      <c r="X408" s="182" t="s">
        <v>51</v>
      </c>
      <c r="Y408" s="184"/>
      <c r="Z408" s="184"/>
      <c r="AA408" s="184"/>
      <c r="AB408" s="184"/>
      <c r="AC408" s="184"/>
      <c r="AD408" s="184"/>
      <c r="AE408" s="184"/>
      <c r="AF408" s="184"/>
      <c r="AG408" s="184"/>
      <c r="AH408" s="184"/>
      <c r="AI408" s="184"/>
      <c r="AJ408" s="184"/>
      <c r="AK408" s="184"/>
      <c r="AL408" s="184"/>
      <c r="AM408" s="184"/>
      <c r="AN408" s="184"/>
      <c r="AO408" s="184"/>
      <c r="AP408" s="184"/>
      <c r="AQ408" s="184"/>
      <c r="AR408" s="184"/>
      <c r="AS408" s="184"/>
      <c r="AT408" s="184"/>
      <c r="AU408" s="184"/>
      <c r="AV408" s="184"/>
      <c r="AW408" s="184"/>
      <c r="AX408" s="184"/>
      <c r="AY408" s="184"/>
      <c r="AZ408" s="184"/>
      <c r="BA408" s="184"/>
      <c r="BB408" s="184"/>
      <c r="BC408" s="184"/>
      <c r="BD408" s="184"/>
      <c r="BE408" s="184"/>
      <c r="BF408" s="184"/>
      <c r="BG408" s="184"/>
      <c r="BH408" s="184"/>
      <c r="BI408" s="184"/>
      <c r="BJ408" s="184"/>
      <c r="BK408" s="184"/>
      <c r="BL408" s="184"/>
      <c r="BM408" s="184"/>
      <c r="BN408" s="184"/>
      <c r="BO408" s="184">
        <v>1670</v>
      </c>
      <c r="BP408" s="184">
        <v>1670</v>
      </c>
      <c r="BQ408" s="184">
        <v>1670</v>
      </c>
      <c r="BR408" s="184"/>
      <c r="BS408" s="184"/>
      <c r="BT408" s="184"/>
      <c r="BU408" s="248" cm="1">
        <f t="array" ref="BU408">LOOKUP(2,1/(Y408:BT408&lt;&gt;""),Y408:BH408)</f>
        <v>1670</v>
      </c>
      <c r="BV408" s="247"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46199</v>
      </c>
      <c r="BW408" s="211" cm="1">
        <f t="array" ref="BW408">(LOOKUP(2,1/(BH408:BT408&lt;&gt;""),BH408:BT408))/(INDEX(BH408:BT408,MATCH(TRUE,INDEX((BH408:BT408&lt;&gt;0),0),0)))-1</f>
        <v>0</v>
      </c>
      <c r="BX408" s="212">
        <f>BU408/1000</f>
        <v>1.67</v>
      </c>
      <c r="BY408" s="249">
        <f>IF(X408="BRL",BX408,IF(X408="EUR",BX408*$CK$2,IF(X408="USD",BX408*$CK$1,IF(X408="CNY",BX408*$CM$1,IF(X408="RUB",BX408*$CM$2,"CRRY#")))))</f>
        <v>9.8529999999999998</v>
      </c>
      <c r="BZ408" s="249">
        <f ca="1">IF(L408="BR",'Impostos e Frete'!$F$6,IF(L408="EU",'Impostos e Frete'!$I$3,IF(L408="CN",'Impostos e Frete'!$I$4,IF(L408="JP",'Impostos e Frete'!$I$5,IF(L408="RU",'Impostos e Frete'!$I$7,"ERRO")))))</f>
        <v>0.14176320000000001</v>
      </c>
      <c r="CA408" s="249">
        <f>VLOOKUP(L408,'Impostos e Frete'!$A$3:$B$7,2,0)*'Preços e Condições'!BY408</f>
        <v>1.2808900000000001</v>
      </c>
      <c r="CB408" s="147" t="str">
        <f>IF(R408="CFR",$CB$2,IF(R408="FOB",0,IF(R408="EXW",$CB$1,"ERRO")))</f>
        <v>ERRO</v>
      </c>
      <c r="CC408" s="147">
        <f>IF(X408="BRL",'Impostos e Frete'!$B$11,'Impostos e Frete'!$B$12)</f>
        <v>9.1999999999999998E-2</v>
      </c>
      <c r="CD408" s="213">
        <f ca="1">SUM(BY408:CC408)</f>
        <v>11.367653199999999</v>
      </c>
      <c r="CE408" s="258">
        <f ca="1">IF(C408="","erro",(CD408/1000)*C408)</f>
        <v>0.77300041759999993</v>
      </c>
      <c r="CF408" s="259">
        <f>VLOOKUP(L408,'Impostos e Frete'!$A$3:$C$7,3,0)</f>
        <v>105</v>
      </c>
      <c r="CG408" s="260">
        <f>M408</f>
        <v>120</v>
      </c>
      <c r="CH408" s="260">
        <f>CG408-CF408</f>
        <v>15</v>
      </c>
      <c r="CI408" s="261">
        <f ca="1">CD408*(1+VALUE($CI$2))^((CH408*-1)/30)-CD408</f>
        <v>-8.4310087318685945E-2</v>
      </c>
      <c r="CJ408" s="262">
        <f ca="1">CD408+CI408</f>
        <v>11.283343112681314</v>
      </c>
      <c r="CK408" s="263">
        <f ca="1">IF(C408="","erro",(CJ408/1000)*C408)</f>
        <v>0.7672673316623293</v>
      </c>
    </row>
    <row r="409" spans="1:89">
      <c r="A409" s="204">
        <v>7000456</v>
      </c>
      <c r="B409" s="186">
        <v>689</v>
      </c>
      <c r="C409" s="197">
        <v>68</v>
      </c>
      <c r="D409" s="178"/>
      <c r="E409" s="197" t="s">
        <v>50</v>
      </c>
      <c r="F409" s="198" t="s">
        <v>2</v>
      </c>
      <c r="G409" s="189" t="s">
        <v>87</v>
      </c>
      <c r="H409" s="178" t="s">
        <v>63</v>
      </c>
      <c r="I409" s="178">
        <v>32166</v>
      </c>
      <c r="J409" s="178"/>
      <c r="K409" s="178"/>
      <c r="L409" s="178" t="s">
        <v>59</v>
      </c>
      <c r="M409" s="178">
        <v>120</v>
      </c>
      <c r="N409" s="183"/>
      <c r="O409" s="178"/>
      <c r="P409" s="178"/>
      <c r="Q409" s="178"/>
      <c r="R409" s="178"/>
      <c r="S409" s="181"/>
      <c r="T409" s="181"/>
      <c r="U409" s="182"/>
      <c r="V409" s="182"/>
      <c r="W409" s="183">
        <v>500</v>
      </c>
      <c r="X409" s="182" t="s">
        <v>51</v>
      </c>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c r="BJ409" s="184"/>
      <c r="BK409" s="184"/>
      <c r="BL409" s="184"/>
      <c r="BM409" s="184"/>
      <c r="BN409" s="184"/>
      <c r="BO409" s="184">
        <v>1680</v>
      </c>
      <c r="BP409" s="184">
        <v>1680</v>
      </c>
      <c r="BQ409" s="184">
        <v>1680</v>
      </c>
      <c r="BR409" s="184"/>
      <c r="BS409" s="184"/>
      <c r="BT409" s="184"/>
      <c r="BU409" s="248" cm="1">
        <f t="array" ref="BU409">LOOKUP(2,1/(Y409:BT409&lt;&gt;""),Y409:BH409)</f>
        <v>1680</v>
      </c>
      <c r="BV409" s="247"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46199</v>
      </c>
      <c r="BW409" s="211" cm="1">
        <f t="array" ref="BW409">(LOOKUP(2,1/(BH409:BT409&lt;&gt;""),BH409:BT409))/(INDEX(BH409:BT409,MATCH(TRUE,INDEX((BH409:BT409&lt;&gt;0),0),0)))-1</f>
        <v>0</v>
      </c>
      <c r="BX409" s="212">
        <f>BU409/1000</f>
        <v>1.68</v>
      </c>
      <c r="BY409" s="249">
        <f>IF(X409="BRL",BX409,IF(X409="EUR",BX409*$CK$2,IF(X409="USD",BX409*$CK$1,IF(X409="CNY",BX409*$CM$1,IF(X409="RUB",BX409*$CM$2,"CRRY#")))))</f>
        <v>9.9120000000000008</v>
      </c>
      <c r="BZ409" s="249">
        <f ca="1">IF(L409="BR",'Impostos e Frete'!$F$6,IF(L409="EU",'Impostos e Frete'!$I$3,IF(L409="CN",'Impostos e Frete'!$I$4,IF(L409="JP",'Impostos e Frete'!$I$5,IF(L409="RU",'Impostos e Frete'!$I$7,"ERRO")))))</f>
        <v>0.14176320000000001</v>
      </c>
      <c r="CA409" s="249">
        <f>VLOOKUP(L409,'Impostos e Frete'!$A$3:$B$7,2,0)*'Preços e Condições'!BY409</f>
        <v>1.2885600000000001</v>
      </c>
      <c r="CB409" s="147" t="str">
        <f>IF(R409="CFR",$CB$2,IF(R409="FOB",0,IF(R409="EXW",$CB$1,"ERRO")))</f>
        <v>ERRO</v>
      </c>
      <c r="CC409" s="147">
        <f>IF(X409="BRL",'Impostos e Frete'!$B$11,'Impostos e Frete'!$B$12)</f>
        <v>9.1999999999999998E-2</v>
      </c>
      <c r="CD409" s="213">
        <f ca="1">SUM(BY409:CC409)</f>
        <v>11.434323200000001</v>
      </c>
      <c r="CE409" s="258">
        <f ca="1">IF(C409="","erro",(CD409/1000)*C409)</f>
        <v>0.77753397760000009</v>
      </c>
      <c r="CF409" s="259">
        <f>VLOOKUP(L409,'Impostos e Frete'!$A$3:$C$7,3,0)</f>
        <v>105</v>
      </c>
      <c r="CG409" s="260">
        <f>M409</f>
        <v>120</v>
      </c>
      <c r="CH409" s="260">
        <f>CG409-CF409</f>
        <v>15</v>
      </c>
      <c r="CI409" s="261">
        <f ca="1">CD409*(1+VALUE($CI$2))^((CH409*-1)/30)-CD409</f>
        <v>-8.4804556442843904E-2</v>
      </c>
      <c r="CJ409" s="262">
        <f ca="1">CD409+CI409</f>
        <v>11.349518643557158</v>
      </c>
      <c r="CK409" s="263">
        <f ca="1">IF(C409="","erro",(CJ409/1000)*C409)</f>
        <v>0.77176726776188675</v>
      </c>
    </row>
    <row r="410" spans="1:89">
      <c r="A410" s="204">
        <v>7000456</v>
      </c>
      <c r="B410" s="186">
        <v>689</v>
      </c>
      <c r="C410" s="197">
        <v>68</v>
      </c>
      <c r="D410" s="178"/>
      <c r="E410" s="197" t="s">
        <v>50</v>
      </c>
      <c r="F410" s="198" t="s">
        <v>2</v>
      </c>
      <c r="G410" s="189" t="s">
        <v>87</v>
      </c>
      <c r="H410" s="178" t="s">
        <v>63</v>
      </c>
      <c r="I410" s="178">
        <v>32166</v>
      </c>
      <c r="J410" s="178"/>
      <c r="K410" s="178"/>
      <c r="L410" s="178" t="s">
        <v>59</v>
      </c>
      <c r="M410" s="178">
        <v>120</v>
      </c>
      <c r="N410" s="183"/>
      <c r="O410" s="178"/>
      <c r="P410" s="178"/>
      <c r="Q410" s="178"/>
      <c r="R410" s="178"/>
      <c r="S410" s="181"/>
      <c r="T410" s="181"/>
      <c r="U410" s="182"/>
      <c r="V410" s="182"/>
      <c r="W410" s="183">
        <v>200</v>
      </c>
      <c r="X410" s="182" t="s">
        <v>51</v>
      </c>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c r="BJ410" s="184"/>
      <c r="BK410" s="184"/>
      <c r="BL410" s="184"/>
      <c r="BM410" s="184"/>
      <c r="BN410" s="184"/>
      <c r="BO410" s="184">
        <v>1690</v>
      </c>
      <c r="BP410" s="184">
        <v>1690</v>
      </c>
      <c r="BQ410" s="184">
        <v>1690</v>
      </c>
      <c r="BR410" s="184"/>
      <c r="BS410" s="184"/>
      <c r="BT410" s="184"/>
      <c r="BU410" s="248" cm="1">
        <f t="array" ref="BU410">LOOKUP(2,1/(Y410:BT410&lt;&gt;""),Y410:BH410)</f>
        <v>1690</v>
      </c>
      <c r="BV410" s="247"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46199</v>
      </c>
      <c r="BW410" s="211" cm="1">
        <f t="array" ref="BW410">(LOOKUP(2,1/(BH410:BT410&lt;&gt;""),BH410:BT410))/(INDEX(BH410:BT410,MATCH(TRUE,INDEX((BH410:BT410&lt;&gt;0),0),0)))-1</f>
        <v>0</v>
      </c>
      <c r="BX410" s="212">
        <f>BU410/1000</f>
        <v>1.69</v>
      </c>
      <c r="BY410" s="249">
        <f>IF(X410="BRL",BX410,IF(X410="EUR",BX410*$CK$2,IF(X410="USD",BX410*$CK$1,IF(X410="CNY",BX410*$CM$1,IF(X410="RUB",BX410*$CM$2,"CRRY#")))))</f>
        <v>9.9710000000000001</v>
      </c>
      <c r="BZ410" s="249">
        <f ca="1">IF(L410="BR",'Impostos e Frete'!$F$6,IF(L410="EU",'Impostos e Frete'!$I$3,IF(L410="CN",'Impostos e Frete'!$I$4,IF(L410="JP",'Impostos e Frete'!$I$5,IF(L410="RU",'Impostos e Frete'!$I$7,"ERRO")))))</f>
        <v>0.14176320000000001</v>
      </c>
      <c r="CA410" s="249">
        <f>VLOOKUP(L410,'Impostos e Frete'!$A$3:$B$7,2,0)*'Preços e Condições'!BY410</f>
        <v>1.29623</v>
      </c>
      <c r="CB410" s="147" t="str">
        <f>IF(R410="CFR",$CB$2,IF(R410="FOB",0,IF(R410="EXW",$CB$1,"ERRO")))</f>
        <v>ERRO</v>
      </c>
      <c r="CC410" s="147">
        <f>IF(X410="BRL",'Impostos e Frete'!$B$11,'Impostos e Frete'!$B$12)</f>
        <v>9.1999999999999998E-2</v>
      </c>
      <c r="CD410" s="213">
        <f ca="1">SUM(BY410:CC410)</f>
        <v>11.5009932</v>
      </c>
      <c r="CE410" s="258">
        <f ca="1">IF(C410="","erro",(CD410/1000)*C410)</f>
        <v>0.78206753760000003</v>
      </c>
      <c r="CF410" s="259">
        <f>VLOOKUP(L410,'Impostos e Frete'!$A$3:$C$7,3,0)</f>
        <v>105</v>
      </c>
      <c r="CG410" s="260">
        <f>M410</f>
        <v>120</v>
      </c>
      <c r="CH410" s="260">
        <f>CG410-CF410</f>
        <v>15</v>
      </c>
      <c r="CI410" s="261">
        <f ca="1">CD410*(1+VALUE($CI$2))^((CH410*-1)/30)-CD410</f>
        <v>-8.5299025567001863E-2</v>
      </c>
      <c r="CJ410" s="262">
        <f ca="1">CD410+CI410</f>
        <v>11.415694174432998</v>
      </c>
      <c r="CK410" s="263">
        <f ca="1">IF(C410="","erro",(CJ410/1000)*C410)</f>
        <v>0.77626720386144388</v>
      </c>
    </row>
    <row r="411" spans="1:89">
      <c r="A411" s="204">
        <v>7000456</v>
      </c>
      <c r="B411" s="186">
        <v>689</v>
      </c>
      <c r="C411" s="197">
        <v>68</v>
      </c>
      <c r="D411" s="178"/>
      <c r="E411" s="197" t="s">
        <v>50</v>
      </c>
      <c r="F411" s="198" t="s">
        <v>2</v>
      </c>
      <c r="G411" s="189" t="s">
        <v>87</v>
      </c>
      <c r="H411" s="178" t="s">
        <v>63</v>
      </c>
      <c r="I411" s="178">
        <v>32166</v>
      </c>
      <c r="J411" s="178"/>
      <c r="K411" s="178"/>
      <c r="L411" s="178" t="s">
        <v>59</v>
      </c>
      <c r="M411" s="178">
        <v>120</v>
      </c>
      <c r="N411" s="183"/>
      <c r="O411" s="178"/>
      <c r="P411" s="178"/>
      <c r="Q411" s="178"/>
      <c r="R411" s="178"/>
      <c r="S411" s="181"/>
      <c r="T411" s="181"/>
      <c r="U411" s="182"/>
      <c r="V411" s="182"/>
      <c r="W411" s="183">
        <v>150</v>
      </c>
      <c r="X411" s="182" t="s">
        <v>51</v>
      </c>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c r="BJ411" s="184"/>
      <c r="BK411" s="184"/>
      <c r="BL411" s="184"/>
      <c r="BM411" s="184"/>
      <c r="BN411" s="184"/>
      <c r="BO411" s="184">
        <v>1710</v>
      </c>
      <c r="BP411" s="184">
        <v>1710</v>
      </c>
      <c r="BQ411" s="184">
        <v>1710</v>
      </c>
      <c r="BR411" s="184"/>
      <c r="BS411" s="184"/>
      <c r="BT411" s="184"/>
      <c r="BU411" s="248" cm="1">
        <f t="array" ref="BU411">LOOKUP(2,1/(Y411:BT411&lt;&gt;""),Y411:BH411)</f>
        <v>1710</v>
      </c>
      <c r="BV411" s="247"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46199</v>
      </c>
      <c r="BW411" s="211" cm="1">
        <f t="array" ref="BW411">(LOOKUP(2,1/(BH411:BT411&lt;&gt;""),BH411:BT411))/(INDEX(BH411:BT411,MATCH(TRUE,INDEX((BH411:BT411&lt;&gt;0),0),0)))-1</f>
        <v>0</v>
      </c>
      <c r="BX411" s="212">
        <f>BU411/1000</f>
        <v>1.71</v>
      </c>
      <c r="BY411" s="249">
        <f>IF(X411="BRL",BX411,IF(X411="EUR",BX411*$CK$2,IF(X411="USD",BX411*$CK$1,IF(X411="CNY",BX411*$CM$1,IF(X411="RUB",BX411*$CM$2,"CRRY#")))))</f>
        <v>10.089</v>
      </c>
      <c r="BZ411" s="249">
        <f ca="1">IF(L411="BR",'Impostos e Frete'!$F$6,IF(L411="EU",'Impostos e Frete'!$I$3,IF(L411="CN",'Impostos e Frete'!$I$4,IF(L411="JP",'Impostos e Frete'!$I$5,IF(L411="RU",'Impostos e Frete'!$I$7,"ERRO")))))</f>
        <v>0.14176320000000001</v>
      </c>
      <c r="CA411" s="249">
        <f>VLOOKUP(L411,'Impostos e Frete'!$A$3:$B$7,2,0)*'Preços e Condições'!BY411</f>
        <v>1.3115700000000001</v>
      </c>
      <c r="CB411" s="147" t="str">
        <f>IF(R411="CFR",$CB$2,IF(R411="FOB",0,IF(R411="EXW",$CB$1,"ERRO")))</f>
        <v>ERRO</v>
      </c>
      <c r="CC411" s="147">
        <f>IF(X411="BRL",'Impostos e Frete'!$B$11,'Impostos e Frete'!$B$12)</f>
        <v>9.1999999999999998E-2</v>
      </c>
      <c r="CD411" s="213">
        <f ca="1">SUM(BY411:CC411)</f>
        <v>11.6343332</v>
      </c>
      <c r="CE411" s="258">
        <f ca="1">IF(C411="","erro",(CD411/1000)*C411)</f>
        <v>0.79113465760000012</v>
      </c>
      <c r="CF411" s="259">
        <f>VLOOKUP(L411,'Impostos e Frete'!$A$3:$C$7,3,0)</f>
        <v>105</v>
      </c>
      <c r="CG411" s="260">
        <f>M411</f>
        <v>120</v>
      </c>
      <c r="CH411" s="260">
        <f>CG411-CF411</f>
        <v>15</v>
      </c>
      <c r="CI411" s="261">
        <f ca="1">CD411*(1+VALUE($CI$2))^((CH411*-1)/30)-CD411</f>
        <v>-8.6287963815317781E-2</v>
      </c>
      <c r="CJ411" s="262">
        <f ca="1">CD411+CI411</f>
        <v>11.548045236184683</v>
      </c>
      <c r="CK411" s="263">
        <f ca="1">IF(C411="","erro",(CJ411/1000)*C411)</f>
        <v>0.78526707606055846</v>
      </c>
    </row>
    <row r="412" spans="1:89">
      <c r="A412" s="204">
        <v>7000456</v>
      </c>
      <c r="B412" s="186">
        <v>689</v>
      </c>
      <c r="C412" s="197">
        <v>68</v>
      </c>
      <c r="D412" s="178"/>
      <c r="E412" s="197" t="s">
        <v>50</v>
      </c>
      <c r="F412" s="198" t="s">
        <v>2</v>
      </c>
      <c r="G412" s="189" t="s">
        <v>87</v>
      </c>
      <c r="H412" s="178" t="s">
        <v>63</v>
      </c>
      <c r="I412" s="178">
        <v>32166</v>
      </c>
      <c r="J412" s="178"/>
      <c r="K412" s="178"/>
      <c r="L412" s="178" t="s">
        <v>59</v>
      </c>
      <c r="M412" s="178">
        <v>120</v>
      </c>
      <c r="N412" s="183"/>
      <c r="O412" s="178"/>
      <c r="P412" s="178"/>
      <c r="Q412" s="178"/>
      <c r="R412" s="178"/>
      <c r="S412" s="181"/>
      <c r="T412" s="181"/>
      <c r="U412" s="182"/>
      <c r="V412" s="182"/>
      <c r="W412" s="183">
        <v>70</v>
      </c>
      <c r="X412" s="182" t="s">
        <v>51</v>
      </c>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c r="BJ412" s="184"/>
      <c r="BK412" s="184"/>
      <c r="BL412" s="184"/>
      <c r="BM412" s="184"/>
      <c r="BN412" s="184"/>
      <c r="BO412" s="184">
        <v>1750</v>
      </c>
      <c r="BP412" s="184">
        <v>1750</v>
      </c>
      <c r="BQ412" s="184">
        <v>1750</v>
      </c>
      <c r="BR412" s="184"/>
      <c r="BS412" s="184"/>
      <c r="BT412" s="184"/>
      <c r="BU412" s="248" cm="1">
        <f t="array" ref="BU412">LOOKUP(2,1/(Y412:BT412&lt;&gt;""),Y412:BH412)</f>
        <v>1750</v>
      </c>
      <c r="BV412" s="247"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46199</v>
      </c>
      <c r="BW412" s="211" cm="1">
        <f t="array" ref="BW412">(LOOKUP(2,1/(BH412:BT412&lt;&gt;""),BH412:BT412))/(INDEX(BH412:BT412,MATCH(TRUE,INDEX((BH412:BT412&lt;&gt;0),0),0)))-1</f>
        <v>0</v>
      </c>
      <c r="BX412" s="212">
        <f>BU412/1000</f>
        <v>1.75</v>
      </c>
      <c r="BY412" s="249">
        <f>IF(X412="BRL",BX412,IF(X412="EUR",BX412*$CK$2,IF(X412="USD",BX412*$CK$1,IF(X412="CNY",BX412*$CM$1,IF(X412="RUB",BX412*$CM$2,"CRRY#")))))</f>
        <v>10.325000000000001</v>
      </c>
      <c r="BZ412" s="249">
        <f ca="1">IF(L412="BR",'Impostos e Frete'!$F$6,IF(L412="EU",'Impostos e Frete'!$I$3,IF(L412="CN",'Impostos e Frete'!$I$4,IF(L412="JP",'Impostos e Frete'!$I$5,IF(L412="RU",'Impostos e Frete'!$I$7,"ERRO")))))</f>
        <v>0.14176320000000001</v>
      </c>
      <c r="CA412" s="249">
        <f>VLOOKUP(L412,'Impostos e Frete'!$A$3:$B$7,2,0)*'Preços e Condições'!BY412</f>
        <v>1.3422500000000002</v>
      </c>
      <c r="CB412" s="147" t="str">
        <f>IF(R412="CFR",$CB$2,IF(R412="FOB",0,IF(R412="EXW",$CB$1,"ERRO")))</f>
        <v>ERRO</v>
      </c>
      <c r="CC412" s="147">
        <f>IF(X412="BRL",'Impostos e Frete'!$B$11,'Impostos e Frete'!$B$12)</f>
        <v>9.1999999999999998E-2</v>
      </c>
      <c r="CD412" s="213">
        <f ca="1">SUM(BY412:CC412)</f>
        <v>11.901013200000001</v>
      </c>
      <c r="CE412" s="258">
        <f ca="1">IF(C412="","erro",(CD412/1000)*C412)</f>
        <v>0.80926889760000009</v>
      </c>
      <c r="CF412" s="259">
        <f>VLOOKUP(L412,'Impostos e Frete'!$A$3:$C$7,3,0)</f>
        <v>105</v>
      </c>
      <c r="CG412" s="260">
        <f>M412</f>
        <v>120</v>
      </c>
      <c r="CH412" s="260">
        <f>CG412-CF412</f>
        <v>15</v>
      </c>
      <c r="CI412" s="261">
        <f ca="1">CD412*(1+VALUE($CI$2))^((CH412*-1)/30)-CD412</f>
        <v>-8.8265840311951393E-2</v>
      </c>
      <c r="CJ412" s="262">
        <f ca="1">CD412+CI412</f>
        <v>11.81274735968805</v>
      </c>
      <c r="CK412" s="263">
        <f ca="1">IF(C412="","erro",(CJ412/1000)*C412)</f>
        <v>0.80326682045878739</v>
      </c>
    </row>
    <row r="413" spans="1:89">
      <c r="A413" s="204">
        <v>7000456</v>
      </c>
      <c r="B413" s="186">
        <v>689</v>
      </c>
      <c r="C413" s="197">
        <v>68</v>
      </c>
      <c r="D413" s="178"/>
      <c r="E413" s="197" t="s">
        <v>50</v>
      </c>
      <c r="F413" s="198" t="s">
        <v>2</v>
      </c>
      <c r="G413" s="189" t="s">
        <v>87</v>
      </c>
      <c r="H413" s="178" t="s">
        <v>63</v>
      </c>
      <c r="I413" s="178">
        <v>32166</v>
      </c>
      <c r="J413" s="178"/>
      <c r="K413" s="178"/>
      <c r="L413" s="178" t="s">
        <v>59</v>
      </c>
      <c r="M413" s="178">
        <v>120</v>
      </c>
      <c r="N413" s="183"/>
      <c r="O413" s="178"/>
      <c r="P413" s="178"/>
      <c r="Q413" s="178"/>
      <c r="R413" s="178"/>
      <c r="S413" s="181"/>
      <c r="T413" s="181"/>
      <c r="U413" s="182"/>
      <c r="V413" s="182"/>
      <c r="W413" s="183">
        <v>50</v>
      </c>
      <c r="X413" s="182" t="s">
        <v>51</v>
      </c>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c r="BJ413" s="184"/>
      <c r="BK413" s="184"/>
      <c r="BL413" s="184"/>
      <c r="BM413" s="184"/>
      <c r="BN413" s="184"/>
      <c r="BO413" s="184">
        <v>1780</v>
      </c>
      <c r="BP413" s="184">
        <v>1780</v>
      </c>
      <c r="BQ413" s="184">
        <v>1780</v>
      </c>
      <c r="BR413" s="184"/>
      <c r="BS413" s="184"/>
      <c r="BT413" s="184"/>
      <c r="BU413" s="248" cm="1">
        <f t="array" ref="BU413">LOOKUP(2,1/(Y413:BT413&lt;&gt;""),Y413:BH413)</f>
        <v>1780</v>
      </c>
      <c r="BV413" s="247"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46199</v>
      </c>
      <c r="BW413" s="211" cm="1">
        <f t="array" ref="BW413">(LOOKUP(2,1/(BH413:BT413&lt;&gt;""),BH413:BT413))/(INDEX(BH413:BT413,MATCH(TRUE,INDEX((BH413:BT413&lt;&gt;0),0),0)))-1</f>
        <v>0</v>
      </c>
      <c r="BX413" s="212">
        <f>BU413/1000</f>
        <v>1.78</v>
      </c>
      <c r="BY413" s="249">
        <f>IF(X413="BRL",BX413,IF(X413="EUR",BX413*$CK$2,IF(X413="USD",BX413*$CK$1,IF(X413="CNY",BX413*$CM$1,IF(X413="RUB",BX413*$CM$2,"CRRY#")))))</f>
        <v>10.502000000000001</v>
      </c>
      <c r="BZ413" s="249">
        <f ca="1">IF(L413="BR",'Impostos e Frete'!$F$6,IF(L413="EU",'Impostos e Frete'!$I$3,IF(L413="CN",'Impostos e Frete'!$I$4,IF(L413="JP",'Impostos e Frete'!$I$5,IF(L413="RU",'Impostos e Frete'!$I$7,"ERRO")))))</f>
        <v>0.14176320000000001</v>
      </c>
      <c r="CA413" s="249">
        <f>VLOOKUP(L413,'Impostos e Frete'!$A$3:$B$7,2,0)*'Preços e Condições'!BY413</f>
        <v>1.3652600000000001</v>
      </c>
      <c r="CB413" s="147" t="str">
        <f>IF(R413="CFR",$CB$2,IF(R413="FOB",0,IF(R413="EXW",$CB$1,"ERRO")))</f>
        <v>ERRO</v>
      </c>
      <c r="CC413" s="147">
        <f>IF(X413="BRL",'Impostos e Frete'!$B$11,'Impostos e Frete'!$B$12)</f>
        <v>9.1999999999999998E-2</v>
      </c>
      <c r="CD413" s="213">
        <f ca="1">SUM(BY413:CC413)</f>
        <v>12.101023200000002</v>
      </c>
      <c r="CE413" s="258">
        <f ca="1">IF(C413="","erro",(CD413/1000)*C413)</f>
        <v>0.82286957760000012</v>
      </c>
      <c r="CF413" s="259">
        <f>VLOOKUP(L413,'Impostos e Frete'!$A$3:$C$7,3,0)</f>
        <v>105</v>
      </c>
      <c r="CG413" s="260">
        <f>M413</f>
        <v>120</v>
      </c>
      <c r="CH413" s="260">
        <f>CG413-CF413</f>
        <v>15</v>
      </c>
      <c r="CI413" s="261">
        <f ca="1">CD413*(1+VALUE($CI$2))^((CH413*-1)/30)-CD413</f>
        <v>-8.9749247684425271E-2</v>
      </c>
      <c r="CJ413" s="262">
        <f ca="1">CD413+CI413</f>
        <v>12.011273952315577</v>
      </c>
      <c r="CK413" s="263">
        <f ca="1">IF(C413="","erro",(CJ413/1000)*C413)</f>
        <v>0.8167666287574592</v>
      </c>
    </row>
    <row r="414" spans="1:89">
      <c r="A414" s="204">
        <v>7000456</v>
      </c>
      <c r="B414" s="186">
        <v>689</v>
      </c>
      <c r="C414" s="197">
        <v>68</v>
      </c>
      <c r="D414" s="178"/>
      <c r="E414" s="197" t="s">
        <v>50</v>
      </c>
      <c r="F414" s="198" t="s">
        <v>2</v>
      </c>
      <c r="G414" s="189" t="s">
        <v>87</v>
      </c>
      <c r="H414" s="178" t="s">
        <v>63</v>
      </c>
      <c r="I414" s="178">
        <v>32166</v>
      </c>
      <c r="J414" s="178"/>
      <c r="K414" s="178"/>
      <c r="L414" s="178" t="s">
        <v>59</v>
      </c>
      <c r="M414" s="178">
        <v>120</v>
      </c>
      <c r="N414" s="183"/>
      <c r="O414" s="178"/>
      <c r="P414" s="178"/>
      <c r="Q414" s="178"/>
      <c r="R414" s="178"/>
      <c r="S414" s="181"/>
      <c r="T414" s="181"/>
      <c r="U414" s="182"/>
      <c r="V414" s="182"/>
      <c r="W414" s="183">
        <v>30</v>
      </c>
      <c r="X414" s="182" t="s">
        <v>51</v>
      </c>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c r="BJ414" s="184"/>
      <c r="BK414" s="184"/>
      <c r="BL414" s="184"/>
      <c r="BM414" s="184"/>
      <c r="BN414" s="184"/>
      <c r="BO414" s="184">
        <v>1830</v>
      </c>
      <c r="BP414" s="184">
        <v>1830</v>
      </c>
      <c r="BQ414" s="184">
        <v>1830</v>
      </c>
      <c r="BR414" s="184"/>
      <c r="BS414" s="184"/>
      <c r="BT414" s="184"/>
      <c r="BU414" s="248" cm="1">
        <f t="array" ref="BU414">LOOKUP(2,1/(Y414:BT414&lt;&gt;""),Y414:BH414)</f>
        <v>1830</v>
      </c>
      <c r="BV414" s="247"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46199</v>
      </c>
      <c r="BW414" s="211" cm="1">
        <f t="array" ref="BW414">(LOOKUP(2,1/(BH414:BT414&lt;&gt;""),BH414:BT414))/(INDEX(BH414:BT414,MATCH(TRUE,INDEX((BH414:BT414&lt;&gt;0),0),0)))-1</f>
        <v>0</v>
      </c>
      <c r="BX414" s="212">
        <f>BU414/1000</f>
        <v>1.83</v>
      </c>
      <c r="BY414" s="249">
        <f>IF(X414="BRL",BX414,IF(X414="EUR",BX414*$CK$2,IF(X414="USD",BX414*$CK$1,IF(X414="CNY",BX414*$CM$1,IF(X414="RUB",BX414*$CM$2,"CRRY#")))))</f>
        <v>10.797000000000001</v>
      </c>
      <c r="BZ414" s="249">
        <f ca="1">IF(L414="BR",'Impostos e Frete'!$F$6,IF(L414="EU",'Impostos e Frete'!$I$3,IF(L414="CN",'Impostos e Frete'!$I$4,IF(L414="JP",'Impostos e Frete'!$I$5,IF(L414="RU",'Impostos e Frete'!$I$7,"ERRO")))))</f>
        <v>0.14176320000000001</v>
      </c>
      <c r="CA414" s="249">
        <f>VLOOKUP(L414,'Impostos e Frete'!$A$3:$B$7,2,0)*'Preços e Condições'!BY414</f>
        <v>1.40361</v>
      </c>
      <c r="CB414" s="147" t="str">
        <f>IF(R414="CFR",$CB$2,IF(R414="FOB",0,IF(R414="EXW",$CB$1,"ERRO")))</f>
        <v>ERRO</v>
      </c>
      <c r="CC414" s="147">
        <f>IF(X414="BRL",'Impostos e Frete'!$B$11,'Impostos e Frete'!$B$12)</f>
        <v>9.1999999999999998E-2</v>
      </c>
      <c r="CD414" s="213">
        <f ca="1">SUM(BY414:CC414)</f>
        <v>12.434373200000001</v>
      </c>
      <c r="CE414" s="258">
        <f ca="1">IF(C414="","erro",(CD414/1000)*C414)</f>
        <v>0.84553737760000014</v>
      </c>
      <c r="CF414" s="259">
        <f>VLOOKUP(L414,'Impostos e Frete'!$A$3:$C$7,3,0)</f>
        <v>105</v>
      </c>
      <c r="CG414" s="260">
        <f>M414</f>
        <v>120</v>
      </c>
      <c r="CH414" s="260">
        <f>CG414-CF414</f>
        <v>15</v>
      </c>
      <c r="CI414" s="261">
        <f ca="1">CD414*(1+VALUE($CI$2))^((CH414*-1)/30)-CD414</f>
        <v>-9.2221593305215066E-2</v>
      </c>
      <c r="CJ414" s="262">
        <f ca="1">CD414+CI414</f>
        <v>12.342151606694786</v>
      </c>
      <c r="CK414" s="263">
        <f ca="1">IF(C414="","erro",(CJ414/1000)*C414)</f>
        <v>0.83926630925524537</v>
      </c>
    </row>
    <row r="415" spans="1:89">
      <c r="A415" s="204">
        <v>2090448</v>
      </c>
      <c r="B415" s="186">
        <v>689</v>
      </c>
      <c r="C415" s="197">
        <v>68</v>
      </c>
      <c r="D415" s="197"/>
      <c r="E415" s="197" t="s">
        <v>50</v>
      </c>
      <c r="F415" s="198" t="s">
        <v>3</v>
      </c>
      <c r="G415" s="180" t="s">
        <v>101</v>
      </c>
      <c r="H415" s="178" t="s">
        <v>63</v>
      </c>
      <c r="I415" s="178" t="s">
        <v>102</v>
      </c>
      <c r="J415" s="178"/>
      <c r="K415" s="178"/>
      <c r="L415" s="178" t="s">
        <v>60</v>
      </c>
      <c r="M415" s="178">
        <v>90</v>
      </c>
      <c r="N415" s="178">
        <v>3300</v>
      </c>
      <c r="O415" s="178"/>
      <c r="P415" s="178">
        <v>90</v>
      </c>
      <c r="Q415" s="178"/>
      <c r="R415" s="178" t="s">
        <v>19</v>
      </c>
      <c r="S415" s="181"/>
      <c r="T415" s="181"/>
      <c r="U415" s="182"/>
      <c r="V415" s="182" t="s">
        <v>35</v>
      </c>
      <c r="W415" s="183">
        <v>100</v>
      </c>
      <c r="X415" s="182" t="s">
        <v>267</v>
      </c>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3"/>
      <c r="BB415" s="203"/>
      <c r="BC415" s="203"/>
      <c r="BD415" s="203"/>
      <c r="BE415" s="203"/>
      <c r="BF415" s="203"/>
      <c r="BG415" s="203"/>
      <c r="BH415" s="203"/>
      <c r="BI415" s="203">
        <v>12000</v>
      </c>
      <c r="BJ415" s="203">
        <v>12000</v>
      </c>
      <c r="BK415" s="203">
        <v>12000</v>
      </c>
      <c r="BL415" s="203">
        <v>12000</v>
      </c>
      <c r="BM415" s="203">
        <v>12000</v>
      </c>
      <c r="BN415" s="203">
        <v>12000</v>
      </c>
      <c r="BO415" s="203"/>
      <c r="BP415" s="203"/>
      <c r="BQ415" s="203"/>
      <c r="BR415" s="203"/>
      <c r="BS415" s="203"/>
      <c r="BT415" s="203"/>
      <c r="BU415" s="146" cm="1">
        <f t="array" ref="BU415">LOOKUP(2,1/(Y415:BT415&lt;&gt;""),Y415:BH415)</f>
        <v>12000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46174</v>
      </c>
      <c r="BW415" s="211" cm="1">
        <f t="array" ref="BW415">(LOOKUP(2,1/(BH415:BT415&lt;&gt;""),BH415:BT415))/(INDEX(BH415:BT415,MATCH(TRUE,INDEX((BH415:BT415&lt;&gt;0),0),0)))-1</f>
        <v>0</v>
      </c>
      <c r="BX415" s="212">
        <f t="shared" si="115"/>
        <v>12</v>
      </c>
      <c r="BY415" s="212">
        <f t="shared" si="111"/>
        <v>9</v>
      </c>
      <c r="BZ415" s="212">
        <f ca="1">IF(L415="BR",'Impostos e Frete'!$F$6,IF(L415="EU",'Impostos e Frete'!$I$3,IF(L415="CN",'Impostos e Frete'!$I$4,IF(L415="JP",'Impostos e Frete'!$I$5,IF(L415="RU",'Impostos e Frete'!$I$7,"ERRO")))))</f>
        <v>1.11958</v>
      </c>
      <c r="CA415" s="212">
        <f>VLOOKUP(L415,'Impostos e Frete'!$A$3:$B$7,2,0)*'Preços e Condições'!BY415</f>
        <v>1.2600000000000002</v>
      </c>
      <c r="CB415" s="147">
        <f t="shared" si="116"/>
        <v>0</v>
      </c>
      <c r="CC415" s="147">
        <f>IF(X415="BRL",'Impostos e Frete'!$B$11,'Impostos e Frete'!$B$12)</f>
        <v>9.1999999999999998E-2</v>
      </c>
      <c r="CD415" s="213">
        <f t="shared" ca="1" si="117"/>
        <v>11.471579999999999</v>
      </c>
      <c r="CE415" s="214">
        <f t="shared" ca="1" si="118"/>
        <v>0.78006743999999995</v>
      </c>
      <c r="CF415" s="215">
        <f>VLOOKUP(L415,'Impostos e Frete'!$A$3:$C$7,3,0)</f>
        <v>120</v>
      </c>
      <c r="CG415" s="215">
        <f t="shared" si="119"/>
        <v>90</v>
      </c>
      <c r="CH415" s="215">
        <f t="shared" si="120"/>
        <v>-30</v>
      </c>
      <c r="CI415" s="216">
        <f t="shared" ca="1" si="121"/>
        <v>0.17207369999999855</v>
      </c>
      <c r="CJ415" s="217">
        <f t="shared" ca="1" si="122"/>
        <v>11.643653699999998</v>
      </c>
      <c r="CK415" s="218">
        <f t="shared" ca="1" si="123"/>
        <v>0.79176845159999987</v>
      </c>
    </row>
    <row r="416" spans="1:89">
      <c r="A416" s="204">
        <v>7004756</v>
      </c>
      <c r="B416" s="186">
        <v>689</v>
      </c>
      <c r="C416" s="197">
        <v>70</v>
      </c>
      <c r="D416" s="197"/>
      <c r="E416" s="197" t="s">
        <v>50</v>
      </c>
      <c r="F416" s="198" t="s">
        <v>67</v>
      </c>
      <c r="G416" s="185" t="s">
        <v>377</v>
      </c>
      <c r="H416" s="178" t="s">
        <v>63</v>
      </c>
      <c r="I416" s="197"/>
      <c r="J416" s="197"/>
      <c r="K416" s="197"/>
      <c r="L416" s="178" t="s">
        <v>59</v>
      </c>
      <c r="M416" s="178">
        <v>90</v>
      </c>
      <c r="N416" s="178"/>
      <c r="O416" s="178"/>
      <c r="P416" s="178"/>
      <c r="Q416" s="178"/>
      <c r="R416" s="178" t="s">
        <v>19</v>
      </c>
      <c r="S416" s="181"/>
      <c r="T416" s="181"/>
      <c r="U416" s="182"/>
      <c r="V416" s="182" t="s">
        <v>35</v>
      </c>
      <c r="W416" s="183">
        <v>100</v>
      </c>
      <c r="X416" s="182" t="s">
        <v>51</v>
      </c>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3"/>
      <c r="BB416" s="203"/>
      <c r="BC416" s="203"/>
      <c r="BD416" s="203"/>
      <c r="BE416" s="203"/>
      <c r="BF416" s="203"/>
      <c r="BG416" s="203"/>
      <c r="BH416" s="203"/>
      <c r="BI416" s="203">
        <v>1790</v>
      </c>
      <c r="BJ416" s="203">
        <v>1790</v>
      </c>
      <c r="BK416" s="203">
        <v>1790</v>
      </c>
      <c r="BL416" s="184">
        <v>1920</v>
      </c>
      <c r="BM416" s="184">
        <v>1920</v>
      </c>
      <c r="BN416" s="184">
        <v>1920</v>
      </c>
      <c r="BO416" s="203"/>
      <c r="BP416" s="203"/>
      <c r="BQ416" s="203"/>
      <c r="BR416" s="203"/>
      <c r="BS416" s="203"/>
      <c r="BT416" s="203"/>
      <c r="BU416" s="146" cm="1">
        <f t="array" ref="BU416">LOOKUP(2,1/(Y416:BT416&lt;&gt;""),Y416:BH416)</f>
        <v>1920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46174</v>
      </c>
      <c r="BW416" s="211" cm="1">
        <f t="array" ref="BW416">(LOOKUP(2,1/(BH416:BT416&lt;&gt;""),BH416:BT416))/(INDEX(BH416:BT416,MATCH(TRUE,INDEX((BH416:BT416&lt;&gt;0),0),0)))-1</f>
        <v>7.2625698324022325E-2</v>
      </c>
      <c r="BX416" s="212">
        <f t="shared" si="115"/>
        <v>1.92</v>
      </c>
      <c r="BY416" s="212">
        <f t="shared" si="111"/>
        <v>11.327999999999999</v>
      </c>
      <c r="BZ416" s="212">
        <f ca="1">IF(L416="BR",'Impostos e Frete'!$F$6,IF(L416="EU",'Impostos e Frete'!$I$3,IF(L416="CN",'Impostos e Frete'!$I$4,IF(L416="JP",'Impostos e Frete'!$I$5,IF(L416="RU",'Impostos e Frete'!$I$7,"ERRO")))))</f>
        <v>0.14176320000000001</v>
      </c>
      <c r="CA416" s="212">
        <f>VLOOKUP(L416,'Impostos e Frete'!$A$3:$B$7,2,0)*'Preços e Condições'!BY416</f>
        <v>1.4726399999999999</v>
      </c>
      <c r="CB416" s="147">
        <f t="shared" si="116"/>
        <v>0</v>
      </c>
      <c r="CC416" s="147">
        <f>IF(X416="BRL",'Impostos e Frete'!$B$11,'Impostos e Frete'!$B$12)</f>
        <v>9.1999999999999998E-2</v>
      </c>
      <c r="CD416" s="213">
        <f t="shared" ca="1" si="117"/>
        <v>13.0344032</v>
      </c>
      <c r="CE416" s="214">
        <f t="shared" ca="1" si="118"/>
        <v>0.91240822399999999</v>
      </c>
      <c r="CF416" s="215">
        <f>VLOOKUP(L416,'Impostos e Frete'!$A$3:$C$7,3,0)</f>
        <v>105</v>
      </c>
      <c r="CG416" s="215">
        <f t="shared" si="119"/>
        <v>90</v>
      </c>
      <c r="CH416" s="215">
        <f t="shared" si="120"/>
        <v>-15</v>
      </c>
      <c r="CI416" s="216">
        <f t="shared" ca="1" si="121"/>
        <v>9.7394155346023581E-2</v>
      </c>
      <c r="CJ416" s="217">
        <f t="shared" ca="1" si="122"/>
        <v>13.131797355346023</v>
      </c>
      <c r="CK416" s="218">
        <f t="shared" ca="1" si="123"/>
        <v>0.91922581487422172</v>
      </c>
    </row>
    <row r="417" spans="1:89">
      <c r="A417" s="204">
        <v>2010899</v>
      </c>
      <c r="B417" s="186">
        <v>483</v>
      </c>
      <c r="C417" s="197">
        <v>68</v>
      </c>
      <c r="D417" s="178">
        <v>1870</v>
      </c>
      <c r="E417" s="197" t="s">
        <v>50</v>
      </c>
      <c r="F417" s="198" t="s">
        <v>3</v>
      </c>
      <c r="G417" s="180" t="s">
        <v>97</v>
      </c>
      <c r="H417" s="178" t="s">
        <v>63</v>
      </c>
      <c r="I417" s="178" t="s">
        <v>98</v>
      </c>
      <c r="J417" s="178"/>
      <c r="K417" s="178"/>
      <c r="L417" s="178" t="s">
        <v>60</v>
      </c>
      <c r="M417" s="178">
        <v>90</v>
      </c>
      <c r="N417" s="178">
        <v>3300</v>
      </c>
      <c r="O417" s="178"/>
      <c r="P417" s="178">
        <v>90</v>
      </c>
      <c r="Q417" s="178"/>
      <c r="R417" s="178" t="s">
        <v>19</v>
      </c>
      <c r="S417" s="181"/>
      <c r="T417" s="181"/>
      <c r="U417" s="182"/>
      <c r="V417" s="182" t="s">
        <v>35</v>
      </c>
      <c r="W417" s="183">
        <v>100</v>
      </c>
      <c r="X417" s="182" t="s">
        <v>267</v>
      </c>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3"/>
      <c r="BB417" s="203"/>
      <c r="BC417" s="203"/>
      <c r="BD417" s="203"/>
      <c r="BE417" s="203"/>
      <c r="BF417" s="203"/>
      <c r="BG417" s="203"/>
      <c r="BH417" s="203"/>
      <c r="BI417" s="203">
        <v>12000</v>
      </c>
      <c r="BJ417" s="203">
        <v>12000</v>
      </c>
      <c r="BK417" s="203">
        <v>12000</v>
      </c>
      <c r="BL417" s="203">
        <v>12000</v>
      </c>
      <c r="BM417" s="203">
        <v>12000</v>
      </c>
      <c r="BN417" s="203">
        <v>12000</v>
      </c>
      <c r="BO417" s="203"/>
      <c r="BP417" s="203"/>
      <c r="BQ417" s="203"/>
      <c r="BR417" s="203"/>
      <c r="BS417" s="203"/>
      <c r="BT417" s="203"/>
      <c r="BU417" s="146" cm="1">
        <f t="array" ref="BU417">LOOKUP(2,1/(Y417:BT417&lt;&gt;""),Y417:BH417)</f>
        <v>12000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46174</v>
      </c>
      <c r="BW417" s="211" cm="1">
        <f t="array" ref="BW417">(LOOKUP(2,1/(BH417:BT417&lt;&gt;""),BH417:BT417))/(INDEX(BH417:BT417,MATCH(TRUE,INDEX((BH417:BT417&lt;&gt;0),0),0)))-1</f>
        <v>0</v>
      </c>
      <c r="BX417" s="212">
        <f t="shared" si="115"/>
        <v>12</v>
      </c>
      <c r="BY417" s="212">
        <f t="shared" si="111"/>
        <v>9</v>
      </c>
      <c r="BZ417" s="212">
        <f ca="1">IF(L417="BR",'Impostos e Frete'!$F$6,IF(L417="EU",'Impostos e Frete'!$I$3,IF(L417="CN",'Impostos e Frete'!$I$4,IF(L417="JP",'Impostos e Frete'!$I$5,IF(L417="RU",'Impostos e Frete'!$I$7,"ERRO")))))</f>
        <v>1.11958</v>
      </c>
      <c r="CA417" s="212">
        <f>VLOOKUP(L417,'Impostos e Frete'!$A$3:$B$7,2,0)*'Preços e Condições'!BY417</f>
        <v>1.2600000000000002</v>
      </c>
      <c r="CB417" s="147">
        <f t="shared" si="116"/>
        <v>0</v>
      </c>
      <c r="CC417" s="147">
        <f>IF(X417="BRL",'Impostos e Frete'!$B$11,'Impostos e Frete'!$B$12)</f>
        <v>9.1999999999999998E-2</v>
      </c>
      <c r="CD417" s="213">
        <f t="shared" ca="1" si="117"/>
        <v>11.471579999999999</v>
      </c>
      <c r="CE417" s="214">
        <f t="shared" ca="1" si="118"/>
        <v>0.78006743999999995</v>
      </c>
      <c r="CF417" s="215">
        <f>VLOOKUP(L417,'Impostos e Frete'!$A$3:$C$7,3,0)</f>
        <v>120</v>
      </c>
      <c r="CG417" s="215">
        <f t="shared" si="119"/>
        <v>90</v>
      </c>
      <c r="CH417" s="215">
        <f t="shared" si="120"/>
        <v>-30</v>
      </c>
      <c r="CI417" s="216">
        <f t="shared" ca="1" si="121"/>
        <v>0.17207369999999855</v>
      </c>
      <c r="CJ417" s="217">
        <f t="shared" ca="1" si="122"/>
        <v>11.643653699999998</v>
      </c>
      <c r="CK417" s="218">
        <f t="shared" ca="1" si="123"/>
        <v>0.79176845159999987</v>
      </c>
    </row>
    <row r="418" spans="1:89">
      <c r="A418" s="204">
        <v>7004755</v>
      </c>
      <c r="B418" s="186">
        <v>483</v>
      </c>
      <c r="C418" s="197">
        <v>70</v>
      </c>
      <c r="D418" s="178">
        <v>1870</v>
      </c>
      <c r="E418" s="197" t="s">
        <v>50</v>
      </c>
      <c r="F418" s="198" t="s">
        <v>67</v>
      </c>
      <c r="G418" s="185" t="s">
        <v>376</v>
      </c>
      <c r="H418" s="178" t="s">
        <v>63</v>
      </c>
      <c r="I418" s="178"/>
      <c r="J418" s="178"/>
      <c r="K418" s="178"/>
      <c r="L418" s="178" t="s">
        <v>59</v>
      </c>
      <c r="M418" s="178">
        <v>90</v>
      </c>
      <c r="N418" s="178"/>
      <c r="O418" s="178"/>
      <c r="P418" s="178"/>
      <c r="Q418" s="178"/>
      <c r="R418" s="178" t="s">
        <v>19</v>
      </c>
      <c r="S418" s="181"/>
      <c r="T418" s="181"/>
      <c r="U418" s="182"/>
      <c r="V418" s="182" t="s">
        <v>35</v>
      </c>
      <c r="W418" s="183">
        <v>300</v>
      </c>
      <c r="X418" s="182" t="s">
        <v>51</v>
      </c>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3"/>
      <c r="BB418" s="203"/>
      <c r="BC418" s="203"/>
      <c r="BD418" s="203"/>
      <c r="BE418" s="203"/>
      <c r="BF418" s="203"/>
      <c r="BG418" s="203"/>
      <c r="BH418" s="203"/>
      <c r="BI418" s="184">
        <v>1750</v>
      </c>
      <c r="BJ418" s="184">
        <v>1750</v>
      </c>
      <c r="BK418" s="184">
        <v>1750</v>
      </c>
      <c r="BL418" s="203">
        <v>1850</v>
      </c>
      <c r="BM418" s="203">
        <v>1850</v>
      </c>
      <c r="BN418" s="203">
        <v>1850</v>
      </c>
      <c r="BO418" s="203"/>
      <c r="BP418" s="203"/>
      <c r="BQ418" s="203"/>
      <c r="BR418" s="203"/>
      <c r="BS418" s="203"/>
      <c r="BT418" s="203"/>
      <c r="BU418" s="146" cm="1">
        <f t="array" ref="BU418">LOOKUP(2,1/(Y418:BT418&lt;&gt;""),Y418:BH418)</f>
        <v>1850</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46174</v>
      </c>
      <c r="BW418" s="211" cm="1">
        <f t="array" ref="BW418">(LOOKUP(2,1/(BH418:BT418&lt;&gt;""),BH418:BT418))/(INDEX(BH418:BT418,MATCH(TRUE,INDEX((BH418:BT418&lt;&gt;0),0),0)))-1</f>
        <v>5.7142857142857162E-2</v>
      </c>
      <c r="BX418" s="212">
        <f>BU418/1000</f>
        <v>1.85</v>
      </c>
      <c r="BY418" s="212">
        <f>IF(X418="BRL",BX418,IF(X418="EUR",BX418*$CK$2,IF(X418="USD",BX418*$CK$1,IF(X418="CNY",BX418*$CM$1,IF(X418="RUB",BX418*$CM$2,"CRRY#")))))</f>
        <v>10.915000000000001</v>
      </c>
      <c r="BZ418" s="212">
        <f ca="1">IF(L418="BR",'Impostos e Frete'!$F$6,IF(L418="EU",'Impostos e Frete'!$I$3,IF(L418="CN",'Impostos e Frete'!$I$4,IF(L418="JP",'Impostos e Frete'!$I$5,IF(L418="RU",'Impostos e Frete'!$I$7,"ERRO")))))</f>
        <v>0.14176320000000001</v>
      </c>
      <c r="CA418" s="212">
        <f>VLOOKUP(L418,'Impostos e Frete'!$A$3:$B$7,2,0)*'Preços e Condições'!BY418</f>
        <v>1.4189500000000002</v>
      </c>
      <c r="CB418" s="147">
        <f>IF(R418="CFR",$CB$2,IF(R418="FOB",0,IF(R418="EXW",$CB$1,"ERRO")))</f>
        <v>0</v>
      </c>
      <c r="CC418" s="147">
        <f>IF(X418="BRL",'Impostos e Frete'!$B$11,'Impostos e Frete'!$B$12)</f>
        <v>9.1999999999999998E-2</v>
      </c>
      <c r="CD418" s="213">
        <f ca="1">SUM(BY418:CC418)</f>
        <v>12.567713200000002</v>
      </c>
      <c r="CE418" s="214">
        <f ca="1">IF(C418="","erro",(CD418/1000)*C418)</f>
        <v>0.87973992400000012</v>
      </c>
      <c r="CF418" s="215">
        <f>VLOOKUP(L418,'Impostos e Frete'!$A$3:$C$7,3,0)</f>
        <v>105</v>
      </c>
      <c r="CG418" s="215">
        <f>M418</f>
        <v>90</v>
      </c>
      <c r="CH418" s="215">
        <f>CG418-CF418</f>
        <v>-15</v>
      </c>
      <c r="CI418" s="216">
        <f ca="1">CD418*(1+VALUE($CI$2))^((CH418*-1)/30)-CD418</f>
        <v>9.3907008473166798E-2</v>
      </c>
      <c r="CJ418" s="217">
        <f ca="1">CD418+CI418</f>
        <v>12.661620208473169</v>
      </c>
      <c r="CK418" s="218">
        <f ca="1">IF(C418="","erro",(CJ418/1000)*C418)</f>
        <v>0.88631341459312185</v>
      </c>
    </row>
    <row r="419" spans="1:89">
      <c r="A419" s="204">
        <v>7004755</v>
      </c>
      <c r="B419" s="186">
        <v>483</v>
      </c>
      <c r="C419" s="197">
        <v>70</v>
      </c>
      <c r="D419" s="178">
        <v>1870</v>
      </c>
      <c r="E419" s="197" t="s">
        <v>50</v>
      </c>
      <c r="F419" s="198" t="s">
        <v>67</v>
      </c>
      <c r="G419" s="185" t="s">
        <v>376</v>
      </c>
      <c r="H419" s="178" t="s">
        <v>63</v>
      </c>
      <c r="I419" s="178"/>
      <c r="J419" s="178"/>
      <c r="K419" s="178"/>
      <c r="L419" s="178" t="s">
        <v>59</v>
      </c>
      <c r="M419" s="178">
        <v>90</v>
      </c>
      <c r="N419" s="178"/>
      <c r="O419" s="178"/>
      <c r="P419" s="178"/>
      <c r="Q419" s="178"/>
      <c r="R419" s="178" t="s">
        <v>19</v>
      </c>
      <c r="S419" s="181"/>
      <c r="T419" s="181"/>
      <c r="U419" s="182"/>
      <c r="V419" s="182" t="s">
        <v>35</v>
      </c>
      <c r="W419" s="183">
        <v>150</v>
      </c>
      <c r="X419" s="182" t="s">
        <v>51</v>
      </c>
      <c r="Y419" s="184"/>
      <c r="Z419" s="184"/>
      <c r="AA419" s="184"/>
      <c r="AB419" s="184"/>
      <c r="AC419" s="184"/>
      <c r="AD419" s="184"/>
      <c r="AE419" s="184"/>
      <c r="AF419" s="184"/>
      <c r="AG419" s="184"/>
      <c r="AH419" s="184"/>
      <c r="AI419" s="184"/>
      <c r="AJ419" s="184"/>
      <c r="AK419" s="184"/>
      <c r="AL419" s="184"/>
      <c r="AM419" s="184"/>
      <c r="AN419" s="184"/>
      <c r="AO419" s="184"/>
      <c r="AP419" s="184"/>
      <c r="AQ419" s="184"/>
      <c r="AR419" s="184"/>
      <c r="AS419" s="184"/>
      <c r="AT419" s="184"/>
      <c r="AU419" s="184"/>
      <c r="AV419" s="184"/>
      <c r="AW419" s="184"/>
      <c r="AX419" s="184"/>
      <c r="AY419" s="184"/>
      <c r="AZ419" s="184"/>
      <c r="BA419" s="184"/>
      <c r="BB419" s="184"/>
      <c r="BC419" s="184"/>
      <c r="BD419" s="184"/>
      <c r="BE419" s="184"/>
      <c r="BF419" s="184"/>
      <c r="BG419" s="184"/>
      <c r="BH419" s="184"/>
      <c r="BI419" s="184"/>
      <c r="BJ419" s="184"/>
      <c r="BK419" s="184"/>
      <c r="BL419" s="184">
        <v>2040</v>
      </c>
      <c r="BM419" s="184">
        <v>2040</v>
      </c>
      <c r="BN419" s="184">
        <v>2040</v>
      </c>
      <c r="BO419" s="184"/>
      <c r="BP419" s="184"/>
      <c r="BQ419" s="184"/>
      <c r="BR419" s="184"/>
      <c r="BS419" s="184"/>
      <c r="BT419" s="184"/>
      <c r="BU419" s="146" cm="1">
        <f t="array" ref="BU419">LOOKUP(2,1/(Y419:BT419&lt;&gt;""),Y419:BH419)</f>
        <v>2040</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11" cm="1">
        <f t="array" ref="BW419">(LOOKUP(2,1/(BH419:BT419&lt;&gt;""),BH419:BT419))/(INDEX(BH419:BT419,MATCH(TRUE,INDEX((BH419:BT419&lt;&gt;0),0),0)))-1</f>
        <v>0</v>
      </c>
      <c r="BX419" s="212">
        <f>BU419/1000</f>
        <v>2.04</v>
      </c>
      <c r="BY419" s="212">
        <f>IF(X419="BRL",BX419,IF(X419="EUR",BX419*$CK$2,IF(X419="USD",BX419*$CK$1,IF(X419="CNY",BX419*$CM$1,IF(X419="RUB",BX419*$CM$2,"CRRY#")))))</f>
        <v>12.036000000000001</v>
      </c>
      <c r="BZ419" s="212">
        <f ca="1">IF(L419="BR",'Impostos e Frete'!$F$6,IF(L419="EU",'Impostos e Frete'!$I$3,IF(L419="CN",'Impostos e Frete'!$I$4,IF(L419="JP",'Impostos e Frete'!$I$5,IF(L419="RU",'Impostos e Frete'!$I$7,"ERRO")))))</f>
        <v>0.14176320000000001</v>
      </c>
      <c r="CA419" s="212">
        <f>VLOOKUP(L419,'Impostos e Frete'!$A$3:$B$7,2,0)*'Preços e Condições'!BY419</f>
        <v>1.5646800000000003</v>
      </c>
      <c r="CB419" s="147">
        <f>IF(R419="CFR",$CB$2,IF(R419="FOB",0,IF(R419="EXW",$CB$1,"ERRO")))</f>
        <v>0</v>
      </c>
      <c r="CC419" s="147">
        <f>IF(X419="BRL",'Impostos e Frete'!$B$11,'Impostos e Frete'!$B$12)</f>
        <v>9.1999999999999998E-2</v>
      </c>
      <c r="CD419" s="213">
        <f ca="1">SUM(BY419:CC419)</f>
        <v>13.834443200000003</v>
      </c>
      <c r="CE419" s="214">
        <f ca="1">IF(C419="","erro",(CD419/1000)*C419)</f>
        <v>0.96841102400000023</v>
      </c>
      <c r="CF419" s="215">
        <f>VLOOKUP(L419,'Impostos e Frete'!$A$3:$C$7,3,0)</f>
        <v>105</v>
      </c>
      <c r="CG419" s="215">
        <f>M419</f>
        <v>90</v>
      </c>
      <c r="CH419" s="215">
        <f>CG419-CF419</f>
        <v>-15</v>
      </c>
      <c r="CI419" s="216">
        <f ca="1">CD419*(1+VALUE($CI$2))^((CH419*-1)/30)-CD419</f>
        <v>0.10337212141377705</v>
      </c>
      <c r="CJ419" s="217">
        <f ca="1">CD419+CI419</f>
        <v>13.93781532141378</v>
      </c>
      <c r="CK419" s="218">
        <f ca="1">IF(C419="","erro",(CJ419/1000)*C419)</f>
        <v>0.97564707249896465</v>
      </c>
    </row>
    <row r="420" spans="1:89">
      <c r="A420" s="204">
        <v>7004755</v>
      </c>
      <c r="B420" s="186">
        <v>483</v>
      </c>
      <c r="C420" s="197">
        <v>70</v>
      </c>
      <c r="D420" s="178">
        <v>1870</v>
      </c>
      <c r="E420" s="197" t="s">
        <v>50</v>
      </c>
      <c r="F420" s="198" t="s">
        <v>67</v>
      </c>
      <c r="G420" s="185" t="s">
        <v>376</v>
      </c>
      <c r="H420" s="178" t="s">
        <v>63</v>
      </c>
      <c r="I420" s="178"/>
      <c r="J420" s="178"/>
      <c r="K420" s="178"/>
      <c r="L420" s="178" t="s">
        <v>59</v>
      </c>
      <c r="M420" s="178">
        <v>90</v>
      </c>
      <c r="N420" s="178"/>
      <c r="O420" s="178"/>
      <c r="P420" s="178"/>
      <c r="Q420" s="178"/>
      <c r="R420" s="178" t="s">
        <v>19</v>
      </c>
      <c r="S420" s="181"/>
      <c r="T420" s="181"/>
      <c r="U420" s="182"/>
      <c r="V420" s="182" t="s">
        <v>35</v>
      </c>
      <c r="W420" s="183">
        <v>100</v>
      </c>
      <c r="X420" s="182" t="s">
        <v>51</v>
      </c>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c r="BJ420" s="184"/>
      <c r="BK420" s="184"/>
      <c r="BL420" s="184">
        <v>2090</v>
      </c>
      <c r="BM420" s="184">
        <v>2090</v>
      </c>
      <c r="BN420" s="184">
        <v>2090</v>
      </c>
      <c r="BO420" s="184"/>
      <c r="BP420" s="184"/>
      <c r="BQ420" s="184"/>
      <c r="BR420" s="184"/>
      <c r="BS420" s="184"/>
      <c r="BT420" s="184"/>
      <c r="BU420" s="146" cm="1">
        <f t="array" ref="BU420">LOOKUP(2,1/(Y420:BT420&lt;&gt;""),Y420:BH420)</f>
        <v>2090</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46174</v>
      </c>
      <c r="BW420" s="211" cm="1">
        <f t="array" ref="BW420">(LOOKUP(2,1/(BH420:BT420&lt;&gt;""),BH420:BT420))/(INDEX(BH420:BT420,MATCH(TRUE,INDEX((BH420:BT420&lt;&gt;0),0),0)))-1</f>
        <v>0</v>
      </c>
      <c r="BX420" s="212">
        <f>BU420/1000</f>
        <v>2.09</v>
      </c>
      <c r="BY420" s="212">
        <f>IF(X420="BRL",BX420,IF(X420="EUR",BX420*$CK$2,IF(X420="USD",BX420*$CK$1,IF(X420="CNY",BX420*$CM$1,IF(X420="RUB",BX420*$CM$2,"CRRY#")))))</f>
        <v>12.331</v>
      </c>
      <c r="BZ420" s="212">
        <f ca="1">IF(L420="BR",'Impostos e Frete'!$F$6,IF(L420="EU",'Impostos e Frete'!$I$3,IF(L420="CN",'Impostos e Frete'!$I$4,IF(L420="JP",'Impostos e Frete'!$I$5,IF(L420="RU",'Impostos e Frete'!$I$7,"ERRO")))))</f>
        <v>0.14176320000000001</v>
      </c>
      <c r="CA420" s="212">
        <f>VLOOKUP(L420,'Impostos e Frete'!$A$3:$B$7,2,0)*'Preços e Condições'!BY420</f>
        <v>1.60303</v>
      </c>
      <c r="CB420" s="147">
        <f>IF(R420="CFR",$CB$2,IF(R420="FOB",0,IF(R420="EXW",$CB$1,"ERRO")))</f>
        <v>0</v>
      </c>
      <c r="CC420" s="147">
        <f>IF(X420="BRL",'Impostos e Frete'!$B$11,'Impostos e Frete'!$B$12)</f>
        <v>9.1999999999999998E-2</v>
      </c>
      <c r="CD420" s="213">
        <f ca="1">SUM(BY420:CC420)</f>
        <v>14.1677932</v>
      </c>
      <c r="CE420" s="214">
        <f ca="1">IF(C420="","erro",(CD420/1000)*C420)</f>
        <v>0.99174552400000004</v>
      </c>
      <c r="CF420" s="215">
        <f>VLOOKUP(L420,'Impostos e Frete'!$A$3:$C$7,3,0)</f>
        <v>105</v>
      </c>
      <c r="CG420" s="215">
        <f>M420</f>
        <v>90</v>
      </c>
      <c r="CH420" s="215">
        <f>CG420-CF420</f>
        <v>-15</v>
      </c>
      <c r="CI420" s="216">
        <f ca="1">CD420*(1+VALUE($CI$2))^((CH420*-1)/30)-CD420</f>
        <v>0.10586294060867552</v>
      </c>
      <c r="CJ420" s="217">
        <f ca="1">CD420+CI420</f>
        <v>14.273656140608676</v>
      </c>
      <c r="CK420" s="218">
        <f ca="1">IF(C420="","erro",(CJ420/1000)*C420)</f>
        <v>0.99915592984260726</v>
      </c>
    </row>
    <row r="421" spans="1:89">
      <c r="A421" s="204">
        <v>7004755</v>
      </c>
      <c r="B421" s="186">
        <v>483</v>
      </c>
      <c r="C421" s="197">
        <v>70</v>
      </c>
      <c r="D421" s="178">
        <v>1870</v>
      </c>
      <c r="E421" s="197" t="s">
        <v>50</v>
      </c>
      <c r="F421" s="198" t="s">
        <v>67</v>
      </c>
      <c r="G421" s="185" t="s">
        <v>376</v>
      </c>
      <c r="H421" s="178" t="s">
        <v>63</v>
      </c>
      <c r="I421" s="178"/>
      <c r="J421" s="178"/>
      <c r="K421" s="178"/>
      <c r="L421" s="178" t="s">
        <v>59</v>
      </c>
      <c r="M421" s="178">
        <v>90</v>
      </c>
      <c r="N421" s="178"/>
      <c r="O421" s="178"/>
      <c r="P421" s="178"/>
      <c r="Q421" s="178"/>
      <c r="R421" s="178" t="s">
        <v>19</v>
      </c>
      <c r="S421" s="181"/>
      <c r="T421" s="181"/>
      <c r="U421" s="182"/>
      <c r="V421" s="182" t="s">
        <v>35</v>
      </c>
      <c r="W421" s="183">
        <v>50</v>
      </c>
      <c r="X421" s="182" t="s">
        <v>51</v>
      </c>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c r="BJ421" s="184"/>
      <c r="BK421" s="184"/>
      <c r="BL421" s="184">
        <v>2220</v>
      </c>
      <c r="BM421" s="184">
        <v>2220</v>
      </c>
      <c r="BN421" s="184">
        <v>2220</v>
      </c>
      <c r="BO421" s="184"/>
      <c r="BP421" s="184"/>
      <c r="BQ421" s="184"/>
      <c r="BR421" s="184"/>
      <c r="BS421" s="184"/>
      <c r="BT421" s="184"/>
      <c r="BU421" s="146" cm="1">
        <f t="array" ref="BU421">LOOKUP(2,1/(Y421:BT421&lt;&gt;""),Y421:BH421)</f>
        <v>2220</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11" cm="1">
        <f t="array" ref="BW421">(LOOKUP(2,1/(BH421:BT421&lt;&gt;""),BH421:BT421))/(INDEX(BH421:BT421,MATCH(TRUE,INDEX((BH421:BT421&lt;&gt;0),0),0)))-1</f>
        <v>0</v>
      </c>
      <c r="BX421" s="212">
        <f>BU421/1000</f>
        <v>2.2200000000000002</v>
      </c>
      <c r="BY421" s="212">
        <f>IF(X421="BRL",BX421,IF(X421="EUR",BX421*$CK$2,IF(X421="USD",BX421*$CK$1,IF(X421="CNY",BX421*$CM$1,IF(X421="RUB",BX421*$CM$2,"CRRY#")))))</f>
        <v>13.098000000000003</v>
      </c>
      <c r="BZ421" s="212">
        <f ca="1">IF(L421="BR",'Impostos e Frete'!$F$6,IF(L421="EU",'Impostos e Frete'!$I$3,IF(L421="CN",'Impostos e Frete'!$I$4,IF(L421="JP",'Impostos e Frete'!$I$5,IF(L421="RU",'Impostos e Frete'!$I$7,"ERRO")))))</f>
        <v>0.14176320000000001</v>
      </c>
      <c r="CA421" s="212">
        <f>VLOOKUP(L421,'Impostos e Frete'!$A$3:$B$7,2,0)*'Preços e Condições'!BY421</f>
        <v>1.7027400000000004</v>
      </c>
      <c r="CB421" s="147">
        <f>IF(R421="CFR",$CB$2,IF(R421="FOB",0,IF(R421="EXW",$CB$1,"ERRO")))</f>
        <v>0</v>
      </c>
      <c r="CC421" s="147">
        <f>IF(X421="BRL",'Impostos e Frete'!$B$11,'Impostos e Frete'!$B$12)</f>
        <v>9.1999999999999998E-2</v>
      </c>
      <c r="CD421" s="213">
        <f ca="1">SUM(BY421:CC421)</f>
        <v>15.034503200000003</v>
      </c>
      <c r="CE421" s="214">
        <f ca="1">IF(C421="","erro",(CD421/1000)*C421)</f>
        <v>1.0524152240000002</v>
      </c>
      <c r="CF421" s="215">
        <f>VLOOKUP(L421,'Impostos e Frete'!$A$3:$C$7,3,0)</f>
        <v>105</v>
      </c>
      <c r="CG421" s="215">
        <f>M421</f>
        <v>90</v>
      </c>
      <c r="CH421" s="215">
        <f>CG421-CF421</f>
        <v>-15</v>
      </c>
      <c r="CI421" s="216">
        <f ca="1">CD421*(1+VALUE($CI$2))^((CH421*-1)/30)-CD421</f>
        <v>0.11233907051540903</v>
      </c>
      <c r="CJ421" s="217">
        <f ca="1">CD421+CI421</f>
        <v>15.146842270515412</v>
      </c>
      <c r="CK421" s="218">
        <f ca="1">IF(C421="","erro",(CJ421/1000)*C421)</f>
        <v>1.0602789589360788</v>
      </c>
    </row>
    <row r="422" spans="1:89">
      <c r="A422" s="204">
        <v>7004755</v>
      </c>
      <c r="B422" s="186">
        <v>483</v>
      </c>
      <c r="C422" s="197">
        <v>70</v>
      </c>
      <c r="D422" s="178">
        <v>1870</v>
      </c>
      <c r="E422" s="197" t="s">
        <v>50</v>
      </c>
      <c r="F422" s="198" t="s">
        <v>67</v>
      </c>
      <c r="G422" s="185" t="s">
        <v>376</v>
      </c>
      <c r="H422" s="178" t="s">
        <v>63</v>
      </c>
      <c r="I422" s="178"/>
      <c r="J422" s="178"/>
      <c r="K422" s="178"/>
      <c r="L422" s="178" t="s">
        <v>59</v>
      </c>
      <c r="M422" s="178">
        <v>90</v>
      </c>
      <c r="N422" s="178"/>
      <c r="O422" s="178"/>
      <c r="P422" s="178"/>
      <c r="Q422" s="178"/>
      <c r="R422" s="178" t="s">
        <v>19</v>
      </c>
      <c r="S422" s="181"/>
      <c r="T422" s="181"/>
      <c r="U422" s="182"/>
      <c r="V422" s="182" t="s">
        <v>35</v>
      </c>
      <c r="W422" s="183">
        <v>25</v>
      </c>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v>2590</v>
      </c>
      <c r="BM422" s="184">
        <v>2590</v>
      </c>
      <c r="BN422" s="184">
        <v>2590</v>
      </c>
      <c r="BO422" s="184"/>
      <c r="BP422" s="184"/>
      <c r="BQ422" s="184"/>
      <c r="BR422" s="184"/>
      <c r="BS422" s="184"/>
      <c r="BT422" s="184"/>
      <c r="BU422" s="146" cm="1">
        <f t="array" ref="BU422">LOOKUP(2,1/(Y422:BT422&lt;&gt;""),Y422:BH422)</f>
        <v>2590</v>
      </c>
      <c r="BV422" s="145"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46174</v>
      </c>
      <c r="BW422" s="211" cm="1">
        <f t="array" ref="BW422">(LOOKUP(2,1/(BH422:BT422&lt;&gt;""),BH422:BT422))/(INDEX(BH422:BT422,MATCH(TRUE,INDEX((BH422:BT422&lt;&gt;0),0),0)))-1</f>
        <v>0</v>
      </c>
      <c r="BX422" s="212">
        <f>BU422/1000</f>
        <v>2.59</v>
      </c>
      <c r="BY422" s="212">
        <f>IF(X422="BRL",BX422,IF(X422="EUR",BX422*$CK$2,IF(X422="USD",BX422*$CK$1,IF(X422="CNY",BX422*$CM$1,IF(X422="RUB",BX422*$CM$2,"CRRY#")))))</f>
        <v>15.281000000000001</v>
      </c>
      <c r="BZ422" s="212">
        <f ca="1">IF(L422="BR",'Impostos e Frete'!$F$6,IF(L422="EU",'Impostos e Frete'!$I$3,IF(L422="CN",'Impostos e Frete'!$I$4,IF(L422="JP",'Impostos e Frete'!$I$5,IF(L422="RU",'Impostos e Frete'!$I$7,"ERRO")))))</f>
        <v>0.14176320000000001</v>
      </c>
      <c r="CA422" s="212">
        <f>VLOOKUP(L422,'Impostos e Frete'!$A$3:$B$7,2,0)*'Preços e Condições'!BY422</f>
        <v>1.9865300000000001</v>
      </c>
      <c r="CB422" s="147">
        <f>IF(R422="CFR",$CB$2,IF(R422="FOB",0,IF(R422="EXW",$CB$1,"ERRO")))</f>
        <v>0</v>
      </c>
      <c r="CC422" s="147">
        <f>IF(X422="BRL",'Impostos e Frete'!$B$11,'Impostos e Frete'!$B$12)</f>
        <v>9.1999999999999998E-2</v>
      </c>
      <c r="CD422" s="213">
        <f ca="1">SUM(BY422:CC422)</f>
        <v>17.501293199999999</v>
      </c>
      <c r="CE422" s="214">
        <f ca="1">IF(C422="","erro",(CD422/1000)*C422)</f>
        <v>1.2250905240000001</v>
      </c>
      <c r="CF422" s="215">
        <f>VLOOKUP(L422,'Impostos e Frete'!$A$3:$C$7,3,0)</f>
        <v>105</v>
      </c>
      <c r="CG422" s="215">
        <f>M422</f>
        <v>90</v>
      </c>
      <c r="CH422" s="215">
        <f>CG422-CF422</f>
        <v>-15</v>
      </c>
      <c r="CI422" s="216">
        <f ca="1">CD422*(1+VALUE($CI$2))^((CH422*-1)/30)-CD422</f>
        <v>0.13077113255765482</v>
      </c>
      <c r="CJ422" s="217">
        <f ca="1">CD422+CI422</f>
        <v>17.632064332557654</v>
      </c>
      <c r="CK422" s="218">
        <f ca="1">IF(C422="","erro",(CJ422/1000)*C422)</f>
        <v>1.2342445032790359</v>
      </c>
    </row>
    <row r="423" spans="1:89">
      <c r="A423" s="204">
        <v>2032265</v>
      </c>
      <c r="B423" s="186">
        <v>8269</v>
      </c>
      <c r="C423" s="197">
        <v>68</v>
      </c>
      <c r="D423" s="197"/>
      <c r="E423" s="197" t="s">
        <v>50</v>
      </c>
      <c r="F423" s="179" t="s">
        <v>2</v>
      </c>
      <c r="G423" s="189" t="s">
        <v>85</v>
      </c>
      <c r="H423" s="178" t="s">
        <v>42</v>
      </c>
      <c r="I423" s="178">
        <v>32102</v>
      </c>
      <c r="J423" s="178"/>
      <c r="K423" s="178"/>
      <c r="L423" s="178" t="s">
        <v>59</v>
      </c>
      <c r="M423" s="178">
        <v>120</v>
      </c>
      <c r="N423" s="178"/>
      <c r="O423" s="178"/>
      <c r="P423" s="178"/>
      <c r="Q423" s="178"/>
      <c r="R423" s="178" t="s">
        <v>126</v>
      </c>
      <c r="S423" s="181"/>
      <c r="T423" s="181"/>
      <c r="U423" s="182"/>
      <c r="V423" s="182" t="s">
        <v>35</v>
      </c>
      <c r="W423" s="183">
        <v>100</v>
      </c>
      <c r="X423" s="182" t="s">
        <v>51</v>
      </c>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3"/>
      <c r="BB423" s="203"/>
      <c r="BC423" s="203"/>
      <c r="BD423" s="203"/>
      <c r="BE423" s="203"/>
      <c r="BF423" s="203"/>
      <c r="BG423" s="203"/>
      <c r="BH423" s="203"/>
      <c r="BI423" s="184">
        <v>2020</v>
      </c>
      <c r="BJ423" s="184">
        <v>2020</v>
      </c>
      <c r="BK423" s="184">
        <v>2020</v>
      </c>
      <c r="BL423" s="184">
        <v>2100</v>
      </c>
      <c r="BM423" s="184">
        <v>2100</v>
      </c>
      <c r="BN423" s="184">
        <v>2100</v>
      </c>
      <c r="BO423" s="203">
        <v>2180</v>
      </c>
      <c r="BP423" s="203">
        <v>2180</v>
      </c>
      <c r="BQ423" s="203">
        <v>2180</v>
      </c>
      <c r="BR423" s="203"/>
      <c r="BS423" s="203"/>
      <c r="BT423" s="203"/>
      <c r="BU423" s="146" cm="1">
        <f t="array" ref="BU423">LOOKUP(2,1/(Y423:BT423&lt;&gt;""),Y423:BH423)</f>
        <v>2180</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46199</v>
      </c>
      <c r="BW423" s="211" cm="1">
        <f t="array" ref="BW423">(LOOKUP(2,1/(BH423:BT423&lt;&gt;""),BH423:BT423))/(INDEX(BH423:BT423,MATCH(TRUE,INDEX((BH423:BT423&lt;&gt;0),0),0)))-1</f>
        <v>7.9207920792079278E-2</v>
      </c>
      <c r="BX423" s="212">
        <f t="shared" si="115"/>
        <v>2.1800000000000002</v>
      </c>
      <c r="BY423" s="212">
        <f t="shared" si="111"/>
        <v>12.862000000000002</v>
      </c>
      <c r="BZ423" s="212">
        <f ca="1">IF(L423="BR",'Impostos e Frete'!$F$6,IF(L423="EU",'Impostos e Frete'!$I$3,IF(L423="CN",'Impostos e Frete'!$I$4,IF(L423="JP",'Impostos e Frete'!$I$5,IF(L423="RU",'Impostos e Frete'!$I$7,"ERRO")))))</f>
        <v>0.14176320000000001</v>
      </c>
      <c r="CA423" s="212">
        <f>VLOOKUP(L423,'Impostos e Frete'!$A$3:$B$7,2,0)*'Preços e Condições'!BY423</f>
        <v>1.6720600000000003</v>
      </c>
      <c r="CB423" s="147">
        <f t="shared" si="116"/>
        <v>-0.17699999999999999</v>
      </c>
      <c r="CC423" s="147">
        <f>IF(X423="BRL",'Impostos e Frete'!$B$11,'Impostos e Frete'!$B$12)</f>
        <v>9.1999999999999998E-2</v>
      </c>
      <c r="CD423" s="213">
        <f t="shared" ca="1" si="117"/>
        <v>14.590823200000003</v>
      </c>
      <c r="CE423" s="214">
        <f t="shared" ca="1" si="118"/>
        <v>0.99217597760000009</v>
      </c>
      <c r="CF423" s="215">
        <f>VLOOKUP(L423,'Impostos e Frete'!$A$3:$C$7,3,0)</f>
        <v>105</v>
      </c>
      <c r="CG423" s="215">
        <f t="shared" si="119"/>
        <v>120</v>
      </c>
      <c r="CH423" s="215">
        <f t="shared" si="120"/>
        <v>15</v>
      </c>
      <c r="CI423" s="216">
        <f t="shared" ca="1" si="121"/>
        <v>-0.10821526276360238</v>
      </c>
      <c r="CJ423" s="217">
        <f t="shared" ca="1" si="122"/>
        <v>14.4826079372364</v>
      </c>
      <c r="CK423" s="218">
        <f t="shared" ca="1" si="123"/>
        <v>0.9848173397320753</v>
      </c>
    </row>
    <row r="424" spans="1:89">
      <c r="A424" s="204">
        <v>2032265</v>
      </c>
      <c r="B424" s="186">
        <v>8269</v>
      </c>
      <c r="C424" s="197">
        <v>68</v>
      </c>
      <c r="D424" s="197"/>
      <c r="E424" s="197" t="s">
        <v>50</v>
      </c>
      <c r="F424" s="179" t="s">
        <v>2</v>
      </c>
      <c r="G424" s="189" t="s">
        <v>85</v>
      </c>
      <c r="H424" s="178" t="s">
        <v>42</v>
      </c>
      <c r="I424" s="178">
        <v>32102</v>
      </c>
      <c r="J424" s="178"/>
      <c r="K424" s="178"/>
      <c r="L424" s="178" t="s">
        <v>59</v>
      </c>
      <c r="M424" s="178">
        <v>120</v>
      </c>
      <c r="N424" s="178"/>
      <c r="O424" s="178"/>
      <c r="P424" s="178"/>
      <c r="Q424" s="178"/>
      <c r="R424" s="178" t="s">
        <v>126</v>
      </c>
      <c r="S424" s="181"/>
      <c r="T424" s="181"/>
      <c r="U424" s="182"/>
      <c r="V424" s="182" t="s">
        <v>35</v>
      </c>
      <c r="W424" s="183">
        <v>70</v>
      </c>
      <c r="X424" s="182" t="s">
        <v>51</v>
      </c>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3"/>
      <c r="BB424" s="203"/>
      <c r="BC424" s="203"/>
      <c r="BD424" s="203"/>
      <c r="BE424" s="203"/>
      <c r="BF424" s="203"/>
      <c r="BG424" s="203"/>
      <c r="BH424" s="203"/>
      <c r="BI424" s="184">
        <v>2040</v>
      </c>
      <c r="BJ424" s="184">
        <v>2040</v>
      </c>
      <c r="BK424" s="184">
        <v>2040</v>
      </c>
      <c r="BL424" s="184">
        <v>2120</v>
      </c>
      <c r="BM424" s="184">
        <v>2120</v>
      </c>
      <c r="BN424" s="184">
        <v>2120</v>
      </c>
      <c r="BO424" s="203">
        <v>2200</v>
      </c>
      <c r="BP424" s="203">
        <v>2200</v>
      </c>
      <c r="BQ424" s="203">
        <v>2200</v>
      </c>
      <c r="BR424" s="203"/>
      <c r="BS424" s="203"/>
      <c r="BT424" s="203"/>
      <c r="BU424" s="146" cm="1">
        <f t="array" ref="BU424">LOOKUP(2,1/(Y424:BT424&lt;&gt;""),Y424:BH424)</f>
        <v>2200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46199</v>
      </c>
      <c r="BW424" s="211" cm="1">
        <f t="array" ref="BW424">(LOOKUP(2,1/(BH424:BT424&lt;&gt;""),BH424:BT424))/(INDEX(BH424:BT424,MATCH(TRUE,INDEX((BH424:BT424&lt;&gt;0),0),0)))-1</f>
        <v>7.8431372549019551E-2</v>
      </c>
      <c r="BX424" s="212">
        <f t="shared" ref="BX424:BX426" si="165">BU424/1000</f>
        <v>2.2000000000000002</v>
      </c>
      <c r="BY424" s="212">
        <f t="shared" si="111"/>
        <v>12.980000000000002</v>
      </c>
      <c r="BZ424" s="212">
        <f ca="1">IF(L424="BR",'Impostos e Frete'!$F$6,IF(L424="EU",'Impostos e Frete'!$I$3,IF(L424="CN",'Impostos e Frete'!$I$4,IF(L424="JP",'Impostos e Frete'!$I$5,IF(L424="RU",'Impostos e Frete'!$I$7,"ERRO")))))</f>
        <v>0.14176320000000001</v>
      </c>
      <c r="CA424" s="212">
        <f>VLOOKUP(L424,'Impostos e Frete'!$A$3:$B$7,2,0)*'Preços e Condições'!BY424</f>
        <v>1.6874000000000002</v>
      </c>
      <c r="CB424" s="147">
        <f t="shared" ref="CB424:CB426" si="166">IF(R424="CFR",$CB$2,IF(R424="FOB",0,IF(R424="EXW",$CB$1,"ERRO")))</f>
        <v>-0.17699999999999999</v>
      </c>
      <c r="CC424" s="147">
        <f>IF(X424="BRL",'Impostos e Frete'!$B$11,'Impostos e Frete'!$B$12)</f>
        <v>9.1999999999999998E-2</v>
      </c>
      <c r="CD424" s="213">
        <f t="shared" ref="CD424:CD426" ca="1" si="167">SUM(BY424:CC424)</f>
        <v>14.724163200000003</v>
      </c>
      <c r="CE424" s="214">
        <f t="shared" ref="CE424:CE426" ca="1" si="168">IF(C424="","erro",(CD424/1000)*C424)</f>
        <v>1.0012430976000002</v>
      </c>
      <c r="CF424" s="215">
        <f>VLOOKUP(L424,'Impostos e Frete'!$A$3:$C$7,3,0)</f>
        <v>105</v>
      </c>
      <c r="CG424" s="215">
        <f t="shared" ref="CG424:CG426" si="169">M424</f>
        <v>120</v>
      </c>
      <c r="CH424" s="215">
        <f t="shared" ref="CH424:CH426" si="170">CG424-CF424</f>
        <v>15</v>
      </c>
      <c r="CI424" s="216">
        <f t="shared" ref="CI424:CI426" ca="1" si="171">CD424*(1+VALUE($CI$2))^((CH424*-1)/30)-CD424</f>
        <v>-0.1092042010119183</v>
      </c>
      <c r="CJ424" s="217">
        <f t="shared" ref="CJ424:CJ426" ca="1" si="172">CD424+CI424</f>
        <v>14.614958998988085</v>
      </c>
      <c r="CK424" s="218">
        <f t="shared" ref="CK424:CK426" ca="1" si="173">IF(C424="","erro",(CJ424/1000)*C424)</f>
        <v>0.99381721193118966</v>
      </c>
    </row>
    <row r="425" spans="1:89">
      <c r="A425" s="204">
        <v>2032265</v>
      </c>
      <c r="B425" s="186">
        <v>8269</v>
      </c>
      <c r="C425" s="197">
        <v>68</v>
      </c>
      <c r="D425" s="197"/>
      <c r="E425" s="197" t="s">
        <v>50</v>
      </c>
      <c r="F425" s="179" t="s">
        <v>2</v>
      </c>
      <c r="G425" s="189" t="s">
        <v>85</v>
      </c>
      <c r="H425" s="178" t="s">
        <v>42</v>
      </c>
      <c r="I425" s="178">
        <v>32102</v>
      </c>
      <c r="J425" s="178"/>
      <c r="K425" s="178"/>
      <c r="L425" s="178" t="s">
        <v>59</v>
      </c>
      <c r="M425" s="178">
        <v>120</v>
      </c>
      <c r="N425" s="178"/>
      <c r="O425" s="178"/>
      <c r="P425" s="178"/>
      <c r="Q425" s="178"/>
      <c r="R425" s="178" t="s">
        <v>126</v>
      </c>
      <c r="S425" s="181"/>
      <c r="T425" s="181"/>
      <c r="U425" s="182"/>
      <c r="V425" s="182" t="s">
        <v>35</v>
      </c>
      <c r="W425" s="183">
        <v>50</v>
      </c>
      <c r="X425" s="182" t="s">
        <v>51</v>
      </c>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3"/>
      <c r="BB425" s="203"/>
      <c r="BC425" s="203"/>
      <c r="BD425" s="203"/>
      <c r="BE425" s="203"/>
      <c r="BF425" s="203"/>
      <c r="BG425" s="203"/>
      <c r="BH425" s="203"/>
      <c r="BI425" s="184">
        <v>2070</v>
      </c>
      <c r="BJ425" s="184">
        <v>2070</v>
      </c>
      <c r="BK425" s="184">
        <v>2070</v>
      </c>
      <c r="BL425" s="184">
        <v>2150</v>
      </c>
      <c r="BM425" s="184">
        <v>2150</v>
      </c>
      <c r="BN425" s="184">
        <v>2150</v>
      </c>
      <c r="BO425" s="203">
        <v>2230</v>
      </c>
      <c r="BP425" s="203">
        <v>2230</v>
      </c>
      <c r="BQ425" s="203">
        <v>2230</v>
      </c>
      <c r="BR425" s="203"/>
      <c r="BS425" s="203"/>
      <c r="BT425" s="203"/>
      <c r="BU425" s="146" cm="1">
        <f t="array" ref="BU425">LOOKUP(2,1/(Y425:BT425&lt;&gt;""),Y425:BH425)</f>
        <v>2230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46199</v>
      </c>
      <c r="BW425" s="211" cm="1">
        <f t="array" ref="BW425">(LOOKUP(2,1/(BH425:BT425&lt;&gt;""),BH425:BT425))/(INDEX(BH425:BT425,MATCH(TRUE,INDEX((BH425:BT425&lt;&gt;0),0),0)))-1</f>
        <v>7.7294685990338063E-2</v>
      </c>
      <c r="BX425" s="212">
        <f t="shared" si="165"/>
        <v>2.23</v>
      </c>
      <c r="BY425" s="212">
        <f t="shared" si="111"/>
        <v>13.157</v>
      </c>
      <c r="BZ425" s="212">
        <f ca="1">IF(L425="BR",'Impostos e Frete'!$F$6,IF(L425="EU",'Impostos e Frete'!$I$3,IF(L425="CN",'Impostos e Frete'!$I$4,IF(L425="JP",'Impostos e Frete'!$I$5,IF(L425="RU",'Impostos e Frete'!$I$7,"ERRO")))))</f>
        <v>0.14176320000000001</v>
      </c>
      <c r="CA425" s="212">
        <f>VLOOKUP(L425,'Impostos e Frete'!$A$3:$B$7,2,0)*'Preços e Condições'!BY425</f>
        <v>1.71041</v>
      </c>
      <c r="CB425" s="147">
        <f t="shared" si="166"/>
        <v>-0.17699999999999999</v>
      </c>
      <c r="CC425" s="147">
        <f>IF(X425="BRL",'Impostos e Frete'!$B$11,'Impostos e Frete'!$B$12)</f>
        <v>9.1999999999999998E-2</v>
      </c>
      <c r="CD425" s="213">
        <f t="shared" ca="1" si="167"/>
        <v>14.9241732</v>
      </c>
      <c r="CE425" s="214">
        <f t="shared" ca="1" si="168"/>
        <v>1.0148437775999999</v>
      </c>
      <c r="CF425" s="215">
        <f>VLOOKUP(L425,'Impostos e Frete'!$A$3:$C$7,3,0)</f>
        <v>105</v>
      </c>
      <c r="CG425" s="215">
        <f t="shared" si="169"/>
        <v>120</v>
      </c>
      <c r="CH425" s="215">
        <f t="shared" si="170"/>
        <v>15</v>
      </c>
      <c r="CI425" s="216">
        <f t="shared" ca="1" si="171"/>
        <v>-0.11068760838439395</v>
      </c>
      <c r="CJ425" s="217">
        <f t="shared" ca="1" si="172"/>
        <v>14.813485591615606</v>
      </c>
      <c r="CK425" s="218">
        <f t="shared" ca="1" si="173"/>
        <v>1.0073170202298614</v>
      </c>
    </row>
    <row r="426" spans="1:89">
      <c r="A426" s="204">
        <v>2032265</v>
      </c>
      <c r="B426" s="186">
        <v>8269</v>
      </c>
      <c r="C426" s="197">
        <v>68</v>
      </c>
      <c r="D426" s="197"/>
      <c r="E426" s="197" t="s">
        <v>50</v>
      </c>
      <c r="F426" s="179" t="s">
        <v>2</v>
      </c>
      <c r="G426" s="189" t="s">
        <v>85</v>
      </c>
      <c r="H426" s="178" t="s">
        <v>42</v>
      </c>
      <c r="I426" s="178">
        <v>32102</v>
      </c>
      <c r="J426" s="178"/>
      <c r="K426" s="178"/>
      <c r="L426" s="178" t="s">
        <v>59</v>
      </c>
      <c r="M426" s="178">
        <v>120</v>
      </c>
      <c r="N426" s="178"/>
      <c r="O426" s="178"/>
      <c r="P426" s="178"/>
      <c r="Q426" s="178"/>
      <c r="R426" s="178" t="s">
        <v>126</v>
      </c>
      <c r="S426" s="181"/>
      <c r="T426" s="181"/>
      <c r="U426" s="182"/>
      <c r="V426" s="182" t="s">
        <v>35</v>
      </c>
      <c r="W426" s="183">
        <v>30</v>
      </c>
      <c r="X426" s="182" t="s">
        <v>51</v>
      </c>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3"/>
      <c r="BB426" s="203"/>
      <c r="BC426" s="203"/>
      <c r="BD426" s="203"/>
      <c r="BE426" s="203"/>
      <c r="BF426" s="203"/>
      <c r="BG426" s="203"/>
      <c r="BH426" s="203"/>
      <c r="BI426" s="184">
        <v>2120</v>
      </c>
      <c r="BJ426" s="184">
        <v>2120</v>
      </c>
      <c r="BK426" s="184">
        <v>2120</v>
      </c>
      <c r="BL426" s="184">
        <v>2200</v>
      </c>
      <c r="BM426" s="184">
        <v>2200</v>
      </c>
      <c r="BN426" s="184">
        <v>2200</v>
      </c>
      <c r="BO426" s="203">
        <v>2280</v>
      </c>
      <c r="BP426" s="203">
        <v>2280</v>
      </c>
      <c r="BQ426" s="203">
        <v>2280</v>
      </c>
      <c r="BR426" s="203"/>
      <c r="BS426" s="203"/>
      <c r="BT426" s="203"/>
      <c r="BU426" s="146" cm="1">
        <f t="array" ref="BU426">LOOKUP(2,1/(Y426:BT426&lt;&gt;""),Y426:BH426)</f>
        <v>2280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46199</v>
      </c>
      <c r="BW426" s="211" cm="1">
        <f t="array" ref="BW426">(LOOKUP(2,1/(BH426:BT426&lt;&gt;""),BH426:BT426))/(INDEX(BH426:BT426,MATCH(TRUE,INDEX((BH426:BT426&lt;&gt;0),0),0)))-1</f>
        <v>7.547169811320753E-2</v>
      </c>
      <c r="BX426" s="212">
        <f t="shared" si="165"/>
        <v>2.2799999999999998</v>
      </c>
      <c r="BY426" s="212">
        <f t="shared" si="111"/>
        <v>13.452</v>
      </c>
      <c r="BZ426" s="212">
        <f ca="1">IF(L426="BR",'Impostos e Frete'!$F$6,IF(L426="EU",'Impostos e Frete'!$I$3,IF(L426="CN",'Impostos e Frete'!$I$4,IF(L426="JP",'Impostos e Frete'!$I$5,IF(L426="RU",'Impostos e Frete'!$I$7,"ERRO")))))</f>
        <v>0.14176320000000001</v>
      </c>
      <c r="CA426" s="212">
        <f>VLOOKUP(L426,'Impostos e Frete'!$A$3:$B$7,2,0)*'Preços e Condições'!BY426</f>
        <v>1.7487600000000001</v>
      </c>
      <c r="CB426" s="147">
        <f t="shared" si="166"/>
        <v>-0.17699999999999999</v>
      </c>
      <c r="CC426" s="147">
        <f>IF(X426="BRL",'Impostos e Frete'!$B$11,'Impostos e Frete'!$B$12)</f>
        <v>9.1999999999999998E-2</v>
      </c>
      <c r="CD426" s="213">
        <f t="shared" ca="1" si="167"/>
        <v>15.257523200000001</v>
      </c>
      <c r="CE426" s="214">
        <f t="shared" ca="1" si="168"/>
        <v>1.0375115776000001</v>
      </c>
      <c r="CF426" s="215">
        <f>VLOOKUP(L426,'Impostos e Frete'!$A$3:$C$7,3,0)</f>
        <v>105</v>
      </c>
      <c r="CG426" s="215">
        <f t="shared" si="169"/>
        <v>120</v>
      </c>
      <c r="CH426" s="215">
        <f t="shared" si="170"/>
        <v>15</v>
      </c>
      <c r="CI426" s="216">
        <f t="shared" ca="1" si="171"/>
        <v>-0.11315995400518375</v>
      </c>
      <c r="CJ426" s="217">
        <f t="shared" ca="1" si="172"/>
        <v>15.144363245994818</v>
      </c>
      <c r="CK426" s="218">
        <f t="shared" ca="1" si="173"/>
        <v>1.0298167007276475</v>
      </c>
    </row>
    <row r="427" spans="1:89">
      <c r="A427" s="204">
        <v>2043069</v>
      </c>
      <c r="B427" s="186" t="s">
        <v>52</v>
      </c>
      <c r="C427" s="197">
        <v>71</v>
      </c>
      <c r="D427" s="197"/>
      <c r="E427" s="178" t="s">
        <v>50</v>
      </c>
      <c r="F427" s="179" t="s">
        <v>47</v>
      </c>
      <c r="G427" s="185" t="s">
        <v>92</v>
      </c>
      <c r="H427" s="178" t="s">
        <v>42</v>
      </c>
      <c r="I427" s="178" t="s">
        <v>40</v>
      </c>
      <c r="J427" s="178"/>
      <c r="K427" s="178"/>
      <c r="L427" s="178" t="s">
        <v>59</v>
      </c>
      <c r="M427" s="178">
        <v>120</v>
      </c>
      <c r="N427" s="178">
        <v>300</v>
      </c>
      <c r="O427" s="178"/>
      <c r="P427" s="178"/>
      <c r="Q427" s="178"/>
      <c r="R427" s="178" t="s">
        <v>19</v>
      </c>
      <c r="S427" s="181"/>
      <c r="T427" s="181"/>
      <c r="U427" s="182"/>
      <c r="V427" s="182" t="s">
        <v>35</v>
      </c>
      <c r="W427" s="183">
        <v>100</v>
      </c>
      <c r="X427" s="182" t="s">
        <v>51</v>
      </c>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3"/>
      <c r="BB427" s="203"/>
      <c r="BC427" s="203"/>
      <c r="BD427" s="203"/>
      <c r="BE427" s="203"/>
      <c r="BF427" s="203"/>
      <c r="BG427" s="203"/>
      <c r="BH427" s="203"/>
      <c r="BI427" s="184">
        <v>2200</v>
      </c>
      <c r="BJ427" s="184">
        <v>2200</v>
      </c>
      <c r="BK427" s="184">
        <v>2200</v>
      </c>
      <c r="BL427" s="203">
        <v>2300</v>
      </c>
      <c r="BM427" s="203">
        <v>2300</v>
      </c>
      <c r="BN427" s="203">
        <v>2300</v>
      </c>
      <c r="BO427" s="203"/>
      <c r="BP427" s="203"/>
      <c r="BQ427" s="203"/>
      <c r="BR427" s="203"/>
      <c r="BS427" s="203"/>
      <c r="BT427" s="203"/>
      <c r="BU427" s="146" cm="1">
        <f t="array" ref="BU427">LOOKUP(2,1/(Y427:BT427&lt;&gt;""),Y427:BH427)</f>
        <v>2300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11" cm="1">
        <f t="array" ref="BW427">(LOOKUP(2,1/(BH427:BT427&lt;&gt;""),BH427:BT427))/(INDEX(BH427:BT427,MATCH(TRUE,INDEX((BH427:BT427&lt;&gt;0),0),0)))-1</f>
        <v>4.5454545454545414E-2</v>
      </c>
      <c r="BX427" s="212">
        <f t="shared" ref="BX427:BX430" si="174">BU427/1000</f>
        <v>2.2999999999999998</v>
      </c>
      <c r="BY427" s="212">
        <f t="shared" si="111"/>
        <v>13.57</v>
      </c>
      <c r="BZ427" s="212">
        <f ca="1">IF(L427="BR",'Impostos e Frete'!$F$6,IF(L427="EU",'Impostos e Frete'!$I$3,IF(L427="CN",'Impostos e Frete'!$I$4,IF(L427="JP",'Impostos e Frete'!$I$5,IF(L427="RU",'Impostos e Frete'!$I$7,"ERRO")))))</f>
        <v>0.14176320000000001</v>
      </c>
      <c r="CA427" s="212">
        <f>VLOOKUP(L427,'Impostos e Frete'!$A$3:$B$7,2,0)*'Preços e Condições'!BY427</f>
        <v>1.7641</v>
      </c>
      <c r="CB427" s="147">
        <f t="shared" ref="CB427:CB430" si="175">IF(R427="CFR",$CB$2,IF(R427="FOB",0,IF(R427="EXW",$CB$1,"ERRO")))</f>
        <v>0</v>
      </c>
      <c r="CC427" s="147">
        <f>IF(X427="BRL",'Impostos e Frete'!$B$11,'Impostos e Frete'!$B$12)</f>
        <v>9.1999999999999998E-2</v>
      </c>
      <c r="CD427" s="213">
        <f t="shared" ref="CD427:CD430" ca="1" si="176">SUM(BY427:CC427)</f>
        <v>15.5678632</v>
      </c>
      <c r="CE427" s="214">
        <f t="shared" ref="CE427:CE430" ca="1" si="177">IF(C427="","erro",(CD427/1000)*C427)</f>
        <v>1.1053182872</v>
      </c>
      <c r="CF427" s="215">
        <f>VLOOKUP(L427,'Impostos e Frete'!$A$3:$C$7,3,0)</f>
        <v>105</v>
      </c>
      <c r="CG427" s="215">
        <f t="shared" ref="CG427:CG430" si="178">M427</f>
        <v>120</v>
      </c>
      <c r="CH427" s="215">
        <f t="shared" ref="CH427:CH430" si="179">CG427-CF427</f>
        <v>15</v>
      </c>
      <c r="CI427" s="216">
        <f t="shared" ref="CI427:CI430" ca="1" si="180">CD427*(1+VALUE($CI$2))^((CH427*-1)/30)-CD427</f>
        <v>-0.11546164214064447</v>
      </c>
      <c r="CJ427" s="217">
        <f t="shared" ref="CJ427:CJ430" ca="1" si="181">CD427+CI427</f>
        <v>15.452401557859355</v>
      </c>
      <c r="CK427" s="218">
        <f t="shared" ref="CK427:CK430" ca="1" si="182">IF(C427="","erro",(CJ427/1000)*C427)</f>
        <v>1.0971205106080142</v>
      </c>
    </row>
    <row r="428" spans="1:89">
      <c r="A428" s="204">
        <v>2043069</v>
      </c>
      <c r="B428" s="186" t="s">
        <v>52</v>
      </c>
      <c r="C428" s="197">
        <v>71</v>
      </c>
      <c r="D428" s="197"/>
      <c r="E428" s="178" t="s">
        <v>50</v>
      </c>
      <c r="F428" s="179" t="s">
        <v>47</v>
      </c>
      <c r="G428" s="185" t="s">
        <v>92</v>
      </c>
      <c r="H428" s="178" t="s">
        <v>42</v>
      </c>
      <c r="I428" s="178" t="s">
        <v>40</v>
      </c>
      <c r="J428" s="178"/>
      <c r="K428" s="178"/>
      <c r="L428" s="178" t="s">
        <v>59</v>
      </c>
      <c r="M428" s="178">
        <v>120</v>
      </c>
      <c r="N428" s="178">
        <v>300</v>
      </c>
      <c r="O428" s="178"/>
      <c r="P428" s="178"/>
      <c r="Q428" s="178"/>
      <c r="R428" s="178" t="s">
        <v>19</v>
      </c>
      <c r="S428" s="181"/>
      <c r="T428" s="181"/>
      <c r="U428" s="182"/>
      <c r="V428" s="182" t="s">
        <v>35</v>
      </c>
      <c r="W428" s="183">
        <v>50</v>
      </c>
      <c r="X428" s="182" t="s">
        <v>51</v>
      </c>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3"/>
      <c r="BB428" s="203"/>
      <c r="BC428" s="203"/>
      <c r="BD428" s="203"/>
      <c r="BE428" s="203"/>
      <c r="BF428" s="203"/>
      <c r="BG428" s="203"/>
      <c r="BH428" s="203"/>
      <c r="BI428" s="184">
        <v>2220</v>
      </c>
      <c r="BJ428" s="184">
        <v>2220</v>
      </c>
      <c r="BK428" s="184">
        <v>2220</v>
      </c>
      <c r="BL428" s="203">
        <v>2320</v>
      </c>
      <c r="BM428" s="203">
        <v>2320</v>
      </c>
      <c r="BN428" s="203">
        <v>2320</v>
      </c>
      <c r="BO428" s="203"/>
      <c r="BP428" s="203"/>
      <c r="BQ428" s="203"/>
      <c r="BR428" s="203"/>
      <c r="BS428" s="203"/>
      <c r="BT428" s="203"/>
      <c r="BU428" s="146" cm="1">
        <f t="array" ref="BU428">LOOKUP(2,1/(Y428:BT428&lt;&gt;""),Y428:BH428)</f>
        <v>2320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11" cm="1">
        <f t="array" ref="BW428">(LOOKUP(2,1/(BH428:BT428&lt;&gt;""),BH428:BT428))/(INDEX(BH428:BT428,MATCH(TRUE,INDEX((BH428:BT428&lt;&gt;0),0),0)))-1</f>
        <v>4.5045045045045029E-2</v>
      </c>
      <c r="BX428" s="212">
        <f t="shared" si="174"/>
        <v>2.3199999999999998</v>
      </c>
      <c r="BY428" s="212">
        <f t="shared" si="111"/>
        <v>13.688000000000001</v>
      </c>
      <c r="BZ428" s="212">
        <f ca="1">IF(L428="BR",'Impostos e Frete'!$F$6,IF(L428="EU",'Impostos e Frete'!$I$3,IF(L428="CN",'Impostos e Frete'!$I$4,IF(L428="JP",'Impostos e Frete'!$I$5,IF(L428="RU",'Impostos e Frete'!$I$7,"ERRO")))))</f>
        <v>0.14176320000000001</v>
      </c>
      <c r="CA428" s="212">
        <f>VLOOKUP(L428,'Impostos e Frete'!$A$3:$B$7,2,0)*'Preços e Condições'!BY428</f>
        <v>1.7794400000000001</v>
      </c>
      <c r="CB428" s="147">
        <f t="shared" si="175"/>
        <v>0</v>
      </c>
      <c r="CC428" s="147">
        <f>IF(X428="BRL",'Impostos e Frete'!$B$11,'Impostos e Frete'!$B$12)</f>
        <v>9.1999999999999998E-2</v>
      </c>
      <c r="CD428" s="213">
        <f t="shared" ca="1" si="176"/>
        <v>15.7012032</v>
      </c>
      <c r="CE428" s="214">
        <f t="shared" ca="1" si="177"/>
        <v>1.1147854272</v>
      </c>
      <c r="CF428" s="215">
        <f>VLOOKUP(L428,'Impostos e Frete'!$A$3:$C$7,3,0)</f>
        <v>105</v>
      </c>
      <c r="CG428" s="215">
        <f t="shared" si="178"/>
        <v>120</v>
      </c>
      <c r="CH428" s="215">
        <f t="shared" si="179"/>
        <v>15</v>
      </c>
      <c r="CI428" s="216">
        <f t="shared" ca="1" si="180"/>
        <v>-0.11645058038896217</v>
      </c>
      <c r="CJ428" s="217">
        <f t="shared" ca="1" si="181"/>
        <v>15.584752619611038</v>
      </c>
      <c r="CK428" s="218">
        <f t="shared" ca="1" si="182"/>
        <v>1.1065174359923837</v>
      </c>
    </row>
    <row r="429" spans="1:89">
      <c r="A429" s="204">
        <v>2043069</v>
      </c>
      <c r="B429" s="186" t="s">
        <v>52</v>
      </c>
      <c r="C429" s="197">
        <v>71</v>
      </c>
      <c r="D429" s="197"/>
      <c r="E429" s="178" t="s">
        <v>50</v>
      </c>
      <c r="F429" s="179" t="s">
        <v>47</v>
      </c>
      <c r="G429" s="185" t="s">
        <v>92</v>
      </c>
      <c r="H429" s="178" t="s">
        <v>42</v>
      </c>
      <c r="I429" s="178" t="s">
        <v>40</v>
      </c>
      <c r="J429" s="178"/>
      <c r="K429" s="178"/>
      <c r="L429" s="178" t="s">
        <v>59</v>
      </c>
      <c r="M429" s="178">
        <v>120</v>
      </c>
      <c r="N429" s="178">
        <v>300</v>
      </c>
      <c r="O429" s="178"/>
      <c r="P429" s="178"/>
      <c r="Q429" s="178"/>
      <c r="R429" s="178" t="s">
        <v>19</v>
      </c>
      <c r="S429" s="181"/>
      <c r="T429" s="181"/>
      <c r="U429" s="182"/>
      <c r="V429" s="182" t="s">
        <v>35</v>
      </c>
      <c r="W429" s="183">
        <v>30</v>
      </c>
      <c r="X429" s="182" t="s">
        <v>51</v>
      </c>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3"/>
      <c r="BB429" s="203"/>
      <c r="BC429" s="203"/>
      <c r="BD429" s="203"/>
      <c r="BE429" s="203"/>
      <c r="BF429" s="203"/>
      <c r="BG429" s="203"/>
      <c r="BH429" s="203"/>
      <c r="BI429" s="184">
        <v>2270</v>
      </c>
      <c r="BJ429" s="184">
        <v>2270</v>
      </c>
      <c r="BK429" s="184">
        <v>2270</v>
      </c>
      <c r="BL429" s="203">
        <v>2370</v>
      </c>
      <c r="BM429" s="203">
        <v>2370</v>
      </c>
      <c r="BN429" s="203">
        <v>2370</v>
      </c>
      <c r="BO429" s="203"/>
      <c r="BP429" s="203"/>
      <c r="BQ429" s="203"/>
      <c r="BR429" s="203"/>
      <c r="BS429" s="203"/>
      <c r="BT429" s="203"/>
      <c r="BU429" s="146" cm="1">
        <f t="array" ref="BU429">LOOKUP(2,1/(Y429:BT429&lt;&gt;""),Y429:BH429)</f>
        <v>2370</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46174</v>
      </c>
      <c r="BW429" s="211" cm="1">
        <f t="array" ref="BW429">(LOOKUP(2,1/(BH429:BT429&lt;&gt;""),BH429:BT429))/(INDEX(BH429:BT429,MATCH(TRUE,INDEX((BH429:BT429&lt;&gt;0),0),0)))-1</f>
        <v>4.4052863436123246E-2</v>
      </c>
      <c r="BX429" s="212">
        <f t="shared" si="174"/>
        <v>2.37</v>
      </c>
      <c r="BY429" s="212">
        <f t="shared" si="111"/>
        <v>13.983000000000002</v>
      </c>
      <c r="BZ429" s="212">
        <f ca="1">IF(L429="BR",'Impostos e Frete'!$F$6,IF(L429="EU",'Impostos e Frete'!$I$3,IF(L429="CN",'Impostos e Frete'!$I$4,IF(L429="JP",'Impostos e Frete'!$I$5,IF(L429="RU",'Impostos e Frete'!$I$7,"ERRO")))))</f>
        <v>0.14176320000000001</v>
      </c>
      <c r="CA429" s="212">
        <f>VLOOKUP(L429,'Impostos e Frete'!$A$3:$B$7,2,0)*'Preços e Condições'!BY429</f>
        <v>1.8177900000000005</v>
      </c>
      <c r="CB429" s="147">
        <f t="shared" si="175"/>
        <v>0</v>
      </c>
      <c r="CC429" s="147">
        <f>IF(X429="BRL",'Impostos e Frete'!$B$11,'Impostos e Frete'!$B$12)</f>
        <v>9.1999999999999998E-2</v>
      </c>
      <c r="CD429" s="213">
        <f t="shared" ca="1" si="176"/>
        <v>16.034553200000001</v>
      </c>
      <c r="CE429" s="214">
        <f t="shared" ca="1" si="177"/>
        <v>1.1384532772000002</v>
      </c>
      <c r="CF429" s="215">
        <f>VLOOKUP(L429,'Impostos e Frete'!$A$3:$C$7,3,0)</f>
        <v>105</v>
      </c>
      <c r="CG429" s="215">
        <f t="shared" si="178"/>
        <v>120</v>
      </c>
      <c r="CH429" s="215">
        <f t="shared" si="179"/>
        <v>15</v>
      </c>
      <c r="CI429" s="216">
        <f t="shared" ca="1" si="180"/>
        <v>-0.11892292600975196</v>
      </c>
      <c r="CJ429" s="217">
        <f t="shared" ca="1" si="181"/>
        <v>15.915630273990249</v>
      </c>
      <c r="CK429" s="218">
        <f t="shared" ca="1" si="182"/>
        <v>1.1300097494533079</v>
      </c>
    </row>
    <row r="430" spans="1:89">
      <c r="A430" s="204">
        <v>2043069</v>
      </c>
      <c r="B430" s="186" t="s">
        <v>52</v>
      </c>
      <c r="C430" s="197">
        <v>71</v>
      </c>
      <c r="D430" s="197"/>
      <c r="E430" s="178" t="s">
        <v>50</v>
      </c>
      <c r="F430" s="179" t="s">
        <v>47</v>
      </c>
      <c r="G430" s="185" t="s">
        <v>92</v>
      </c>
      <c r="H430" s="178" t="s">
        <v>42</v>
      </c>
      <c r="I430" s="178" t="s">
        <v>40</v>
      </c>
      <c r="J430" s="178"/>
      <c r="K430" s="178"/>
      <c r="L430" s="178" t="s">
        <v>59</v>
      </c>
      <c r="M430" s="178">
        <v>120</v>
      </c>
      <c r="N430" s="178">
        <v>300</v>
      </c>
      <c r="O430" s="178"/>
      <c r="P430" s="178"/>
      <c r="Q430" s="178"/>
      <c r="R430" s="178" t="s">
        <v>19</v>
      </c>
      <c r="S430" s="181"/>
      <c r="T430" s="181"/>
      <c r="U430" s="182"/>
      <c r="V430" s="182" t="s">
        <v>35</v>
      </c>
      <c r="W430" s="183">
        <v>20</v>
      </c>
      <c r="X430" s="182" t="s">
        <v>51</v>
      </c>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3"/>
      <c r="BB430" s="203"/>
      <c r="BC430" s="203"/>
      <c r="BD430" s="203"/>
      <c r="BE430" s="203"/>
      <c r="BF430" s="203"/>
      <c r="BG430" s="203"/>
      <c r="BH430" s="203"/>
      <c r="BI430" s="184">
        <v>2320</v>
      </c>
      <c r="BJ430" s="184">
        <v>2320</v>
      </c>
      <c r="BK430" s="184">
        <v>2320</v>
      </c>
      <c r="BL430" s="203">
        <v>2420</v>
      </c>
      <c r="BM430" s="203">
        <v>2420</v>
      </c>
      <c r="BN430" s="203">
        <v>2420</v>
      </c>
      <c r="BO430" s="203"/>
      <c r="BP430" s="203"/>
      <c r="BQ430" s="203"/>
      <c r="BR430" s="203"/>
      <c r="BS430" s="203"/>
      <c r="BT430" s="203"/>
      <c r="BU430" s="146" cm="1">
        <f t="array" ref="BU430">LOOKUP(2,1/(Y430:BT430&lt;&gt;""),Y430:BH430)</f>
        <v>2420</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46174</v>
      </c>
      <c r="BW430" s="211" cm="1">
        <f t="array" ref="BW430">(LOOKUP(2,1/(BH430:BT430&lt;&gt;""),BH430:BT430))/(INDEX(BH430:BT430,MATCH(TRUE,INDEX((BH430:BT430&lt;&gt;0),0),0)))-1</f>
        <v>4.31034482758621E-2</v>
      </c>
      <c r="BX430" s="212">
        <f t="shared" si="174"/>
        <v>2.42</v>
      </c>
      <c r="BY430" s="212">
        <f t="shared" si="111"/>
        <v>14.278</v>
      </c>
      <c r="BZ430" s="212">
        <f ca="1">IF(L430="BR",'Impostos e Frete'!$F$6,IF(L430="EU",'Impostos e Frete'!$I$3,IF(L430="CN",'Impostos e Frete'!$I$4,IF(L430="JP",'Impostos e Frete'!$I$5,IF(L430="RU",'Impostos e Frete'!$I$7,"ERRO")))))</f>
        <v>0.14176320000000001</v>
      </c>
      <c r="CA430" s="212">
        <f>VLOOKUP(L430,'Impostos e Frete'!$A$3:$B$7,2,0)*'Preços e Condições'!BY430</f>
        <v>1.8561400000000001</v>
      </c>
      <c r="CB430" s="147">
        <f t="shared" si="175"/>
        <v>0</v>
      </c>
      <c r="CC430" s="147">
        <f>IF(X430="BRL",'Impostos e Frete'!$B$11,'Impostos e Frete'!$B$12)</f>
        <v>9.1999999999999998E-2</v>
      </c>
      <c r="CD430" s="213">
        <f t="shared" ca="1" si="176"/>
        <v>16.367903200000001</v>
      </c>
      <c r="CE430" s="214">
        <f t="shared" ca="1" si="177"/>
        <v>1.1621211272000003</v>
      </c>
      <c r="CF430" s="215">
        <f>VLOOKUP(L430,'Impostos e Frete'!$A$3:$C$7,3,0)</f>
        <v>105</v>
      </c>
      <c r="CG430" s="215">
        <f t="shared" si="178"/>
        <v>120</v>
      </c>
      <c r="CH430" s="215">
        <f t="shared" si="179"/>
        <v>15</v>
      </c>
      <c r="CI430" s="216">
        <f t="shared" ca="1" si="180"/>
        <v>-0.12139527163054353</v>
      </c>
      <c r="CJ430" s="217">
        <f t="shared" ca="1" si="181"/>
        <v>16.246507928369457</v>
      </c>
      <c r="CK430" s="218">
        <f t="shared" ca="1" si="182"/>
        <v>1.1535020629142316</v>
      </c>
    </row>
    <row r="431" spans="1:89">
      <c r="A431" s="204">
        <v>2043069</v>
      </c>
      <c r="B431" s="186" t="s">
        <v>52</v>
      </c>
      <c r="C431" s="197">
        <v>71</v>
      </c>
      <c r="D431" s="197"/>
      <c r="E431" s="178" t="s">
        <v>50</v>
      </c>
      <c r="F431" s="179" t="s">
        <v>47</v>
      </c>
      <c r="G431" s="185" t="s">
        <v>92</v>
      </c>
      <c r="H431" s="178" t="s">
        <v>42</v>
      </c>
      <c r="I431" s="178" t="s">
        <v>40</v>
      </c>
      <c r="J431" s="178"/>
      <c r="K431" s="178"/>
      <c r="L431" s="178" t="s">
        <v>59</v>
      </c>
      <c r="M431" s="178">
        <v>120</v>
      </c>
      <c r="N431" s="178">
        <v>300</v>
      </c>
      <c r="O431" s="178"/>
      <c r="P431" s="178"/>
      <c r="Q431" s="178"/>
      <c r="R431" s="178" t="s">
        <v>19</v>
      </c>
      <c r="S431" s="181"/>
      <c r="T431" s="181"/>
      <c r="U431" s="182"/>
      <c r="V431" s="182" t="s">
        <v>35</v>
      </c>
      <c r="W431" s="183">
        <v>10</v>
      </c>
      <c r="X431" s="182" t="s">
        <v>51</v>
      </c>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3"/>
      <c r="BB431" s="203"/>
      <c r="BC431" s="203"/>
      <c r="BD431" s="203"/>
      <c r="BE431" s="203"/>
      <c r="BF431" s="203"/>
      <c r="BG431" s="203"/>
      <c r="BH431" s="203"/>
      <c r="BI431" s="184">
        <v>2400</v>
      </c>
      <c r="BJ431" s="184">
        <v>2400</v>
      </c>
      <c r="BK431" s="184">
        <v>2400</v>
      </c>
      <c r="BL431" s="203">
        <v>2500</v>
      </c>
      <c r="BM431" s="203">
        <v>2500</v>
      </c>
      <c r="BN431" s="203">
        <v>2500</v>
      </c>
      <c r="BO431" s="203"/>
      <c r="BP431" s="203"/>
      <c r="BQ431" s="203"/>
      <c r="BR431" s="203"/>
      <c r="BS431" s="203"/>
      <c r="BT431" s="203"/>
      <c r="BU431" s="146" cm="1">
        <f t="array" ref="BU431">LOOKUP(2,1/(Y431:BT431&lt;&gt;""),Y431:BH431)</f>
        <v>2500</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46174</v>
      </c>
      <c r="BW431" s="211" cm="1">
        <f t="array" ref="BW431">(LOOKUP(2,1/(BH431:BT431&lt;&gt;""),BH431:BT431))/(INDEX(BH431:BT431,MATCH(TRUE,INDEX((BH431:BT431&lt;&gt;0),0),0)))-1</f>
        <v>4.1666666666666741E-2</v>
      </c>
      <c r="BX431" s="212">
        <f t="shared" si="115"/>
        <v>2.5</v>
      </c>
      <c r="BY431" s="212">
        <f t="shared" si="111"/>
        <v>14.75</v>
      </c>
      <c r="BZ431" s="212">
        <f ca="1">IF(L431="BR",'Impostos e Frete'!$F$6,IF(L431="EU",'Impostos e Frete'!$I$3,IF(L431="CN",'Impostos e Frete'!$I$4,IF(L431="JP",'Impostos e Frete'!$I$5,IF(L431="RU",'Impostos e Frete'!$I$7,"ERRO")))))</f>
        <v>0.14176320000000001</v>
      </c>
      <c r="CA431" s="212">
        <f>VLOOKUP(L431,'Impostos e Frete'!$A$3:$B$7,2,0)*'Preços e Condições'!BY431</f>
        <v>1.9175</v>
      </c>
      <c r="CB431" s="147">
        <f t="shared" si="116"/>
        <v>0</v>
      </c>
      <c r="CC431" s="147">
        <f>IF(X431="BRL",'Impostos e Frete'!$B$11,'Impostos e Frete'!$B$12)</f>
        <v>9.1999999999999998E-2</v>
      </c>
      <c r="CD431" s="213">
        <f t="shared" ca="1" si="117"/>
        <v>16.901263199999999</v>
      </c>
      <c r="CE431" s="214">
        <f t="shared" ca="1" si="118"/>
        <v>1.1999896872</v>
      </c>
      <c r="CF431" s="215">
        <f>VLOOKUP(L431,'Impostos e Frete'!$A$3:$C$7,3,0)</f>
        <v>105</v>
      </c>
      <c r="CG431" s="215">
        <f t="shared" si="119"/>
        <v>120</v>
      </c>
      <c r="CH431" s="215">
        <f t="shared" si="120"/>
        <v>15</v>
      </c>
      <c r="CI431" s="216">
        <f t="shared" ca="1" si="121"/>
        <v>-0.12535102462380721</v>
      </c>
      <c r="CJ431" s="217">
        <f t="shared" ca="1" si="122"/>
        <v>16.775912175376192</v>
      </c>
      <c r="CK431" s="218">
        <f t="shared" ca="1" si="123"/>
        <v>1.1910897644517098</v>
      </c>
    </row>
    <row r="432" spans="1:89">
      <c r="A432" s="204">
        <v>7000451</v>
      </c>
      <c r="B432" s="177" t="s">
        <v>480</v>
      </c>
      <c r="C432" s="197">
        <v>70</v>
      </c>
      <c r="D432" s="197"/>
      <c r="E432" s="197" t="s">
        <v>50</v>
      </c>
      <c r="F432" s="179" t="s">
        <v>2</v>
      </c>
      <c r="G432" s="189" t="s">
        <v>229</v>
      </c>
      <c r="H432" s="178" t="s">
        <v>42</v>
      </c>
      <c r="I432" s="178">
        <v>32129</v>
      </c>
      <c r="J432" s="178"/>
      <c r="K432" s="178"/>
      <c r="L432" s="178" t="s">
        <v>59</v>
      </c>
      <c r="M432" s="178">
        <v>120</v>
      </c>
      <c r="N432" s="178"/>
      <c r="O432" s="178"/>
      <c r="P432" s="178"/>
      <c r="Q432" s="178"/>
      <c r="R432" s="178" t="s">
        <v>126</v>
      </c>
      <c r="S432" s="181"/>
      <c r="T432" s="181"/>
      <c r="U432" s="182"/>
      <c r="V432" s="182" t="s">
        <v>35</v>
      </c>
      <c r="W432" s="183">
        <v>100</v>
      </c>
      <c r="X432" s="182" t="s">
        <v>51</v>
      </c>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3"/>
      <c r="BB432" s="203"/>
      <c r="BC432" s="203"/>
      <c r="BD432" s="203"/>
      <c r="BE432" s="203"/>
      <c r="BF432" s="203"/>
      <c r="BG432" s="203"/>
      <c r="BH432" s="203"/>
      <c r="BI432" s="203">
        <v>1720</v>
      </c>
      <c r="BJ432" s="203">
        <v>1720</v>
      </c>
      <c r="BK432" s="203">
        <v>1720</v>
      </c>
      <c r="BL432" s="184">
        <v>1800</v>
      </c>
      <c r="BM432" s="184">
        <v>1800</v>
      </c>
      <c r="BN432" s="184">
        <v>1800</v>
      </c>
      <c r="BO432" s="203">
        <v>1880</v>
      </c>
      <c r="BP432" s="203">
        <v>1880</v>
      </c>
      <c r="BQ432" s="203">
        <v>1880</v>
      </c>
      <c r="BR432" s="203"/>
      <c r="BS432" s="203"/>
      <c r="BT432" s="203"/>
      <c r="BU432" s="146" cm="1">
        <f t="array" ref="BU432">LOOKUP(2,1/(Y432:BT432&lt;&gt;""),Y432:BH432)</f>
        <v>1880</v>
      </c>
      <c r="BV432" s="145"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46199</v>
      </c>
      <c r="BW432" s="211" cm="1">
        <f t="array" ref="BW432">(LOOKUP(2,1/(BH432:BT432&lt;&gt;""),BH432:BT432))/(INDEX(BH432:BT432,MATCH(TRUE,INDEX((BH432:BT432&lt;&gt;0),0),0)))-1</f>
        <v>9.3023255813953432E-2</v>
      </c>
      <c r="BX432" s="212">
        <f t="shared" si="115"/>
        <v>1.88</v>
      </c>
      <c r="BY432" s="212">
        <f t="shared" si="111"/>
        <v>11.092000000000001</v>
      </c>
      <c r="BZ432" s="212">
        <f ca="1">IF(L432="BR",'Impostos e Frete'!$F$6,IF(L432="EU",'Impostos e Frete'!$I$3,IF(L432="CN",'Impostos e Frete'!$I$4,IF(L432="JP",'Impostos e Frete'!$I$5,IF(L432="RU",'Impostos e Frete'!$I$7,"ERRO")))))</f>
        <v>0.14176320000000001</v>
      </c>
      <c r="CA432" s="212">
        <f>VLOOKUP(L432,'Impostos e Frete'!$A$3:$B$7,2,0)*'Preços e Condições'!BY432</f>
        <v>1.4419600000000001</v>
      </c>
      <c r="CB432" s="147">
        <f t="shared" si="116"/>
        <v>-0.17699999999999999</v>
      </c>
      <c r="CC432" s="147">
        <f>IF(X432="BRL",'Impostos e Frete'!$B$11,'Impostos e Frete'!$B$12)</f>
        <v>9.1999999999999998E-2</v>
      </c>
      <c r="CD432" s="213">
        <f t="shared" ca="1" si="117"/>
        <v>12.590723200000001</v>
      </c>
      <c r="CE432" s="214">
        <f t="shared" ca="1" si="118"/>
        <v>0.88135062400000008</v>
      </c>
      <c r="CF432" s="215">
        <f>VLOOKUP(L432,'Impostos e Frete'!$A$3:$C$7,3,0)</f>
        <v>105</v>
      </c>
      <c r="CG432" s="215">
        <f t="shared" si="119"/>
        <v>120</v>
      </c>
      <c r="CH432" s="215">
        <f t="shared" si="120"/>
        <v>15</v>
      </c>
      <c r="CI432" s="216">
        <f t="shared" ca="1" si="121"/>
        <v>-9.3381189038860057E-2</v>
      </c>
      <c r="CJ432" s="217">
        <f t="shared" ca="1" si="122"/>
        <v>12.497342010961141</v>
      </c>
      <c r="CK432" s="218">
        <f t="shared" ca="1" si="123"/>
        <v>0.87481394076727992</v>
      </c>
    </row>
    <row r="433" spans="1:89">
      <c r="A433" s="204">
        <v>7000451</v>
      </c>
      <c r="B433" s="177" t="s">
        <v>480</v>
      </c>
      <c r="C433" s="197">
        <v>70</v>
      </c>
      <c r="D433" s="197"/>
      <c r="E433" s="197" t="s">
        <v>50</v>
      </c>
      <c r="F433" s="179" t="s">
        <v>2</v>
      </c>
      <c r="G433" s="189" t="s">
        <v>229</v>
      </c>
      <c r="H433" s="178" t="s">
        <v>42</v>
      </c>
      <c r="I433" s="178">
        <v>32129</v>
      </c>
      <c r="J433" s="178"/>
      <c r="K433" s="178"/>
      <c r="L433" s="178" t="s">
        <v>59</v>
      </c>
      <c r="M433" s="178">
        <v>120</v>
      </c>
      <c r="N433" s="178"/>
      <c r="O433" s="178"/>
      <c r="P433" s="178"/>
      <c r="Q433" s="178"/>
      <c r="R433" s="178" t="s">
        <v>126</v>
      </c>
      <c r="S433" s="181"/>
      <c r="T433" s="181"/>
      <c r="U433" s="182"/>
      <c r="V433" s="182" t="s">
        <v>35</v>
      </c>
      <c r="W433" s="183">
        <v>70</v>
      </c>
      <c r="X433" s="182" t="s">
        <v>51</v>
      </c>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3"/>
      <c r="BB433" s="203"/>
      <c r="BC433" s="203"/>
      <c r="BD433" s="203"/>
      <c r="BE433" s="203"/>
      <c r="BF433" s="203"/>
      <c r="BG433" s="203"/>
      <c r="BH433" s="203"/>
      <c r="BI433" s="184">
        <v>1740</v>
      </c>
      <c r="BJ433" s="184">
        <v>1740</v>
      </c>
      <c r="BK433" s="184">
        <v>1740</v>
      </c>
      <c r="BL433" s="184">
        <v>1820</v>
      </c>
      <c r="BM433" s="184">
        <v>1820</v>
      </c>
      <c r="BN433" s="184">
        <v>1820</v>
      </c>
      <c r="BO433" s="203">
        <v>1900</v>
      </c>
      <c r="BP433" s="203">
        <v>1900</v>
      </c>
      <c r="BQ433" s="203">
        <v>1900</v>
      </c>
      <c r="BR433" s="203"/>
      <c r="BS433" s="203"/>
      <c r="BT433" s="203"/>
      <c r="BU433" s="146" cm="1">
        <f t="array" ref="BU433">LOOKUP(2,1/(Y433:BT433&lt;&gt;""),Y433:BH433)</f>
        <v>1900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46199</v>
      </c>
      <c r="BW433" s="211" cm="1">
        <f t="array" ref="BW433">(LOOKUP(2,1/(BH433:BT433&lt;&gt;""),BH433:BT433))/(INDEX(BH433:BT433,MATCH(TRUE,INDEX((BH433:BT433&lt;&gt;0),0),0)))-1</f>
        <v>9.1954022988505857E-2</v>
      </c>
      <c r="BX433" s="212">
        <f t="shared" ref="BX433:BX435" si="183">BU433/1000</f>
        <v>1.9</v>
      </c>
      <c r="BY433" s="212">
        <f t="shared" si="111"/>
        <v>11.21</v>
      </c>
      <c r="BZ433" s="212">
        <f ca="1">IF(L433="BR",'Impostos e Frete'!$F$6,IF(L433="EU",'Impostos e Frete'!$I$3,IF(L433="CN",'Impostos e Frete'!$I$4,IF(L433="JP",'Impostos e Frete'!$I$5,IF(L433="RU",'Impostos e Frete'!$I$7,"ERRO")))))</f>
        <v>0.14176320000000001</v>
      </c>
      <c r="CA433" s="212">
        <f>VLOOKUP(L433,'Impostos e Frete'!$A$3:$B$7,2,0)*'Preços e Condições'!BY433</f>
        <v>1.4573000000000003</v>
      </c>
      <c r="CB433" s="147">
        <f t="shared" ref="CB433:CB435" si="184">IF(R433="CFR",$CB$2,IF(R433="FOB",0,IF(R433="EXW",$CB$1,"ERRO")))</f>
        <v>-0.17699999999999999</v>
      </c>
      <c r="CC433" s="147">
        <f>IF(X433="BRL",'Impostos e Frete'!$B$11,'Impostos e Frete'!$B$12)</f>
        <v>9.1999999999999998E-2</v>
      </c>
      <c r="CD433" s="213">
        <f t="shared" ref="CD433:CD435" ca="1" si="185">SUM(BY433:CC433)</f>
        <v>12.724063200000002</v>
      </c>
      <c r="CE433" s="214">
        <f t="shared" ref="CE433:CE435" ca="1" si="186">IF(C433="","erro",(CD433/1000)*C433)</f>
        <v>0.89068442400000014</v>
      </c>
      <c r="CF433" s="215">
        <f>VLOOKUP(L433,'Impostos e Frete'!$A$3:$C$7,3,0)</f>
        <v>105</v>
      </c>
      <c r="CG433" s="215">
        <f t="shared" ref="CG433:CG435" si="187">M433</f>
        <v>120</v>
      </c>
      <c r="CH433" s="215">
        <f t="shared" ref="CH433:CH435" si="188">CG433-CF433</f>
        <v>15</v>
      </c>
      <c r="CI433" s="216">
        <f t="shared" ref="CI433:CI435" ca="1" si="189">CD433*(1+VALUE($CI$2))^((CH433*-1)/30)-CD433</f>
        <v>-9.4370127287175976E-2</v>
      </c>
      <c r="CJ433" s="217">
        <f t="shared" ref="CJ433:CJ435" ca="1" si="190">CD433+CI433</f>
        <v>12.629693072712826</v>
      </c>
      <c r="CK433" s="218">
        <f t="shared" ref="CK433:CK435" ca="1" si="191">IF(C433="","erro",(CJ433/1000)*C433)</f>
        <v>0.88407851508989788</v>
      </c>
    </row>
    <row r="434" spans="1:89">
      <c r="A434" s="204">
        <v>7000451</v>
      </c>
      <c r="B434" s="177" t="s">
        <v>480</v>
      </c>
      <c r="C434" s="197">
        <v>70</v>
      </c>
      <c r="D434" s="197"/>
      <c r="E434" s="197" t="s">
        <v>50</v>
      </c>
      <c r="F434" s="179" t="s">
        <v>2</v>
      </c>
      <c r="G434" s="189" t="s">
        <v>229</v>
      </c>
      <c r="H434" s="178" t="s">
        <v>42</v>
      </c>
      <c r="I434" s="178">
        <v>32129</v>
      </c>
      <c r="J434" s="178"/>
      <c r="K434" s="178"/>
      <c r="L434" s="178" t="s">
        <v>59</v>
      </c>
      <c r="M434" s="178">
        <v>120</v>
      </c>
      <c r="N434" s="178"/>
      <c r="O434" s="178"/>
      <c r="P434" s="178"/>
      <c r="Q434" s="178"/>
      <c r="R434" s="178" t="s">
        <v>126</v>
      </c>
      <c r="S434" s="181"/>
      <c r="T434" s="181"/>
      <c r="U434" s="182"/>
      <c r="V434" s="182" t="s">
        <v>35</v>
      </c>
      <c r="W434" s="183">
        <v>50</v>
      </c>
      <c r="X434" s="182" t="s">
        <v>51</v>
      </c>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3"/>
      <c r="BB434" s="203"/>
      <c r="BC434" s="203"/>
      <c r="BD434" s="203"/>
      <c r="BE434" s="203"/>
      <c r="BF434" s="203"/>
      <c r="BG434" s="203"/>
      <c r="BH434" s="203"/>
      <c r="BI434" s="184">
        <v>1770</v>
      </c>
      <c r="BJ434" s="184">
        <v>1770</v>
      </c>
      <c r="BK434" s="184">
        <v>1770</v>
      </c>
      <c r="BL434" s="184">
        <v>1850</v>
      </c>
      <c r="BM434" s="184">
        <v>1850</v>
      </c>
      <c r="BN434" s="184">
        <v>1850</v>
      </c>
      <c r="BO434" s="203">
        <v>1930</v>
      </c>
      <c r="BP434" s="203">
        <v>1930</v>
      </c>
      <c r="BQ434" s="203">
        <v>1930</v>
      </c>
      <c r="BR434" s="203"/>
      <c r="BS434" s="203"/>
      <c r="BT434" s="203"/>
      <c r="BU434" s="146" cm="1">
        <f t="array" ref="BU434">LOOKUP(2,1/(Y434:BT434&lt;&gt;""),Y434:BH434)</f>
        <v>1930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46199</v>
      </c>
      <c r="BW434" s="211" cm="1">
        <f t="array" ref="BW434">(LOOKUP(2,1/(BH434:BT434&lt;&gt;""),BH434:BT434))/(INDEX(BH434:BT434,MATCH(TRUE,INDEX((BH434:BT434&lt;&gt;0),0),0)))-1</f>
        <v>9.0395480225988756E-2</v>
      </c>
      <c r="BX434" s="212">
        <f t="shared" si="183"/>
        <v>1.93</v>
      </c>
      <c r="BY434" s="212">
        <f t="shared" si="111"/>
        <v>11.387</v>
      </c>
      <c r="BZ434" s="212">
        <f ca="1">IF(L434="BR",'Impostos e Frete'!$F$6,IF(L434="EU",'Impostos e Frete'!$I$3,IF(L434="CN",'Impostos e Frete'!$I$4,IF(L434="JP",'Impostos e Frete'!$I$5,IF(L434="RU",'Impostos e Frete'!$I$7,"ERRO")))))</f>
        <v>0.14176320000000001</v>
      </c>
      <c r="CA434" s="212">
        <f>VLOOKUP(L434,'Impostos e Frete'!$A$3:$B$7,2,0)*'Preços e Condições'!BY434</f>
        <v>1.48031</v>
      </c>
      <c r="CB434" s="147">
        <f t="shared" si="184"/>
        <v>-0.17699999999999999</v>
      </c>
      <c r="CC434" s="147">
        <f>IF(X434="BRL",'Impostos e Frete'!$B$11,'Impostos e Frete'!$B$12)</f>
        <v>9.1999999999999998E-2</v>
      </c>
      <c r="CD434" s="213">
        <f t="shared" ca="1" si="185"/>
        <v>12.9240732</v>
      </c>
      <c r="CE434" s="214">
        <f t="shared" ca="1" si="186"/>
        <v>0.90468512400000001</v>
      </c>
      <c r="CF434" s="215">
        <f>VLOOKUP(L434,'Impostos e Frete'!$A$3:$C$7,3,0)</f>
        <v>105</v>
      </c>
      <c r="CG434" s="215">
        <f t="shared" si="187"/>
        <v>120</v>
      </c>
      <c r="CH434" s="215">
        <f t="shared" si="188"/>
        <v>15</v>
      </c>
      <c r="CI434" s="216">
        <f t="shared" ca="1" si="189"/>
        <v>-9.5853534659651629E-2</v>
      </c>
      <c r="CJ434" s="217">
        <f t="shared" ca="1" si="190"/>
        <v>12.828219665340349</v>
      </c>
      <c r="CK434" s="218">
        <f t="shared" ca="1" si="191"/>
        <v>0.89797537657382442</v>
      </c>
    </row>
    <row r="435" spans="1:89">
      <c r="A435" s="204">
        <v>7000451</v>
      </c>
      <c r="B435" s="177" t="s">
        <v>480</v>
      </c>
      <c r="C435" s="197">
        <v>70</v>
      </c>
      <c r="D435" s="197"/>
      <c r="E435" s="197" t="s">
        <v>50</v>
      </c>
      <c r="F435" s="179" t="s">
        <v>2</v>
      </c>
      <c r="G435" s="189" t="s">
        <v>229</v>
      </c>
      <c r="H435" s="178" t="s">
        <v>42</v>
      </c>
      <c r="I435" s="178">
        <v>32129</v>
      </c>
      <c r="J435" s="178"/>
      <c r="K435" s="178"/>
      <c r="L435" s="178" t="s">
        <v>59</v>
      </c>
      <c r="M435" s="178">
        <v>120</v>
      </c>
      <c r="N435" s="178"/>
      <c r="O435" s="178"/>
      <c r="P435" s="178"/>
      <c r="Q435" s="178"/>
      <c r="R435" s="178" t="s">
        <v>126</v>
      </c>
      <c r="S435" s="181"/>
      <c r="T435" s="181"/>
      <c r="U435" s="182"/>
      <c r="V435" s="182" t="s">
        <v>35</v>
      </c>
      <c r="W435" s="183">
        <v>30</v>
      </c>
      <c r="X435" s="182" t="s">
        <v>51</v>
      </c>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3"/>
      <c r="BB435" s="203"/>
      <c r="BC435" s="203"/>
      <c r="BD435" s="203"/>
      <c r="BE435" s="203"/>
      <c r="BF435" s="203"/>
      <c r="BG435" s="203"/>
      <c r="BH435" s="203"/>
      <c r="BI435" s="184">
        <v>1820</v>
      </c>
      <c r="BJ435" s="184">
        <v>1820</v>
      </c>
      <c r="BK435" s="184">
        <v>1820</v>
      </c>
      <c r="BL435" s="184">
        <v>1900</v>
      </c>
      <c r="BM435" s="184">
        <v>1900</v>
      </c>
      <c r="BN435" s="184">
        <v>1900</v>
      </c>
      <c r="BO435" s="203">
        <v>1980</v>
      </c>
      <c r="BP435" s="203">
        <v>1980</v>
      </c>
      <c r="BQ435" s="203">
        <v>1980</v>
      </c>
      <c r="BR435" s="203"/>
      <c r="BS435" s="203"/>
      <c r="BT435" s="203"/>
      <c r="BU435" s="146" cm="1">
        <f t="array" ref="BU435">LOOKUP(2,1/(Y435:BT435&lt;&gt;""),Y435:BH435)</f>
        <v>1980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46199</v>
      </c>
      <c r="BW435" s="211" cm="1">
        <f t="array" ref="BW435">(LOOKUP(2,1/(BH435:BT435&lt;&gt;""),BH435:BT435))/(INDEX(BH435:BT435,MATCH(TRUE,INDEX((BH435:BT435&lt;&gt;0),0),0)))-1</f>
        <v>8.7912087912087822E-2</v>
      </c>
      <c r="BX435" s="212">
        <f t="shared" si="183"/>
        <v>1.98</v>
      </c>
      <c r="BY435" s="212">
        <f t="shared" si="111"/>
        <v>11.682</v>
      </c>
      <c r="BZ435" s="212">
        <f ca="1">IF(L435="BR",'Impostos e Frete'!$F$6,IF(L435="EU",'Impostos e Frete'!$I$3,IF(L435="CN",'Impostos e Frete'!$I$4,IF(L435="JP",'Impostos e Frete'!$I$5,IF(L435="RU",'Impostos e Frete'!$I$7,"ERRO")))))</f>
        <v>0.14176320000000001</v>
      </c>
      <c r="CA435" s="212">
        <f>VLOOKUP(L435,'Impostos e Frete'!$A$3:$B$7,2,0)*'Preços e Condições'!BY435</f>
        <v>1.5186600000000001</v>
      </c>
      <c r="CB435" s="147">
        <f t="shared" si="184"/>
        <v>-0.17699999999999999</v>
      </c>
      <c r="CC435" s="147">
        <f>IF(X435="BRL",'Impostos e Frete'!$B$11,'Impostos e Frete'!$B$12)</f>
        <v>9.1999999999999998E-2</v>
      </c>
      <c r="CD435" s="213">
        <f t="shared" ca="1" si="185"/>
        <v>13.257423200000002</v>
      </c>
      <c r="CE435" s="214">
        <f t="shared" ca="1" si="186"/>
        <v>0.92801962400000015</v>
      </c>
      <c r="CF435" s="215">
        <f>VLOOKUP(L435,'Impostos e Frete'!$A$3:$C$7,3,0)</f>
        <v>105</v>
      </c>
      <c r="CG435" s="215">
        <f t="shared" si="187"/>
        <v>120</v>
      </c>
      <c r="CH435" s="215">
        <f t="shared" si="188"/>
        <v>15</v>
      </c>
      <c r="CI435" s="216">
        <f t="shared" ca="1" si="189"/>
        <v>-9.8325880280441424E-2</v>
      </c>
      <c r="CJ435" s="217">
        <f t="shared" ca="1" si="190"/>
        <v>13.15909731971956</v>
      </c>
      <c r="CK435" s="218">
        <f t="shared" ca="1" si="191"/>
        <v>0.92113681238036915</v>
      </c>
    </row>
    <row r="436" spans="1:89">
      <c r="A436" s="204">
        <v>7000452</v>
      </c>
      <c r="B436" s="186">
        <v>1410</v>
      </c>
      <c r="C436" s="197">
        <v>68</v>
      </c>
      <c r="D436" s="197"/>
      <c r="E436" s="197" t="s">
        <v>50</v>
      </c>
      <c r="F436" s="179" t="s">
        <v>468</v>
      </c>
      <c r="G436" s="180" t="s">
        <v>80</v>
      </c>
      <c r="H436" s="178" t="s">
        <v>61</v>
      </c>
      <c r="I436" s="178">
        <v>1410</v>
      </c>
      <c r="J436" s="178"/>
      <c r="K436" s="178"/>
      <c r="L436" s="178" t="s">
        <v>59</v>
      </c>
      <c r="M436" s="178">
        <v>60</v>
      </c>
      <c r="N436" s="178"/>
      <c r="O436" s="178"/>
      <c r="P436" s="178"/>
      <c r="Q436" s="178"/>
      <c r="R436" s="178" t="s">
        <v>19</v>
      </c>
      <c r="S436" s="181"/>
      <c r="T436" s="181"/>
      <c r="U436" s="182"/>
      <c r="V436" s="182" t="s">
        <v>35</v>
      </c>
      <c r="W436" s="183">
        <v>100</v>
      </c>
      <c r="X436" s="182" t="s">
        <v>51</v>
      </c>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3"/>
      <c r="BB436" s="203"/>
      <c r="BC436" s="203"/>
      <c r="BD436" s="203"/>
      <c r="BE436" s="203"/>
      <c r="BF436" s="203"/>
      <c r="BG436" s="203"/>
      <c r="BH436" s="203"/>
      <c r="BI436" s="184">
        <v>1790</v>
      </c>
      <c r="BJ436" s="184">
        <v>1790</v>
      </c>
      <c r="BK436" s="184">
        <v>1790</v>
      </c>
      <c r="BL436" s="203">
        <v>1870</v>
      </c>
      <c r="BM436" s="203">
        <v>1950</v>
      </c>
      <c r="BN436" s="203">
        <v>1950</v>
      </c>
      <c r="BO436" s="203"/>
      <c r="BP436" s="203"/>
      <c r="BQ436" s="203"/>
      <c r="BR436" s="203"/>
      <c r="BS436" s="203"/>
      <c r="BT436" s="203"/>
      <c r="BU436" s="146" cm="1">
        <f t="array" ref="BU436">LOOKUP(2,1/(Y436:BT436&lt;&gt;""),Y436:BH436)</f>
        <v>1950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46174</v>
      </c>
      <c r="BW436" s="211" cm="1">
        <f t="array" ref="BW436">(LOOKUP(2,1/(BH436:BT436&lt;&gt;""),BH436:BT436))/(INDEX(BH436:BT436,MATCH(TRUE,INDEX((BH436:BT436&lt;&gt;0),0),0)))-1</f>
        <v>8.9385474860335101E-2</v>
      </c>
      <c r="BX436" s="212">
        <f t="shared" si="115"/>
        <v>1.95</v>
      </c>
      <c r="BY436" s="212">
        <f t="shared" si="111"/>
        <v>11.505000000000001</v>
      </c>
      <c r="BZ436" s="212">
        <f ca="1">IF(L436="BR",'Impostos e Frete'!$F$6,IF(L436="EU",'Impostos e Frete'!$I$3,IF(L436="CN",'Impostos e Frete'!$I$4,IF(L436="JP",'Impostos e Frete'!$I$5,IF(L436="RU",'Impostos e Frete'!$I$7,"ERRO")))))</f>
        <v>0.14176320000000001</v>
      </c>
      <c r="CA436" s="212">
        <f>VLOOKUP(L436,'Impostos e Frete'!$A$3:$B$7,2,0)*'Preços e Condições'!BY436</f>
        <v>1.4956500000000001</v>
      </c>
      <c r="CB436" s="147">
        <f t="shared" si="116"/>
        <v>0</v>
      </c>
      <c r="CC436" s="147">
        <f>IF(X436="BRL",'Impostos e Frete'!$B$11,'Impostos e Frete'!$B$12)</f>
        <v>9.1999999999999998E-2</v>
      </c>
      <c r="CD436" s="213">
        <f t="shared" ca="1" si="117"/>
        <v>13.234413200000001</v>
      </c>
      <c r="CE436" s="214">
        <f t="shared" ca="1" si="118"/>
        <v>0.89994009760000004</v>
      </c>
      <c r="CF436" s="215">
        <f>VLOOKUP(L436,'Impostos e Frete'!$A$3:$C$7,3,0)</f>
        <v>105</v>
      </c>
      <c r="CG436" s="215">
        <f t="shared" si="119"/>
        <v>60</v>
      </c>
      <c r="CH436" s="215">
        <f t="shared" si="120"/>
        <v>-45</v>
      </c>
      <c r="CI436" s="216">
        <f t="shared" ca="1" si="121"/>
        <v>0.29888817456590289</v>
      </c>
      <c r="CJ436" s="217">
        <f t="shared" ca="1" si="122"/>
        <v>13.533301374565903</v>
      </c>
      <c r="CK436" s="218">
        <f t="shared" ca="1" si="123"/>
        <v>0.92026449347048145</v>
      </c>
    </row>
    <row r="437" spans="1:89">
      <c r="A437" s="204">
        <v>7000454</v>
      </c>
      <c r="B437" s="186">
        <v>1430</v>
      </c>
      <c r="C437" s="197">
        <v>68</v>
      </c>
      <c r="D437" s="197"/>
      <c r="E437" s="197" t="s">
        <v>50</v>
      </c>
      <c r="F437" s="179" t="s">
        <v>468</v>
      </c>
      <c r="G437" s="180" t="s">
        <v>81</v>
      </c>
      <c r="H437" s="178" t="s">
        <v>61</v>
      </c>
      <c r="I437" s="178">
        <v>1430</v>
      </c>
      <c r="J437" s="178"/>
      <c r="K437" s="178"/>
      <c r="L437" s="178" t="s">
        <v>59</v>
      </c>
      <c r="M437" s="178">
        <v>60</v>
      </c>
      <c r="N437" s="178"/>
      <c r="O437" s="178"/>
      <c r="P437" s="178"/>
      <c r="Q437" s="178"/>
      <c r="R437" s="178" t="s">
        <v>19</v>
      </c>
      <c r="S437" s="181"/>
      <c r="T437" s="181"/>
      <c r="U437" s="182"/>
      <c r="V437" s="182" t="s">
        <v>35</v>
      </c>
      <c r="W437" s="183">
        <v>100</v>
      </c>
      <c r="X437" s="182" t="s">
        <v>51</v>
      </c>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3"/>
      <c r="BB437" s="203"/>
      <c r="BC437" s="203"/>
      <c r="BD437" s="203"/>
      <c r="BE437" s="203"/>
      <c r="BF437" s="203"/>
      <c r="BG437" s="203"/>
      <c r="BH437" s="203"/>
      <c r="BI437" s="184">
        <v>1790</v>
      </c>
      <c r="BJ437" s="184">
        <v>1790</v>
      </c>
      <c r="BK437" s="184">
        <v>1790</v>
      </c>
      <c r="BL437" s="203">
        <v>1870</v>
      </c>
      <c r="BM437" s="203">
        <v>1950</v>
      </c>
      <c r="BN437" s="203">
        <v>1950</v>
      </c>
      <c r="BO437" s="203"/>
      <c r="BP437" s="203"/>
      <c r="BQ437" s="203"/>
      <c r="BR437" s="203"/>
      <c r="BS437" s="203"/>
      <c r="BT437" s="203"/>
      <c r="BU437" s="146" cm="1">
        <f t="array" ref="BU437">LOOKUP(2,1/(Y437:BT437&lt;&gt;""),Y437:BH437)</f>
        <v>1950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11" cm="1">
        <f t="array" ref="BW437">(LOOKUP(2,1/(BH437:BT437&lt;&gt;""),BH437:BT437))/(INDEX(BH437:BT437,MATCH(TRUE,INDEX((BH437:BT437&lt;&gt;0),0),0)))-1</f>
        <v>8.9385474860335101E-2</v>
      </c>
      <c r="BX437" s="212">
        <f t="shared" si="115"/>
        <v>1.95</v>
      </c>
      <c r="BY437" s="212">
        <f t="shared" si="111"/>
        <v>11.505000000000001</v>
      </c>
      <c r="BZ437" s="212">
        <f ca="1">IF(L437="BR",'Impostos e Frete'!$F$6,IF(L437="EU",'Impostos e Frete'!$I$3,IF(L437="CN",'Impostos e Frete'!$I$4,IF(L437="JP",'Impostos e Frete'!$I$5,IF(L437="RU",'Impostos e Frete'!$I$7,"ERRO")))))</f>
        <v>0.14176320000000001</v>
      </c>
      <c r="CA437" s="212">
        <f>VLOOKUP(L437,'Impostos e Frete'!$A$3:$B$7,2,0)*'Preços e Condições'!BY437</f>
        <v>1.4956500000000001</v>
      </c>
      <c r="CB437" s="147">
        <f t="shared" si="116"/>
        <v>0</v>
      </c>
      <c r="CC437" s="147">
        <f>IF(X437="BRL",'Impostos e Frete'!$B$11,'Impostos e Frete'!$B$12)</f>
        <v>9.1999999999999998E-2</v>
      </c>
      <c r="CD437" s="213">
        <f t="shared" ca="1" si="117"/>
        <v>13.234413200000001</v>
      </c>
      <c r="CE437" s="214">
        <f t="shared" ca="1" si="118"/>
        <v>0.89994009760000004</v>
      </c>
      <c r="CF437" s="215">
        <f>VLOOKUP(L437,'Impostos e Frete'!$A$3:$C$7,3,0)</f>
        <v>105</v>
      </c>
      <c r="CG437" s="215">
        <f t="shared" si="119"/>
        <v>60</v>
      </c>
      <c r="CH437" s="215">
        <f t="shared" si="120"/>
        <v>-45</v>
      </c>
      <c r="CI437" s="216">
        <f t="shared" ca="1" si="121"/>
        <v>0.29888817456590289</v>
      </c>
      <c r="CJ437" s="217">
        <f t="shared" ca="1" si="122"/>
        <v>13.533301374565903</v>
      </c>
      <c r="CK437" s="218">
        <f t="shared" ca="1" si="123"/>
        <v>0.92026449347048145</v>
      </c>
    </row>
    <row r="438" spans="1:89">
      <c r="A438" s="204">
        <v>7000462</v>
      </c>
      <c r="B438" s="186">
        <v>2795</v>
      </c>
      <c r="C438" s="197">
        <v>65</v>
      </c>
      <c r="D438" s="197"/>
      <c r="E438" s="197" t="s">
        <v>50</v>
      </c>
      <c r="F438" s="179" t="s">
        <v>47</v>
      </c>
      <c r="G438" s="185" t="s">
        <v>155</v>
      </c>
      <c r="H438" s="178" t="s">
        <v>61</v>
      </c>
      <c r="I438" s="178">
        <v>6287</v>
      </c>
      <c r="J438" s="178"/>
      <c r="K438" s="178"/>
      <c r="L438" s="178" t="s">
        <v>59</v>
      </c>
      <c r="M438" s="178">
        <v>120</v>
      </c>
      <c r="N438" s="178">
        <v>300</v>
      </c>
      <c r="O438" s="178"/>
      <c r="P438" s="178"/>
      <c r="Q438" s="178"/>
      <c r="R438" s="178" t="s">
        <v>19</v>
      </c>
      <c r="S438" s="181"/>
      <c r="T438" s="181"/>
      <c r="U438" s="182"/>
      <c r="V438" s="182" t="s">
        <v>35</v>
      </c>
      <c r="W438" s="183">
        <v>50</v>
      </c>
      <c r="X438" s="182" t="s">
        <v>51</v>
      </c>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3"/>
      <c r="BB438" s="203"/>
      <c r="BC438" s="203"/>
      <c r="BD438" s="203"/>
      <c r="BE438" s="203"/>
      <c r="BF438" s="203"/>
      <c r="BG438" s="203"/>
      <c r="BH438" s="203"/>
      <c r="BI438" s="184">
        <v>2480</v>
      </c>
      <c r="BJ438" s="184">
        <v>2480</v>
      </c>
      <c r="BK438" s="184">
        <v>2480</v>
      </c>
      <c r="BL438" s="184">
        <v>2580</v>
      </c>
      <c r="BM438" s="184">
        <v>2580</v>
      </c>
      <c r="BN438" s="184">
        <v>2580</v>
      </c>
      <c r="BO438" s="203"/>
      <c r="BP438" s="203"/>
      <c r="BQ438" s="203"/>
      <c r="BR438" s="203"/>
      <c r="BS438" s="203"/>
      <c r="BT438" s="203"/>
      <c r="BU438" s="146" cm="1">
        <f t="array" ref="BU438">LOOKUP(2,1/(Y438:BT438&lt;&gt;""),Y438:BH438)</f>
        <v>2580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11" cm="1">
        <f t="array" ref="BW438">(LOOKUP(2,1/(BH438:BT438&lt;&gt;""),BH438:BT438))/(INDEX(BH438:BT438,MATCH(TRUE,INDEX((BH438:BT438&lt;&gt;0),0),0)))-1</f>
        <v>4.0322580645161255E-2</v>
      </c>
      <c r="BX438" s="212">
        <f t="shared" ref="BX438:BX440" si="192">BU438/1000</f>
        <v>2.58</v>
      </c>
      <c r="BY438" s="212">
        <f t="shared" si="111"/>
        <v>15.222000000000001</v>
      </c>
      <c r="BZ438" s="212">
        <f ca="1">IF(L438="BR",'Impostos e Frete'!$F$6,IF(L438="EU",'Impostos e Frete'!$I$3,IF(L438="CN",'Impostos e Frete'!$I$4,IF(L438="JP",'Impostos e Frete'!$I$5,IF(L438="RU",'Impostos e Frete'!$I$7,"ERRO")))))</f>
        <v>0.14176320000000001</v>
      </c>
      <c r="CA438" s="212">
        <f>VLOOKUP(L438,'Impostos e Frete'!$A$3:$B$7,2,0)*'Preços e Condições'!BY438</f>
        <v>1.9788600000000003</v>
      </c>
      <c r="CB438" s="147">
        <f t="shared" ref="CB438:CB440" si="193">IF(R438="CFR",$CB$2,IF(R438="FOB",0,IF(R438="EXW",$CB$1,"ERRO")))</f>
        <v>0</v>
      </c>
      <c r="CC438" s="147">
        <f>IF(X438="BRL",'Impostos e Frete'!$B$11,'Impostos e Frete'!$B$12)</f>
        <v>9.1999999999999998E-2</v>
      </c>
      <c r="CD438" s="213">
        <f t="shared" ref="CD438:CD440" ca="1" si="194">SUM(BY438:CC438)</f>
        <v>17.434623200000001</v>
      </c>
      <c r="CE438" s="214">
        <f t="shared" ref="CE438:CE440" ca="1" si="195">IF(C438="","erro",(CD438/1000)*C438)</f>
        <v>1.1332505080000002</v>
      </c>
      <c r="CF438" s="215">
        <f>VLOOKUP(L438,'Impostos e Frete'!$A$3:$C$7,3,0)</f>
        <v>105</v>
      </c>
      <c r="CG438" s="215">
        <f t="shared" ref="CG438:CG440" si="196">M438</f>
        <v>120</v>
      </c>
      <c r="CH438" s="215">
        <f t="shared" ref="CH438:CH440" si="197">CG438-CF438</f>
        <v>15</v>
      </c>
      <c r="CI438" s="216">
        <f t="shared" ref="CI438:CI440" ca="1" si="198">CD438*(1+VALUE($CI$2))^((CH438*-1)/30)-CD438</f>
        <v>-0.12930677761707088</v>
      </c>
      <c r="CJ438" s="217">
        <f t="shared" ref="CJ438:CJ440" ca="1" si="199">CD438+CI438</f>
        <v>17.30531642238293</v>
      </c>
      <c r="CK438" s="218">
        <f t="shared" ref="CK438:CK440" ca="1" si="200">IF(C438="","erro",(CJ438/1000)*C438)</f>
        <v>1.1248455674548903</v>
      </c>
    </row>
    <row r="439" spans="1:89">
      <c r="A439" s="204">
        <v>7000462</v>
      </c>
      <c r="B439" s="186">
        <v>2795</v>
      </c>
      <c r="C439" s="197">
        <v>65</v>
      </c>
      <c r="D439" s="197"/>
      <c r="E439" s="197" t="s">
        <v>50</v>
      </c>
      <c r="F439" s="179" t="s">
        <v>47</v>
      </c>
      <c r="G439" s="185" t="s">
        <v>155</v>
      </c>
      <c r="H439" s="178" t="s">
        <v>61</v>
      </c>
      <c r="I439" s="178">
        <v>6287</v>
      </c>
      <c r="J439" s="178"/>
      <c r="K439" s="178"/>
      <c r="L439" s="178" t="s">
        <v>59</v>
      </c>
      <c r="M439" s="178">
        <v>120</v>
      </c>
      <c r="N439" s="178">
        <v>300</v>
      </c>
      <c r="O439" s="178"/>
      <c r="P439" s="178"/>
      <c r="Q439" s="178"/>
      <c r="R439" s="178" t="s">
        <v>19</v>
      </c>
      <c r="S439" s="181"/>
      <c r="T439" s="181"/>
      <c r="U439" s="182"/>
      <c r="V439" s="182" t="s">
        <v>35</v>
      </c>
      <c r="W439" s="183">
        <v>30</v>
      </c>
      <c r="X439" s="182" t="s">
        <v>51</v>
      </c>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3"/>
      <c r="BB439" s="203"/>
      <c r="BC439" s="203"/>
      <c r="BD439" s="203"/>
      <c r="BE439" s="203"/>
      <c r="BF439" s="203"/>
      <c r="BG439" s="203"/>
      <c r="BH439" s="203"/>
      <c r="BI439" s="184">
        <v>2530</v>
      </c>
      <c r="BJ439" s="184">
        <v>2530</v>
      </c>
      <c r="BK439" s="184">
        <v>2530</v>
      </c>
      <c r="BL439" s="184">
        <v>2630</v>
      </c>
      <c r="BM439" s="184">
        <v>2630</v>
      </c>
      <c r="BN439" s="184">
        <v>2630</v>
      </c>
      <c r="BO439" s="203"/>
      <c r="BP439" s="203"/>
      <c r="BQ439" s="203"/>
      <c r="BR439" s="203"/>
      <c r="BS439" s="203"/>
      <c r="BT439" s="203"/>
      <c r="BU439" s="146" cm="1">
        <f t="array" ref="BU439">LOOKUP(2,1/(Y439:BT439&lt;&gt;""),Y439:BH439)</f>
        <v>2630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11" cm="1">
        <f t="array" ref="BW439">(LOOKUP(2,1/(BH439:BT439&lt;&gt;""),BH439:BT439))/(INDEX(BH439:BT439,MATCH(TRUE,INDEX((BH439:BT439&lt;&gt;0),0),0)))-1</f>
        <v>3.9525691699604737E-2</v>
      </c>
      <c r="BX439" s="212">
        <f t="shared" si="192"/>
        <v>2.63</v>
      </c>
      <c r="BY439" s="212">
        <f t="shared" si="111"/>
        <v>15.516999999999999</v>
      </c>
      <c r="BZ439" s="212">
        <f ca="1">IF(L439="BR",'Impostos e Frete'!$F$6,IF(L439="EU",'Impostos e Frete'!$I$3,IF(L439="CN",'Impostos e Frete'!$I$4,IF(L439="JP",'Impostos e Frete'!$I$5,IF(L439="RU",'Impostos e Frete'!$I$7,"ERRO")))))</f>
        <v>0.14176320000000001</v>
      </c>
      <c r="CA439" s="212">
        <f>VLOOKUP(L439,'Impostos e Frete'!$A$3:$B$7,2,0)*'Preços e Condições'!BY439</f>
        <v>2.0172099999999999</v>
      </c>
      <c r="CB439" s="147">
        <f t="shared" si="193"/>
        <v>0</v>
      </c>
      <c r="CC439" s="147">
        <f>IF(X439="BRL",'Impostos e Frete'!$B$11,'Impostos e Frete'!$B$12)</f>
        <v>9.1999999999999998E-2</v>
      </c>
      <c r="CD439" s="213">
        <f t="shared" ca="1" si="194"/>
        <v>17.767973199999997</v>
      </c>
      <c r="CE439" s="214">
        <f t="shared" ca="1" si="195"/>
        <v>1.1549182579999997</v>
      </c>
      <c r="CF439" s="215">
        <f>VLOOKUP(L439,'Impostos e Frete'!$A$3:$C$7,3,0)</f>
        <v>105</v>
      </c>
      <c r="CG439" s="215">
        <f t="shared" si="196"/>
        <v>120</v>
      </c>
      <c r="CH439" s="215">
        <f t="shared" si="197"/>
        <v>15</v>
      </c>
      <c r="CI439" s="216">
        <f t="shared" ca="1" si="198"/>
        <v>-0.13177912323786245</v>
      </c>
      <c r="CJ439" s="217">
        <f t="shared" ca="1" si="199"/>
        <v>17.636194076762134</v>
      </c>
      <c r="CK439" s="218">
        <f t="shared" ca="1" si="200"/>
        <v>1.1463526149895389</v>
      </c>
    </row>
    <row r="440" spans="1:89">
      <c r="A440" s="204">
        <v>7000462</v>
      </c>
      <c r="B440" s="186">
        <v>2795</v>
      </c>
      <c r="C440" s="197">
        <v>65</v>
      </c>
      <c r="D440" s="197"/>
      <c r="E440" s="197" t="s">
        <v>50</v>
      </c>
      <c r="F440" s="179" t="s">
        <v>47</v>
      </c>
      <c r="G440" s="185" t="s">
        <v>155</v>
      </c>
      <c r="H440" s="178" t="s">
        <v>61</v>
      </c>
      <c r="I440" s="178">
        <v>6287</v>
      </c>
      <c r="J440" s="178"/>
      <c r="K440" s="178"/>
      <c r="L440" s="178" t="s">
        <v>59</v>
      </c>
      <c r="M440" s="178">
        <v>120</v>
      </c>
      <c r="N440" s="178">
        <v>300</v>
      </c>
      <c r="O440" s="178"/>
      <c r="P440" s="178"/>
      <c r="Q440" s="178"/>
      <c r="R440" s="178" t="s">
        <v>19</v>
      </c>
      <c r="S440" s="181"/>
      <c r="T440" s="181"/>
      <c r="U440" s="182"/>
      <c r="V440" s="182" t="s">
        <v>35</v>
      </c>
      <c r="W440" s="183">
        <v>20</v>
      </c>
      <c r="X440" s="182" t="s">
        <v>51</v>
      </c>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3"/>
      <c r="BB440" s="203"/>
      <c r="BC440" s="203"/>
      <c r="BD440" s="203"/>
      <c r="BE440" s="203"/>
      <c r="BF440" s="203"/>
      <c r="BG440" s="203"/>
      <c r="BH440" s="203"/>
      <c r="BI440" s="184">
        <v>2580</v>
      </c>
      <c r="BJ440" s="184">
        <v>2580</v>
      </c>
      <c r="BK440" s="184">
        <v>2580</v>
      </c>
      <c r="BL440" s="184">
        <v>2680</v>
      </c>
      <c r="BM440" s="184">
        <v>2680</v>
      </c>
      <c r="BN440" s="184">
        <v>2680</v>
      </c>
      <c r="BO440" s="203"/>
      <c r="BP440" s="203"/>
      <c r="BQ440" s="203"/>
      <c r="BR440" s="203"/>
      <c r="BS440" s="203"/>
      <c r="BT440" s="203"/>
      <c r="BU440" s="146" cm="1">
        <f t="array" ref="BU440">LOOKUP(2,1/(Y440:BT440&lt;&gt;""),Y440:BH440)</f>
        <v>2680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11" cm="1">
        <f t="array" ref="BW440">(LOOKUP(2,1/(BH440:BT440&lt;&gt;""),BH440:BT440))/(INDEX(BH440:BT440,MATCH(TRUE,INDEX((BH440:BT440&lt;&gt;0),0),0)))-1</f>
        <v>3.8759689922480689E-2</v>
      </c>
      <c r="BX440" s="212">
        <f t="shared" si="192"/>
        <v>2.68</v>
      </c>
      <c r="BY440" s="212">
        <f t="shared" si="111"/>
        <v>15.812000000000001</v>
      </c>
      <c r="BZ440" s="212">
        <f ca="1">IF(L440="BR",'Impostos e Frete'!$F$6,IF(L440="EU",'Impostos e Frete'!$I$3,IF(L440="CN",'Impostos e Frete'!$I$4,IF(L440="JP",'Impostos e Frete'!$I$5,IF(L440="RU",'Impostos e Frete'!$I$7,"ERRO")))))</f>
        <v>0.14176320000000001</v>
      </c>
      <c r="CA440" s="212">
        <f>VLOOKUP(L440,'Impostos e Frete'!$A$3:$B$7,2,0)*'Preços e Condições'!BY440</f>
        <v>2.0555600000000003</v>
      </c>
      <c r="CB440" s="147">
        <f t="shared" si="193"/>
        <v>0</v>
      </c>
      <c r="CC440" s="147">
        <f>IF(X440="BRL",'Impostos e Frete'!$B$11,'Impostos e Frete'!$B$12)</f>
        <v>9.1999999999999998E-2</v>
      </c>
      <c r="CD440" s="213">
        <f t="shared" ca="1" si="194"/>
        <v>18.1013232</v>
      </c>
      <c r="CE440" s="214">
        <f t="shared" ca="1" si="195"/>
        <v>1.1765860079999999</v>
      </c>
      <c r="CF440" s="215">
        <f>VLOOKUP(L440,'Impostos e Frete'!$A$3:$C$7,3,0)</f>
        <v>105</v>
      </c>
      <c r="CG440" s="215">
        <f t="shared" si="196"/>
        <v>120</v>
      </c>
      <c r="CH440" s="215">
        <f t="shared" si="197"/>
        <v>15</v>
      </c>
      <c r="CI440" s="216">
        <f t="shared" ca="1" si="198"/>
        <v>-0.13425146885865402</v>
      </c>
      <c r="CJ440" s="217">
        <f t="shared" ca="1" si="199"/>
        <v>17.967071731141345</v>
      </c>
      <c r="CK440" s="218">
        <f t="shared" ca="1" si="200"/>
        <v>1.1678596625241875</v>
      </c>
    </row>
    <row r="441" spans="1:89">
      <c r="A441" s="204">
        <v>7000462</v>
      </c>
      <c r="B441" s="186">
        <v>2795</v>
      </c>
      <c r="C441" s="197">
        <v>65</v>
      </c>
      <c r="D441" s="197"/>
      <c r="E441" s="197" t="s">
        <v>50</v>
      </c>
      <c r="F441" s="179" t="s">
        <v>47</v>
      </c>
      <c r="G441" s="185" t="s">
        <v>155</v>
      </c>
      <c r="H441" s="178" t="s">
        <v>61</v>
      </c>
      <c r="I441" s="178">
        <v>6287</v>
      </c>
      <c r="J441" s="178"/>
      <c r="K441" s="178"/>
      <c r="L441" s="178" t="s">
        <v>59</v>
      </c>
      <c r="M441" s="178">
        <v>120</v>
      </c>
      <c r="N441" s="178">
        <v>300</v>
      </c>
      <c r="O441" s="178"/>
      <c r="P441" s="178"/>
      <c r="Q441" s="178"/>
      <c r="R441" s="178" t="s">
        <v>19</v>
      </c>
      <c r="S441" s="181"/>
      <c r="T441" s="181"/>
      <c r="U441" s="182"/>
      <c r="V441" s="182" t="s">
        <v>35</v>
      </c>
      <c r="W441" s="183">
        <v>10</v>
      </c>
      <c r="X441" s="182" t="s">
        <v>51</v>
      </c>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3"/>
      <c r="BB441" s="203"/>
      <c r="BC441" s="203"/>
      <c r="BD441" s="203"/>
      <c r="BE441" s="203"/>
      <c r="BF441" s="203"/>
      <c r="BG441" s="203"/>
      <c r="BH441" s="203"/>
      <c r="BI441" s="184">
        <v>2660</v>
      </c>
      <c r="BJ441" s="184">
        <v>2660</v>
      </c>
      <c r="BK441" s="184">
        <v>2660</v>
      </c>
      <c r="BL441" s="184">
        <v>2760</v>
      </c>
      <c r="BM441" s="184">
        <v>2760</v>
      </c>
      <c r="BN441" s="184">
        <v>2760</v>
      </c>
      <c r="BO441" s="203"/>
      <c r="BP441" s="203"/>
      <c r="BQ441" s="203"/>
      <c r="BR441" s="203"/>
      <c r="BS441" s="203"/>
      <c r="BT441" s="203"/>
      <c r="BU441" s="146" cm="1">
        <f t="array" ref="BU441">LOOKUP(2,1/(Y441:BT441&lt;&gt;""),Y441:BH441)</f>
        <v>2760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11" cm="1">
        <f t="array" ref="BW441">(LOOKUP(2,1/(BH441:BT441&lt;&gt;""),BH441:BT441))/(INDEX(BH441:BT441,MATCH(TRUE,INDEX((BH441:BT441&lt;&gt;0),0),0)))-1</f>
        <v>3.7593984962406068E-2</v>
      </c>
      <c r="BX441" s="212">
        <f t="shared" si="115"/>
        <v>2.76</v>
      </c>
      <c r="BY441" s="212">
        <f t="shared" si="111"/>
        <v>16.283999999999999</v>
      </c>
      <c r="BZ441" s="212">
        <f ca="1">IF(L441="BR",'Impostos e Frete'!$F$6,IF(L441="EU",'Impostos e Frete'!$I$3,IF(L441="CN",'Impostos e Frete'!$I$4,IF(L441="JP",'Impostos e Frete'!$I$5,IF(L441="RU",'Impostos e Frete'!$I$7,"ERRO")))))</f>
        <v>0.14176320000000001</v>
      </c>
      <c r="CA441" s="212">
        <f>VLOOKUP(L441,'Impostos e Frete'!$A$3:$B$7,2,0)*'Preços e Condições'!BY441</f>
        <v>2.1169199999999999</v>
      </c>
      <c r="CB441" s="147">
        <f t="shared" si="116"/>
        <v>0</v>
      </c>
      <c r="CC441" s="147">
        <f>IF(X441="BRL",'Impostos e Frete'!$B$11,'Impostos e Frete'!$B$12)</f>
        <v>9.1999999999999998E-2</v>
      </c>
      <c r="CD441" s="213">
        <f t="shared" ca="1" si="117"/>
        <v>18.634683199999998</v>
      </c>
      <c r="CE441" s="214">
        <f t="shared" ca="1" si="118"/>
        <v>1.2112544079999998</v>
      </c>
      <c r="CF441" s="215">
        <f>VLOOKUP(L441,'Impostos e Frete'!$A$3:$C$7,3,0)</f>
        <v>105</v>
      </c>
      <c r="CG441" s="215">
        <f t="shared" si="119"/>
        <v>120</v>
      </c>
      <c r="CH441" s="215">
        <f t="shared" si="120"/>
        <v>15</v>
      </c>
      <c r="CI441" s="216">
        <f t="shared" ca="1" si="121"/>
        <v>-0.13820722185191769</v>
      </c>
      <c r="CJ441" s="217">
        <f t="shared" ca="1" si="122"/>
        <v>18.49647597814808</v>
      </c>
      <c r="CK441" s="218">
        <f t="shared" ca="1" si="123"/>
        <v>1.2022709385796253</v>
      </c>
    </row>
    <row r="442" spans="1:89">
      <c r="A442" s="204">
        <v>7000447</v>
      </c>
      <c r="B442" s="186">
        <v>301</v>
      </c>
      <c r="C442" s="197">
        <v>65</v>
      </c>
      <c r="D442" s="197"/>
      <c r="E442" s="197" t="s">
        <v>50</v>
      </c>
      <c r="F442" s="179" t="s">
        <v>108</v>
      </c>
      <c r="G442" s="189" t="s">
        <v>111</v>
      </c>
      <c r="H442" s="178" t="s">
        <v>347</v>
      </c>
      <c r="I442" s="178" t="s">
        <v>113</v>
      </c>
      <c r="J442" s="178"/>
      <c r="K442" s="178"/>
      <c r="L442" s="178" t="s">
        <v>59</v>
      </c>
      <c r="M442" s="178">
        <v>30</v>
      </c>
      <c r="N442" s="178">
        <v>500</v>
      </c>
      <c r="O442" s="178"/>
      <c r="P442" s="178"/>
      <c r="Q442" s="178"/>
      <c r="R442" s="178" t="s">
        <v>19</v>
      </c>
      <c r="S442" s="181"/>
      <c r="T442" s="181"/>
      <c r="U442" s="182"/>
      <c r="V442" s="182" t="s">
        <v>35</v>
      </c>
      <c r="W442" s="183">
        <v>80</v>
      </c>
      <c r="X442" s="182" t="s">
        <v>51</v>
      </c>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3"/>
      <c r="BB442" s="203"/>
      <c r="BC442" s="203"/>
      <c r="BD442" s="203"/>
      <c r="BE442" s="203"/>
      <c r="BF442" s="203"/>
      <c r="BG442" s="203"/>
      <c r="BH442" s="203"/>
      <c r="BI442" s="184">
        <v>2480</v>
      </c>
      <c r="BJ442" s="184">
        <v>2480</v>
      </c>
      <c r="BK442" s="184">
        <v>2480</v>
      </c>
      <c r="BL442" s="184">
        <v>2250</v>
      </c>
      <c r="BM442" s="184">
        <v>2250</v>
      </c>
      <c r="BN442" s="184">
        <v>2250</v>
      </c>
      <c r="BO442" s="203">
        <v>2330</v>
      </c>
      <c r="BP442" s="203">
        <v>2330</v>
      </c>
      <c r="BQ442" s="203">
        <v>2330</v>
      </c>
      <c r="BR442" s="203"/>
      <c r="BS442" s="203"/>
      <c r="BT442" s="203"/>
      <c r="BU442" s="146" cm="1">
        <f t="array" ref="BU442">LOOKUP(2,1/(Y442:BT442&lt;&gt;""),Y442:BH442)</f>
        <v>2330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46199</v>
      </c>
      <c r="BW442" s="211" cm="1">
        <f t="array" ref="BW442">(LOOKUP(2,1/(BH442:BT442&lt;&gt;""),BH442:BT442))/(INDEX(BH442:BT442,MATCH(TRUE,INDEX((BH442:BT442&lt;&gt;0),0),0)))-1</f>
        <v>-6.0483870967741882E-2</v>
      </c>
      <c r="BX442" s="212">
        <f t="shared" si="115"/>
        <v>2.33</v>
      </c>
      <c r="BY442" s="212">
        <f t="shared" si="111"/>
        <v>13.747000000000002</v>
      </c>
      <c r="BZ442" s="212">
        <f ca="1">IF(L442="BR",'Impostos e Frete'!$F$6,IF(L442="EU",'Impostos e Frete'!$I$3,IF(L442="CN",'Impostos e Frete'!$I$4,IF(L442="JP",'Impostos e Frete'!$I$5,IF(L442="RU",'Impostos e Frete'!$I$7,"ERRO")))))</f>
        <v>0.14176320000000001</v>
      </c>
      <c r="CA442" s="212">
        <f>VLOOKUP(L442,'Impostos e Frete'!$A$3:$B$7,2,0)*'Preços e Condições'!BY442</f>
        <v>1.7871100000000002</v>
      </c>
      <c r="CB442" s="147">
        <f t="shared" si="116"/>
        <v>0</v>
      </c>
      <c r="CC442" s="147">
        <f>IF(X442="BRL",'Impostos e Frete'!$B$11,'Impostos e Frete'!$B$12)</f>
        <v>9.1999999999999998E-2</v>
      </c>
      <c r="CD442" s="213">
        <f t="shared" ca="1" si="117"/>
        <v>15.767873200000002</v>
      </c>
      <c r="CE442" s="214">
        <f t="shared" ca="1" si="118"/>
        <v>1.024911758</v>
      </c>
      <c r="CF442" s="215">
        <f>VLOOKUP(L442,'Impostos e Frete'!$A$3:$C$7,3,0)</f>
        <v>105</v>
      </c>
      <c r="CG442" s="215">
        <f t="shared" si="119"/>
        <v>30</v>
      </c>
      <c r="CH442" s="215">
        <f t="shared" si="120"/>
        <v>-75</v>
      </c>
      <c r="CI442" s="216">
        <f t="shared" ca="1" si="121"/>
        <v>0.59796391564287354</v>
      </c>
      <c r="CJ442" s="217">
        <f t="shared" ca="1" si="122"/>
        <v>16.365837115642876</v>
      </c>
      <c r="CK442" s="218">
        <f t="shared" ca="1" si="123"/>
        <v>1.0637794125167868</v>
      </c>
    </row>
    <row r="443" spans="1:89">
      <c r="A443" s="219" t="s">
        <v>465</v>
      </c>
      <c r="B443" s="177">
        <v>932</v>
      </c>
      <c r="C443" s="178">
        <v>80</v>
      </c>
      <c r="D443" s="178"/>
      <c r="E443" s="178" t="s">
        <v>49</v>
      </c>
      <c r="F443" s="179" t="s">
        <v>67</v>
      </c>
      <c r="G443" s="223" t="s">
        <v>466</v>
      </c>
      <c r="H443" s="178" t="s">
        <v>42</v>
      </c>
      <c r="I443" s="178"/>
      <c r="J443" s="178"/>
      <c r="K443" s="178"/>
      <c r="L443" s="178" t="s">
        <v>59</v>
      </c>
      <c r="M443" s="178">
        <v>90</v>
      </c>
      <c r="N443" s="178"/>
      <c r="O443" s="178"/>
      <c r="P443" s="178"/>
      <c r="Q443" s="178"/>
      <c r="R443" s="178" t="s">
        <v>19</v>
      </c>
      <c r="S443" s="181"/>
      <c r="T443" s="181"/>
      <c r="U443" s="182"/>
      <c r="V443" s="182" t="s">
        <v>35</v>
      </c>
      <c r="W443" s="183">
        <v>25</v>
      </c>
      <c r="X443" s="182" t="s">
        <v>51</v>
      </c>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c r="BJ443" s="184"/>
      <c r="BK443" s="184"/>
      <c r="BL443" s="184">
        <v>2900</v>
      </c>
      <c r="BM443" s="184">
        <v>2900</v>
      </c>
      <c r="BN443" s="184">
        <v>2900</v>
      </c>
      <c r="BO443" s="184"/>
      <c r="BP443" s="184"/>
      <c r="BQ443" s="184"/>
      <c r="BR443" s="184"/>
      <c r="BS443" s="184"/>
      <c r="BT443" s="184"/>
      <c r="BU443" s="146" cm="1">
        <f t="array" ref="BU443">LOOKUP(2,1/(Y443:BT443&lt;&gt;""),Y443:BH443)</f>
        <v>2900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46174</v>
      </c>
      <c r="BW443" s="211" cm="1">
        <f t="array" ref="BW443">(LOOKUP(2,1/(BH443:BT443&lt;&gt;""),BH443:BT443))/(INDEX(BH443:BT443,MATCH(TRUE,INDEX((BH443:BT443&lt;&gt;0),0),0)))-1</f>
        <v>0</v>
      </c>
      <c r="BX443" s="212">
        <f>BU443/1000</f>
        <v>2.9</v>
      </c>
      <c r="BY443" s="212">
        <f>IF(X443="BRL",BX443,IF(X443="EUR",BX443*$CK$2,IF(X443="USD",BX443*$CK$1,IF(X443="CNY",BX443*$CM$1,IF(X443="RUB",BX443*$CM$2,"CRRY#")))))</f>
        <v>17.11</v>
      </c>
      <c r="BZ443" s="212">
        <f ca="1">IF(L443="BR",'Impostos e Frete'!$F$6,IF(L443="EU",'Impostos e Frete'!$I$3,IF(L443="CN",'Impostos e Frete'!$I$4,IF(L443="JP",'Impostos e Frete'!$I$5,IF(L443="RU",'Impostos e Frete'!$I$7,"ERRO")))))</f>
        <v>0.14176320000000001</v>
      </c>
      <c r="CA443" s="212">
        <f>VLOOKUP(L443,'Impostos e Frete'!$A$3:$B$7,2,0)*'Preços e Condições'!BY443</f>
        <v>2.2242999999999999</v>
      </c>
      <c r="CB443" s="147">
        <f>IF(R443="CFR",$CB$2,IF(R443="FOB",0,IF(R443="EXW",$CB$1,"ERRO")))</f>
        <v>0</v>
      </c>
      <c r="CC443" s="147">
        <f>IF(X443="BRL",'Impostos e Frete'!$B$11,'Impostos e Frete'!$B$12)</f>
        <v>9.1999999999999998E-2</v>
      </c>
      <c r="CD443" s="213">
        <f ca="1">SUM(BY443:CC443)</f>
        <v>19.568063199999997</v>
      </c>
      <c r="CE443" s="214">
        <f ca="1">IF(C443="","erro",(CD443/1000)*C443)</f>
        <v>1.5654450559999997</v>
      </c>
      <c r="CF443" s="215">
        <f>VLOOKUP(L443,'Impostos e Frete'!$A$3:$C$7,3,0)</f>
        <v>105</v>
      </c>
      <c r="CG443" s="215">
        <f>M443</f>
        <v>90</v>
      </c>
      <c r="CH443" s="215">
        <f>CG443-CF443</f>
        <v>-15</v>
      </c>
      <c r="CI443" s="216">
        <f ca="1">CD443*(1+VALUE($CI$2))^((CH443*-1)/30)-CD443</f>
        <v>0.14621421156601855</v>
      </c>
      <c r="CJ443" s="217">
        <f ca="1">CD443+CI443</f>
        <v>19.714277411566016</v>
      </c>
      <c r="CK443" s="218">
        <f ca="1">IF(C443="","erro",(CJ443/1000)*C443)</f>
        <v>1.5771421929252813</v>
      </c>
    </row>
    <row r="444" spans="1:89">
      <c r="A444" s="219" t="s">
        <v>465</v>
      </c>
      <c r="B444" s="177">
        <v>932</v>
      </c>
      <c r="C444" s="178">
        <v>80</v>
      </c>
      <c r="D444" s="178"/>
      <c r="E444" s="178" t="s">
        <v>49</v>
      </c>
      <c r="F444" s="179" t="s">
        <v>67</v>
      </c>
      <c r="G444" s="223" t="s">
        <v>466</v>
      </c>
      <c r="H444" s="178" t="s">
        <v>42</v>
      </c>
      <c r="I444" s="178"/>
      <c r="J444" s="178"/>
      <c r="K444" s="178"/>
      <c r="L444" s="178" t="s">
        <v>59</v>
      </c>
      <c r="M444" s="178">
        <v>90</v>
      </c>
      <c r="N444" s="178"/>
      <c r="O444" s="178"/>
      <c r="P444" s="178"/>
      <c r="Q444" s="178"/>
      <c r="R444" s="178" t="s">
        <v>19</v>
      </c>
      <c r="S444" s="181"/>
      <c r="T444" s="181"/>
      <c r="U444" s="182"/>
      <c r="V444" s="182" t="s">
        <v>35</v>
      </c>
      <c r="W444" s="183">
        <v>50</v>
      </c>
      <c r="X444" s="182" t="s">
        <v>51</v>
      </c>
      <c r="Y444" s="184"/>
      <c r="Z444" s="184"/>
      <c r="AA444" s="184"/>
      <c r="AB444" s="184"/>
      <c r="AC444" s="184"/>
      <c r="AD444" s="184"/>
      <c r="AE444" s="184"/>
      <c r="AF444" s="184"/>
      <c r="AG444" s="184"/>
      <c r="AH444" s="184"/>
      <c r="AI444" s="184"/>
      <c r="AJ444" s="184"/>
      <c r="AK444" s="184"/>
      <c r="AL444" s="184"/>
      <c r="AM444" s="184"/>
      <c r="AN444" s="184"/>
      <c r="AO444" s="184"/>
      <c r="AP444" s="184"/>
      <c r="AQ444" s="184"/>
      <c r="AR444" s="184"/>
      <c r="AS444" s="184"/>
      <c r="AT444" s="184"/>
      <c r="AU444" s="184"/>
      <c r="AV444" s="184"/>
      <c r="AW444" s="184"/>
      <c r="AX444" s="184"/>
      <c r="AY444" s="184"/>
      <c r="AZ444" s="184"/>
      <c r="BA444" s="184"/>
      <c r="BB444" s="184"/>
      <c r="BC444" s="184"/>
      <c r="BD444" s="184"/>
      <c r="BE444" s="184"/>
      <c r="BF444" s="184"/>
      <c r="BG444" s="184"/>
      <c r="BH444" s="184"/>
      <c r="BI444" s="184"/>
      <c r="BJ444" s="184"/>
      <c r="BK444" s="184"/>
      <c r="BL444" s="184">
        <v>2500</v>
      </c>
      <c r="BM444" s="184">
        <v>2500</v>
      </c>
      <c r="BN444" s="184">
        <v>2500</v>
      </c>
      <c r="BO444" s="184"/>
      <c r="BP444" s="184"/>
      <c r="BQ444" s="184"/>
      <c r="BR444" s="184"/>
      <c r="BS444" s="184"/>
      <c r="BT444" s="184"/>
      <c r="BU444" s="146" cm="1">
        <f t="array" ref="BU444">LOOKUP(2,1/(Y444:BT444&lt;&gt;""),Y444:BH444)</f>
        <v>2500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46174</v>
      </c>
      <c r="BW444" s="211" cm="1">
        <f t="array" ref="BW444">(LOOKUP(2,1/(BH444:BT444&lt;&gt;""),BH444:BT444))/(INDEX(BH444:BT444,MATCH(TRUE,INDEX((BH444:BT444&lt;&gt;0),0),0)))-1</f>
        <v>0</v>
      </c>
      <c r="BX444" s="212">
        <f>BU444/1000</f>
        <v>2.5</v>
      </c>
      <c r="BY444" s="212">
        <f>IF(X444="BRL",BX444,IF(X444="EUR",BX444*$CK$2,IF(X444="USD",BX444*$CK$1,IF(X444="CNY",BX444*$CM$1,IF(X444="RUB",BX444*$CM$2,"CRRY#")))))</f>
        <v>14.75</v>
      </c>
      <c r="BZ444" s="212">
        <f ca="1">IF(L444="BR",'Impostos e Frete'!$F$6,IF(L444="EU",'Impostos e Frete'!$I$3,IF(L444="CN",'Impostos e Frete'!$I$4,IF(L444="JP",'Impostos e Frete'!$I$5,IF(L444="RU",'Impostos e Frete'!$I$7,"ERRO")))))</f>
        <v>0.14176320000000001</v>
      </c>
      <c r="CA444" s="212">
        <f>VLOOKUP(L444,'Impostos e Frete'!$A$3:$B$7,2,0)*'Preços e Condições'!BY444</f>
        <v>1.9175</v>
      </c>
      <c r="CB444" s="147">
        <f>IF(R444="CFR",$CB$2,IF(R444="FOB",0,IF(R444="EXW",$CB$1,"ERRO")))</f>
        <v>0</v>
      </c>
      <c r="CC444" s="147">
        <f>IF(X444="BRL",'Impostos e Frete'!$B$11,'Impostos e Frete'!$B$12)</f>
        <v>9.1999999999999998E-2</v>
      </c>
      <c r="CD444" s="213">
        <f ca="1">SUM(BY444:CC444)</f>
        <v>16.901263199999999</v>
      </c>
      <c r="CE444" s="214">
        <f ca="1">IF(C444="","erro",(CD444/1000)*C444)</f>
        <v>1.352101056</v>
      </c>
      <c r="CF444" s="215">
        <f>VLOOKUP(L444,'Impostos e Frete'!$A$3:$C$7,3,0)</f>
        <v>105</v>
      </c>
      <c r="CG444" s="215">
        <f>M444</f>
        <v>90</v>
      </c>
      <c r="CH444" s="215">
        <f>CG444-CF444</f>
        <v>-15</v>
      </c>
      <c r="CI444" s="216">
        <f ca="1">CD444*(1+VALUE($CI$2))^((CH444*-1)/30)-CD444</f>
        <v>0.12628765800683794</v>
      </c>
      <c r="CJ444" s="217">
        <f ca="1">CD444+CI444</f>
        <v>17.027550858006837</v>
      </c>
      <c r="CK444" s="218">
        <f ca="1">IF(C444="","erro",(CJ444/1000)*C444)</f>
        <v>1.362204068640547</v>
      </c>
    </row>
    <row r="445" spans="1:89">
      <c r="A445" s="204">
        <v>7002370</v>
      </c>
      <c r="B445" s="186">
        <v>301</v>
      </c>
      <c r="C445" s="197">
        <v>65</v>
      </c>
      <c r="D445" s="197"/>
      <c r="E445" s="197" t="s">
        <v>50</v>
      </c>
      <c r="F445" s="179" t="s">
        <v>469</v>
      </c>
      <c r="G445" s="180" t="s">
        <v>339</v>
      </c>
      <c r="H445" s="178" t="s">
        <v>347</v>
      </c>
      <c r="I445" s="178">
        <v>301</v>
      </c>
      <c r="J445" s="178"/>
      <c r="K445" s="178"/>
      <c r="L445" s="178" t="s">
        <v>59</v>
      </c>
      <c r="M445" s="178">
        <v>60</v>
      </c>
      <c r="N445" s="178"/>
      <c r="O445" s="178"/>
      <c r="P445" s="178"/>
      <c r="Q445" s="178"/>
      <c r="R445" s="178" t="s">
        <v>19</v>
      </c>
      <c r="S445" s="181"/>
      <c r="T445" s="181"/>
      <c r="U445" s="182"/>
      <c r="V445" s="182" t="s">
        <v>35</v>
      </c>
      <c r="W445" s="183">
        <v>50</v>
      </c>
      <c r="X445" s="182" t="s">
        <v>51</v>
      </c>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3"/>
      <c r="BB445" s="203"/>
      <c r="BC445" s="203"/>
      <c r="BD445" s="203"/>
      <c r="BE445" s="203"/>
      <c r="BF445" s="203"/>
      <c r="BG445" s="203"/>
      <c r="BH445" s="203"/>
      <c r="BI445" s="184">
        <v>2080</v>
      </c>
      <c r="BJ445" s="184">
        <v>2080</v>
      </c>
      <c r="BK445" s="184">
        <v>2080</v>
      </c>
      <c r="BL445" s="203">
        <v>2160</v>
      </c>
      <c r="BM445" s="203">
        <v>2240</v>
      </c>
      <c r="BN445" s="203">
        <v>2240</v>
      </c>
      <c r="BO445" s="203"/>
      <c r="BP445" s="203"/>
      <c r="BQ445" s="203"/>
      <c r="BR445" s="203"/>
      <c r="BS445" s="203"/>
      <c r="BT445" s="203"/>
      <c r="BU445" s="146" cm="1">
        <f t="array" ref="BU445">LOOKUP(2,1/(Y445:BT445&lt;&gt;""),Y445:BH445)</f>
        <v>2240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46174</v>
      </c>
      <c r="BW445" s="211" cm="1">
        <f t="array" ref="BW445">(LOOKUP(2,1/(BH445:BT445&lt;&gt;""),BH445:BT445))/(INDEX(BH445:BT445,MATCH(TRUE,INDEX((BH445:BT445&lt;&gt;0),0),0)))-1</f>
        <v>7.6923076923076872E-2</v>
      </c>
      <c r="BX445" s="212">
        <f t="shared" si="115"/>
        <v>2.2400000000000002</v>
      </c>
      <c r="BY445" s="212">
        <f t="shared" si="111"/>
        <v>13.216000000000003</v>
      </c>
      <c r="BZ445" s="212">
        <f ca="1">IF(L445="BR",'Impostos e Frete'!$F$6,IF(L445="EU",'Impostos e Frete'!$I$3,IF(L445="CN",'Impostos e Frete'!$I$4,IF(L445="JP",'Impostos e Frete'!$I$5,IF(L445="RU",'Impostos e Frete'!$I$7,"ERRO")))))</f>
        <v>0.14176320000000001</v>
      </c>
      <c r="CA445" s="212">
        <f>VLOOKUP(L445,'Impostos e Frete'!$A$3:$B$7,2,0)*'Preços e Condições'!BY445</f>
        <v>1.7180800000000005</v>
      </c>
      <c r="CB445" s="147">
        <f t="shared" si="116"/>
        <v>0</v>
      </c>
      <c r="CC445" s="147">
        <f>IF(X445="BRL",'Impostos e Frete'!$B$11,'Impostos e Frete'!$B$12)</f>
        <v>9.1999999999999998E-2</v>
      </c>
      <c r="CD445" s="213">
        <f t="shared" ca="1" si="117"/>
        <v>15.167843200000004</v>
      </c>
      <c r="CE445" s="214">
        <f t="shared" ca="1" si="118"/>
        <v>0.98590980800000017</v>
      </c>
      <c r="CF445" s="215">
        <f>VLOOKUP(L445,'Impostos e Frete'!$A$3:$C$7,3,0)</f>
        <v>105</v>
      </c>
      <c r="CG445" s="215">
        <f t="shared" si="119"/>
        <v>60</v>
      </c>
      <c r="CH445" s="215">
        <f t="shared" si="120"/>
        <v>-45</v>
      </c>
      <c r="CI445" s="216">
        <f t="shared" ca="1" si="121"/>
        <v>0.34255307716626682</v>
      </c>
      <c r="CJ445" s="217">
        <f t="shared" ca="1" si="122"/>
        <v>15.51039627716627</v>
      </c>
      <c r="CK445" s="218">
        <f t="shared" ca="1" si="123"/>
        <v>1.0081757580158075</v>
      </c>
    </row>
    <row r="446" spans="1:89">
      <c r="A446" s="204">
        <v>7000448</v>
      </c>
      <c r="B446" s="186">
        <v>2638</v>
      </c>
      <c r="C446" s="197">
        <v>68</v>
      </c>
      <c r="D446" s="197"/>
      <c r="E446" s="197" t="s">
        <v>50</v>
      </c>
      <c r="F446" s="191" t="s">
        <v>1</v>
      </c>
      <c r="G446" s="192" t="s">
        <v>13</v>
      </c>
      <c r="H446" s="178" t="s">
        <v>42</v>
      </c>
      <c r="I446" s="178">
        <v>752</v>
      </c>
      <c r="J446" s="183"/>
      <c r="K446" s="183"/>
      <c r="L446" s="183" t="s">
        <v>58</v>
      </c>
      <c r="M446" s="183">
        <v>0</v>
      </c>
      <c r="N446" s="183"/>
      <c r="O446" s="183"/>
      <c r="P446" s="183">
        <v>3</v>
      </c>
      <c r="Q446" s="183" t="s">
        <v>27</v>
      </c>
      <c r="R446" s="183" t="s">
        <v>19</v>
      </c>
      <c r="S446" s="181">
        <v>0.12</v>
      </c>
      <c r="T446" s="181" t="s">
        <v>210</v>
      </c>
      <c r="U446" s="182">
        <v>9.2499999999999999E-2</v>
      </c>
      <c r="V446" s="182" t="s">
        <v>35</v>
      </c>
      <c r="W446" s="183">
        <v>50</v>
      </c>
      <c r="X446" s="182" t="s">
        <v>46</v>
      </c>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3"/>
      <c r="BB446" s="203"/>
      <c r="BC446" s="203"/>
      <c r="BD446" s="203"/>
      <c r="BE446" s="203"/>
      <c r="BF446" s="203"/>
      <c r="BG446" s="203"/>
      <c r="BH446" s="203"/>
      <c r="BI446" s="184">
        <v>17118</v>
      </c>
      <c r="BJ446" s="184">
        <v>17118</v>
      </c>
      <c r="BK446" s="184">
        <v>17118</v>
      </c>
      <c r="BL446" s="203">
        <v>18111</v>
      </c>
      <c r="BM446" s="203">
        <v>18111</v>
      </c>
      <c r="BN446" s="203">
        <v>18111</v>
      </c>
      <c r="BO446" s="203"/>
      <c r="BP446" s="203"/>
      <c r="BQ446" s="203"/>
      <c r="BR446" s="203"/>
      <c r="BS446" s="203"/>
      <c r="BT446" s="203"/>
      <c r="BU446" s="146" cm="1">
        <f t="array" ref="BU446">LOOKUP(2,1/(Y446:BT446&lt;&gt;""),Y446:BH446)</f>
        <v>18111</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46174</v>
      </c>
      <c r="BW446" s="211" cm="1">
        <f t="array" ref="BW446">(LOOKUP(2,1/(BH446:BT446&lt;&gt;""),BH446:BT446))/(INDEX(BH446:BT446,MATCH(TRUE,INDEX((BH446:BT446&lt;&gt;0),0),0)))-1</f>
        <v>5.8009113214160468E-2</v>
      </c>
      <c r="BX446" s="212">
        <f t="shared" si="115"/>
        <v>18.111000000000001</v>
      </c>
      <c r="BY446" s="212">
        <f t="shared" si="111"/>
        <v>18.111000000000001</v>
      </c>
      <c r="BZ446" s="212">
        <f>IF(L446="BR",'Impostos e Frete'!$F$6,IF(L446="EU",'Impostos e Frete'!$I$3,IF(L446="CN",'Impostos e Frete'!$I$4,IF(L446="JP",'Impostos e Frete'!$I$5,IF(L446="RU",'Impostos e Frete'!$I$7,"ERRO")))))</f>
        <v>0</v>
      </c>
      <c r="CA446" s="212">
        <f>VLOOKUP(L446,'Impostos e Frete'!$A$3:$B$7,2,0)*'Preços e Condições'!BY446</f>
        <v>0</v>
      </c>
      <c r="CB446" s="147">
        <f t="shared" si="116"/>
        <v>0</v>
      </c>
      <c r="CC446" s="147">
        <f>IF(X446="BRL",'Impostos e Frete'!$B$11,'Impostos e Frete'!$B$12)</f>
        <v>0.2</v>
      </c>
      <c r="CD446" s="213">
        <f t="shared" si="117"/>
        <v>18.311</v>
      </c>
      <c r="CE446" s="214">
        <f t="shared" si="118"/>
        <v>1.2451480000000001</v>
      </c>
      <c r="CF446" s="215">
        <f>VLOOKUP(L446,'Impostos e Frete'!$A$3:$C$7,3,0)</f>
        <v>45</v>
      </c>
      <c r="CG446" s="215">
        <f t="shared" si="119"/>
        <v>0</v>
      </c>
      <c r="CH446" s="215">
        <f t="shared" si="120"/>
        <v>-45</v>
      </c>
      <c r="CI446" s="216">
        <f t="shared" si="121"/>
        <v>0.41353864971332754</v>
      </c>
      <c r="CJ446" s="217">
        <f t="shared" si="122"/>
        <v>18.724538649713327</v>
      </c>
      <c r="CK446" s="218">
        <f t="shared" si="123"/>
        <v>1.2732686281805063</v>
      </c>
    </row>
    <row r="447" spans="1:89">
      <c r="A447" s="204">
        <v>7000457</v>
      </c>
      <c r="B447" s="186">
        <v>128</v>
      </c>
      <c r="C447" s="197">
        <v>65</v>
      </c>
      <c r="D447" s="197"/>
      <c r="E447" s="197" t="s">
        <v>50</v>
      </c>
      <c r="F447" s="179" t="s">
        <v>0</v>
      </c>
      <c r="G447" s="180" t="s">
        <v>72</v>
      </c>
      <c r="H447" s="178" t="s">
        <v>43</v>
      </c>
      <c r="I447" s="178"/>
      <c r="J447" s="178"/>
      <c r="K447" s="178"/>
      <c r="L447" s="178" t="s">
        <v>60</v>
      </c>
      <c r="M447" s="178">
        <v>90</v>
      </c>
      <c r="N447" s="178">
        <v>3300</v>
      </c>
      <c r="O447" s="178"/>
      <c r="P447" s="178"/>
      <c r="Q447" s="178"/>
      <c r="R447" s="178" t="s">
        <v>19</v>
      </c>
      <c r="S447" s="181"/>
      <c r="T447" s="181"/>
      <c r="U447" s="182"/>
      <c r="V447" s="182" t="s">
        <v>35</v>
      </c>
      <c r="W447" s="183">
        <v>100</v>
      </c>
      <c r="X447" s="182" t="s">
        <v>267</v>
      </c>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3"/>
      <c r="BB447" s="203"/>
      <c r="BC447" s="203"/>
      <c r="BD447" s="203"/>
      <c r="BE447" s="203"/>
      <c r="BF447" s="203"/>
      <c r="BG447" s="203"/>
      <c r="BH447" s="203"/>
      <c r="BI447" s="184">
        <v>10950</v>
      </c>
      <c r="BJ447" s="184">
        <v>10950</v>
      </c>
      <c r="BK447" s="184">
        <v>10950</v>
      </c>
      <c r="BL447" s="184">
        <v>10950</v>
      </c>
      <c r="BM447" s="184">
        <v>10950</v>
      </c>
      <c r="BN447" s="184">
        <v>10950</v>
      </c>
      <c r="BO447" s="203"/>
      <c r="BP447" s="203"/>
      <c r="BQ447" s="203"/>
      <c r="BR447" s="203"/>
      <c r="BS447" s="203"/>
      <c r="BT447" s="203"/>
      <c r="BU447" s="146" cm="1">
        <f t="array" ref="BU447">LOOKUP(2,1/(Y447:BT447&lt;&gt;""),Y447:BH447)</f>
        <v>10950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46174</v>
      </c>
      <c r="BW447" s="211" cm="1">
        <f t="array" ref="BW447">(LOOKUP(2,1/(BH447:BT447&lt;&gt;""),BH447:BT447))/(INDEX(BH447:BT447,MATCH(TRUE,INDEX((BH447:BT447&lt;&gt;0),0),0)))-1</f>
        <v>0</v>
      </c>
      <c r="BX447" s="212">
        <f t="shared" si="115"/>
        <v>10.95</v>
      </c>
      <c r="BY447" s="212">
        <f t="shared" si="111"/>
        <v>8.2124999999999986</v>
      </c>
      <c r="BZ447" s="212">
        <f ca="1">IF(L447="BR",'Impostos e Frete'!$F$6,IF(L447="EU",'Impostos e Frete'!$I$3,IF(L447="CN",'Impostos e Frete'!$I$4,IF(L447="JP",'Impostos e Frete'!$I$5,IF(L447="RU",'Impostos e Frete'!$I$7,"ERRO")))))</f>
        <v>1.11958</v>
      </c>
      <c r="CA447" s="212">
        <f>VLOOKUP(L447,'Impostos e Frete'!$A$3:$B$7,2,0)*'Preços e Condições'!BY447</f>
        <v>1.1497499999999998</v>
      </c>
      <c r="CB447" s="147">
        <f t="shared" si="116"/>
        <v>0</v>
      </c>
      <c r="CC447" s="147">
        <f>IF(X447="BRL",'Impostos e Frete'!$B$11,'Impostos e Frete'!$B$12)</f>
        <v>9.1999999999999998E-2</v>
      </c>
      <c r="CD447" s="213">
        <f t="shared" ca="1" si="117"/>
        <v>10.573829999999997</v>
      </c>
      <c r="CE447" s="214">
        <f t="shared" ca="1" si="118"/>
        <v>0.68729894999999985</v>
      </c>
      <c r="CF447" s="215">
        <f>VLOOKUP(L447,'Impostos e Frete'!$A$3:$C$7,3,0)</f>
        <v>120</v>
      </c>
      <c r="CG447" s="215">
        <f t="shared" si="119"/>
        <v>90</v>
      </c>
      <c r="CH447" s="215">
        <f t="shared" si="120"/>
        <v>-30</v>
      </c>
      <c r="CI447" s="216">
        <f t="shared" ca="1" si="121"/>
        <v>0.1586074499999981</v>
      </c>
      <c r="CJ447" s="217">
        <f t="shared" ca="1" si="122"/>
        <v>10.732437449999995</v>
      </c>
      <c r="CK447" s="218">
        <f t="shared" ca="1" si="123"/>
        <v>0.69760843424999963</v>
      </c>
    </row>
    <row r="448" spans="1:89">
      <c r="A448" s="204">
        <v>7002384</v>
      </c>
      <c r="B448" s="186" t="s">
        <v>374</v>
      </c>
      <c r="C448" s="197">
        <v>65</v>
      </c>
      <c r="D448" s="197"/>
      <c r="E448" s="197" t="s">
        <v>50</v>
      </c>
      <c r="F448" s="179" t="s">
        <v>0</v>
      </c>
      <c r="G448" s="180" t="s">
        <v>307</v>
      </c>
      <c r="H448" s="178" t="s">
        <v>43</v>
      </c>
      <c r="I448" s="178"/>
      <c r="J448" s="178"/>
      <c r="K448" s="178"/>
      <c r="L448" s="178" t="s">
        <v>60</v>
      </c>
      <c r="M448" s="178">
        <v>90</v>
      </c>
      <c r="N448" s="178">
        <v>3300</v>
      </c>
      <c r="O448" s="178"/>
      <c r="P448" s="178"/>
      <c r="Q448" s="178"/>
      <c r="R448" s="178" t="s">
        <v>19</v>
      </c>
      <c r="S448" s="181"/>
      <c r="T448" s="181"/>
      <c r="U448" s="182"/>
      <c r="V448" s="182" t="s">
        <v>35</v>
      </c>
      <c r="W448" s="183">
        <v>100</v>
      </c>
      <c r="X448" s="182" t="s">
        <v>267</v>
      </c>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3"/>
      <c r="BB448" s="203"/>
      <c r="BC448" s="203"/>
      <c r="BD448" s="203"/>
      <c r="BE448" s="203"/>
      <c r="BF448" s="203"/>
      <c r="BG448" s="203"/>
      <c r="BH448" s="203"/>
      <c r="BI448" s="184">
        <v>10950</v>
      </c>
      <c r="BJ448" s="184">
        <v>10950</v>
      </c>
      <c r="BK448" s="184">
        <v>10950</v>
      </c>
      <c r="BL448" s="184">
        <v>10950</v>
      </c>
      <c r="BM448" s="184">
        <v>10950</v>
      </c>
      <c r="BN448" s="184">
        <v>10950</v>
      </c>
      <c r="BO448" s="203"/>
      <c r="BP448" s="203"/>
      <c r="BQ448" s="203"/>
      <c r="BR448" s="203"/>
      <c r="BS448" s="203"/>
      <c r="BT448" s="203"/>
      <c r="BU448" s="146" cm="1">
        <f t="array" ref="BU448">LOOKUP(2,1/(Y448:BT448&lt;&gt;""),Y448:BH448)</f>
        <v>10950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11" cm="1">
        <f t="array" ref="BW448">(LOOKUP(2,1/(BH448:BT448&lt;&gt;""),BH448:BT448))/(INDEX(BH448:BT448,MATCH(TRUE,INDEX((BH448:BT448&lt;&gt;0),0),0)))-1</f>
        <v>0</v>
      </c>
      <c r="BX448" s="212">
        <f t="shared" si="115"/>
        <v>10.95</v>
      </c>
      <c r="BY448" s="212">
        <f t="shared" si="111"/>
        <v>8.2124999999999986</v>
      </c>
      <c r="BZ448" s="212">
        <f ca="1">IF(L448="BR",'Impostos e Frete'!$F$6,IF(L448="EU",'Impostos e Frete'!$I$3,IF(L448="CN",'Impostos e Frete'!$I$4,IF(L448="JP",'Impostos e Frete'!$I$5,IF(L448="RU",'Impostos e Frete'!$I$7,"ERRO")))))</f>
        <v>1.11958</v>
      </c>
      <c r="CA448" s="212">
        <f>VLOOKUP(L448,'Impostos e Frete'!$A$3:$B$7,2,0)*'Preços e Condições'!BY448</f>
        <v>1.1497499999999998</v>
      </c>
      <c r="CB448" s="147">
        <f t="shared" si="116"/>
        <v>0</v>
      </c>
      <c r="CC448" s="147">
        <f>IF(X448="BRL",'Impostos e Frete'!$B$11,'Impostos e Frete'!$B$12)</f>
        <v>9.1999999999999998E-2</v>
      </c>
      <c r="CD448" s="213">
        <f t="shared" ca="1" si="117"/>
        <v>10.573829999999997</v>
      </c>
      <c r="CE448" s="214">
        <f t="shared" ca="1" si="118"/>
        <v>0.68729894999999985</v>
      </c>
      <c r="CF448" s="215">
        <f>VLOOKUP(L448,'Impostos e Frete'!$A$3:$C$7,3,0)</f>
        <v>120</v>
      </c>
      <c r="CG448" s="215">
        <f t="shared" si="119"/>
        <v>90</v>
      </c>
      <c r="CH448" s="215">
        <f t="shared" si="120"/>
        <v>-30</v>
      </c>
      <c r="CI448" s="216">
        <f t="shared" ca="1" si="121"/>
        <v>0.1586074499999981</v>
      </c>
      <c r="CJ448" s="217">
        <f t="shared" ca="1" si="122"/>
        <v>10.732437449999995</v>
      </c>
      <c r="CK448" s="218">
        <f t="shared" ca="1" si="123"/>
        <v>0.69760843424999963</v>
      </c>
    </row>
    <row r="449" spans="1:89">
      <c r="A449" s="204">
        <v>7000458</v>
      </c>
      <c r="B449" s="186" t="s">
        <v>374</v>
      </c>
      <c r="C449" s="197">
        <v>65</v>
      </c>
      <c r="D449" s="197"/>
      <c r="E449" s="178" t="s">
        <v>50</v>
      </c>
      <c r="F449" s="179" t="s">
        <v>108</v>
      </c>
      <c r="G449" s="189" t="s">
        <v>115</v>
      </c>
      <c r="H449" s="178" t="s">
        <v>43</v>
      </c>
      <c r="I449" s="178" t="s">
        <v>119</v>
      </c>
      <c r="J449" s="178"/>
      <c r="K449" s="178"/>
      <c r="L449" s="178" t="s">
        <v>59</v>
      </c>
      <c r="M449" s="178">
        <v>30</v>
      </c>
      <c r="N449" s="178">
        <v>500</v>
      </c>
      <c r="O449" s="178"/>
      <c r="P449" s="178"/>
      <c r="Q449" s="178"/>
      <c r="R449" s="178" t="s">
        <v>19</v>
      </c>
      <c r="S449" s="181"/>
      <c r="T449" s="181"/>
      <c r="U449" s="182"/>
      <c r="V449" s="182" t="s">
        <v>35</v>
      </c>
      <c r="W449" s="183">
        <v>80</v>
      </c>
      <c r="X449" s="182" t="s">
        <v>51</v>
      </c>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3"/>
      <c r="BB449" s="203"/>
      <c r="BC449" s="203"/>
      <c r="BD449" s="203"/>
      <c r="BE449" s="203"/>
      <c r="BF449" s="203"/>
      <c r="BG449" s="203"/>
      <c r="BH449" s="203"/>
      <c r="BI449" s="184">
        <v>1990</v>
      </c>
      <c r="BJ449" s="184">
        <v>1990</v>
      </c>
      <c r="BK449" s="184">
        <v>1990</v>
      </c>
      <c r="BL449" s="184">
        <v>1960</v>
      </c>
      <c r="BM449" s="184">
        <v>1960</v>
      </c>
      <c r="BN449" s="184">
        <v>1960</v>
      </c>
      <c r="BO449" s="203">
        <v>2040</v>
      </c>
      <c r="BP449" s="203">
        <v>2040</v>
      </c>
      <c r="BQ449" s="203">
        <v>2040</v>
      </c>
      <c r="BR449" s="203"/>
      <c r="BS449" s="203"/>
      <c r="BT449" s="203"/>
      <c r="BU449" s="146" cm="1">
        <f t="array" ref="BU449">LOOKUP(2,1/(Y449:BT449&lt;&gt;""),Y449:BH449)</f>
        <v>2040</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46199</v>
      </c>
      <c r="BW449" s="211" cm="1">
        <f t="array" ref="BW449">(LOOKUP(2,1/(BH449:BT449&lt;&gt;""),BH449:BT449))/(INDEX(BH449:BT449,MATCH(TRUE,INDEX((BH449:BT449&lt;&gt;0),0),0)))-1</f>
        <v>2.5125628140703515E-2</v>
      </c>
      <c r="BX449" s="212">
        <f t="shared" si="115"/>
        <v>2.04</v>
      </c>
      <c r="BY449" s="212">
        <f t="shared" si="111"/>
        <v>12.036000000000001</v>
      </c>
      <c r="BZ449" s="212">
        <f ca="1">IF(L449="BR",'Impostos e Frete'!$F$6,IF(L449="EU",'Impostos e Frete'!$I$3,IF(L449="CN",'Impostos e Frete'!$I$4,IF(L449="JP",'Impostos e Frete'!$I$5,IF(L449="RU",'Impostos e Frete'!$I$7,"ERRO")))))</f>
        <v>0.14176320000000001</v>
      </c>
      <c r="CA449" s="212">
        <f>VLOOKUP(L449,'Impostos e Frete'!$A$3:$B$7,2,0)*'Preços e Condições'!BY449</f>
        <v>1.5646800000000003</v>
      </c>
      <c r="CB449" s="147">
        <f t="shared" si="116"/>
        <v>0</v>
      </c>
      <c r="CC449" s="147">
        <f>IF(X449="BRL",'Impostos e Frete'!$B$11,'Impostos e Frete'!$B$12)</f>
        <v>9.1999999999999998E-2</v>
      </c>
      <c r="CD449" s="213">
        <f t="shared" ca="1" si="117"/>
        <v>13.834443200000003</v>
      </c>
      <c r="CE449" s="214">
        <f t="shared" ca="1" si="118"/>
        <v>0.89923880800000022</v>
      </c>
      <c r="CF449" s="215">
        <f>VLOOKUP(L449,'Impostos e Frete'!$A$3:$C$7,3,0)</f>
        <v>105</v>
      </c>
      <c r="CG449" s="215">
        <f t="shared" si="119"/>
        <v>30</v>
      </c>
      <c r="CH449" s="215">
        <f t="shared" si="120"/>
        <v>-75</v>
      </c>
      <c r="CI449" s="216">
        <f t="shared" ca="1" si="121"/>
        <v>0.52464258950350562</v>
      </c>
      <c r="CJ449" s="217">
        <f t="shared" ca="1" si="122"/>
        <v>14.359085789503508</v>
      </c>
      <c r="CK449" s="218">
        <f t="shared" ca="1" si="123"/>
        <v>0.93334057631772804</v>
      </c>
    </row>
    <row r="450" spans="1:89">
      <c r="A450" s="204">
        <v>2037349</v>
      </c>
      <c r="B450" s="186">
        <v>248</v>
      </c>
      <c r="C450" s="197">
        <v>65</v>
      </c>
      <c r="D450" s="197"/>
      <c r="E450" s="178" t="s">
        <v>50</v>
      </c>
      <c r="F450" s="179" t="s">
        <v>108</v>
      </c>
      <c r="G450" s="189" t="s">
        <v>109</v>
      </c>
      <c r="H450" s="178" t="s">
        <v>63</v>
      </c>
      <c r="I450" s="178" t="s">
        <v>112</v>
      </c>
      <c r="J450" s="178"/>
      <c r="K450" s="178"/>
      <c r="L450" s="178" t="s">
        <v>59</v>
      </c>
      <c r="M450" s="178">
        <v>30</v>
      </c>
      <c r="N450" s="178">
        <v>500</v>
      </c>
      <c r="O450" s="178"/>
      <c r="P450" s="178"/>
      <c r="Q450" s="178"/>
      <c r="R450" s="178" t="s">
        <v>19</v>
      </c>
      <c r="S450" s="181"/>
      <c r="T450" s="181"/>
      <c r="U450" s="182"/>
      <c r="V450" s="182" t="s">
        <v>35</v>
      </c>
      <c r="W450" s="183">
        <v>80</v>
      </c>
      <c r="X450" s="182" t="s">
        <v>51</v>
      </c>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3"/>
      <c r="BB450" s="203"/>
      <c r="BC450" s="203"/>
      <c r="BD450" s="203"/>
      <c r="BE450" s="203"/>
      <c r="BF450" s="203"/>
      <c r="BG450" s="203"/>
      <c r="BH450" s="203"/>
      <c r="BI450" s="184">
        <v>2480</v>
      </c>
      <c r="BJ450" s="184">
        <v>2480</v>
      </c>
      <c r="BK450" s="184">
        <v>2480</v>
      </c>
      <c r="BL450" s="184">
        <v>2450</v>
      </c>
      <c r="BM450" s="184">
        <v>2450</v>
      </c>
      <c r="BN450" s="184">
        <v>2450</v>
      </c>
      <c r="BO450" s="203">
        <v>2530</v>
      </c>
      <c r="BP450" s="203">
        <v>2530</v>
      </c>
      <c r="BQ450" s="203">
        <v>2530</v>
      </c>
      <c r="BR450" s="203"/>
      <c r="BS450" s="203"/>
      <c r="BT450" s="203"/>
      <c r="BU450" s="146" cm="1">
        <f t="array" ref="BU450">LOOKUP(2,1/(Y450:BT450&lt;&gt;""),Y450:BH450)</f>
        <v>2530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46199</v>
      </c>
      <c r="BW450" s="211" cm="1">
        <f t="array" ref="BW450">(LOOKUP(2,1/(BH450:BT450&lt;&gt;""),BH450:BT450))/(INDEX(BH450:BT450,MATCH(TRUE,INDEX((BH450:BT450&lt;&gt;0),0),0)))-1</f>
        <v>2.0161290322580738E-2</v>
      </c>
      <c r="BX450" s="212">
        <f t="shared" si="115"/>
        <v>2.5299999999999998</v>
      </c>
      <c r="BY450" s="212">
        <f t="shared" si="111"/>
        <v>14.927</v>
      </c>
      <c r="BZ450" s="212">
        <f ca="1">IF(L450="BR",'Impostos e Frete'!$F$6,IF(L450="EU",'Impostos e Frete'!$I$3,IF(L450="CN",'Impostos e Frete'!$I$4,IF(L450="JP",'Impostos e Frete'!$I$5,IF(L450="RU",'Impostos e Frete'!$I$7,"ERRO")))))</f>
        <v>0.14176320000000001</v>
      </c>
      <c r="CA450" s="212">
        <f>VLOOKUP(L450,'Impostos e Frete'!$A$3:$B$7,2,0)*'Preços e Condições'!BY450</f>
        <v>1.94051</v>
      </c>
      <c r="CB450" s="147">
        <f t="shared" si="116"/>
        <v>0</v>
      </c>
      <c r="CC450" s="147">
        <f>IF(X450="BRL",'Impostos e Frete'!$B$11,'Impostos e Frete'!$B$12)</f>
        <v>9.1999999999999998E-2</v>
      </c>
      <c r="CD450" s="213">
        <f t="shared" ca="1" si="117"/>
        <v>17.101273199999998</v>
      </c>
      <c r="CE450" s="214">
        <f t="shared" ca="1" si="118"/>
        <v>1.1115827579999999</v>
      </c>
      <c r="CF450" s="215">
        <f>VLOOKUP(L450,'Impostos e Frete'!$A$3:$C$7,3,0)</f>
        <v>105</v>
      </c>
      <c r="CG450" s="215">
        <f t="shared" si="119"/>
        <v>30</v>
      </c>
      <c r="CH450" s="215">
        <f t="shared" si="120"/>
        <v>-75</v>
      </c>
      <c r="CI450" s="216">
        <f t="shared" ca="1" si="121"/>
        <v>0.64853034746312943</v>
      </c>
      <c r="CJ450" s="217">
        <f t="shared" ca="1" si="122"/>
        <v>17.749803547463127</v>
      </c>
      <c r="CK450" s="218">
        <f t="shared" ca="1" si="123"/>
        <v>1.1537372305851032</v>
      </c>
    </row>
    <row r="451" spans="1:89">
      <c r="A451" s="204">
        <v>7002372</v>
      </c>
      <c r="B451" s="186">
        <v>248</v>
      </c>
      <c r="C451" s="197">
        <v>65</v>
      </c>
      <c r="D451" s="197"/>
      <c r="E451" s="178" t="s">
        <v>50</v>
      </c>
      <c r="F451" s="179" t="s">
        <v>3</v>
      </c>
      <c r="G451" s="180" t="s">
        <v>107</v>
      </c>
      <c r="H451" s="178" t="s">
        <v>63</v>
      </c>
      <c r="I451" s="178" t="s">
        <v>106</v>
      </c>
      <c r="J451" s="178"/>
      <c r="K451" s="178"/>
      <c r="L451" s="178" t="s">
        <v>60</v>
      </c>
      <c r="M451" s="178">
        <v>90</v>
      </c>
      <c r="N451" s="178">
        <v>400</v>
      </c>
      <c r="O451" s="178"/>
      <c r="P451" s="178">
        <v>90</v>
      </c>
      <c r="Q451" s="178"/>
      <c r="R451" s="178" t="s">
        <v>19</v>
      </c>
      <c r="S451" s="181"/>
      <c r="T451" s="181"/>
      <c r="U451" s="182"/>
      <c r="V451" s="182" t="s">
        <v>35</v>
      </c>
      <c r="W451" s="183">
        <v>100</v>
      </c>
      <c r="X451" s="182" t="s">
        <v>267</v>
      </c>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3"/>
      <c r="BB451" s="203"/>
      <c r="BC451" s="203"/>
      <c r="BD451" s="203"/>
      <c r="BE451" s="203"/>
      <c r="BF451" s="203"/>
      <c r="BG451" s="203"/>
      <c r="BH451" s="203"/>
      <c r="BI451" s="184">
        <v>12300</v>
      </c>
      <c r="BJ451" s="184">
        <v>12300</v>
      </c>
      <c r="BK451" s="184">
        <v>12300</v>
      </c>
      <c r="BL451" s="184">
        <v>12300</v>
      </c>
      <c r="BM451" s="184">
        <v>12300</v>
      </c>
      <c r="BN451" s="184">
        <v>12300</v>
      </c>
      <c r="BO451" s="203"/>
      <c r="BP451" s="203"/>
      <c r="BQ451" s="203"/>
      <c r="BR451" s="203"/>
      <c r="BS451" s="203"/>
      <c r="BT451" s="203"/>
      <c r="BU451" s="146" cm="1">
        <f t="array" ref="BU451">LOOKUP(2,1/(Y451:BT451&lt;&gt;""),Y451:BH451)</f>
        <v>12300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46174</v>
      </c>
      <c r="BW451" s="211" cm="1">
        <f t="array" ref="BW451">(LOOKUP(2,1/(BH451:BT451&lt;&gt;""),BH451:BT451))/(INDEX(BH451:BT451,MATCH(TRUE,INDEX((BH451:BT451&lt;&gt;0),0),0)))-1</f>
        <v>0</v>
      </c>
      <c r="BX451" s="212">
        <f t="shared" si="115"/>
        <v>12.3</v>
      </c>
      <c r="BY451" s="212">
        <f t="shared" si="111"/>
        <v>9.2250000000000014</v>
      </c>
      <c r="BZ451" s="212">
        <f ca="1">IF(L451="BR",'Impostos e Frete'!$F$6,IF(L451="EU",'Impostos e Frete'!$I$3,IF(L451="CN",'Impostos e Frete'!$I$4,IF(L451="JP",'Impostos e Frete'!$I$5,IF(L451="RU",'Impostos e Frete'!$I$7,"ERRO")))))</f>
        <v>1.11958</v>
      </c>
      <c r="CA451" s="212">
        <f>VLOOKUP(L451,'Impostos e Frete'!$A$3:$B$7,2,0)*'Preços e Condições'!BY451</f>
        <v>1.2915000000000003</v>
      </c>
      <c r="CB451" s="147">
        <f t="shared" si="116"/>
        <v>0</v>
      </c>
      <c r="CC451" s="147">
        <f>IF(X451="BRL",'Impostos e Frete'!$B$11,'Impostos e Frete'!$B$12)</f>
        <v>9.1999999999999998E-2</v>
      </c>
      <c r="CD451" s="213">
        <f ca="1">SUM(BY451:CC451)</f>
        <v>11.728080000000002</v>
      </c>
      <c r="CE451" s="214">
        <f t="shared" ca="1" si="118"/>
        <v>0.76232520000000015</v>
      </c>
      <c r="CF451" s="215">
        <f>VLOOKUP(L451,'Impostos e Frete'!$A$3:$C$7,3,0)</f>
        <v>120</v>
      </c>
      <c r="CG451" s="215">
        <f t="shared" si="119"/>
        <v>90</v>
      </c>
      <c r="CH451" s="215">
        <f t="shared" si="120"/>
        <v>-30</v>
      </c>
      <c r="CI451" s="216">
        <f t="shared" ca="1" si="121"/>
        <v>0.17592119999999944</v>
      </c>
      <c r="CJ451" s="217">
        <f ca="1">CD451+CI451</f>
        <v>11.904001200000002</v>
      </c>
      <c r="CK451" s="218">
        <f t="shared" ca="1" si="123"/>
        <v>0.77376007800000013</v>
      </c>
    </row>
    <row r="452" spans="1:89">
      <c r="A452" s="204" t="s">
        <v>462</v>
      </c>
      <c r="B452" s="186">
        <v>247</v>
      </c>
      <c r="C452" s="197">
        <v>70</v>
      </c>
      <c r="D452" s="197">
        <v>1870</v>
      </c>
      <c r="E452" s="178" t="s">
        <v>50</v>
      </c>
      <c r="F452" s="179" t="s">
        <v>0</v>
      </c>
      <c r="G452" s="180" t="s">
        <v>463</v>
      </c>
      <c r="H452" s="178" t="s">
        <v>63</v>
      </c>
      <c r="I452" s="178"/>
      <c r="J452" s="178"/>
      <c r="K452" s="178"/>
      <c r="L452" s="178" t="s">
        <v>60</v>
      </c>
      <c r="M452" s="178">
        <v>90</v>
      </c>
      <c r="N452" s="178">
        <v>3300</v>
      </c>
      <c r="O452" s="178"/>
      <c r="P452" s="178"/>
      <c r="Q452" s="178"/>
      <c r="R452" s="178" t="s">
        <v>19</v>
      </c>
      <c r="S452" s="181"/>
      <c r="T452" s="181"/>
      <c r="U452" s="182"/>
      <c r="V452" s="182" t="s">
        <v>35</v>
      </c>
      <c r="W452" s="183">
        <v>100</v>
      </c>
      <c r="X452" s="182" t="s">
        <v>267</v>
      </c>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3"/>
      <c r="BB452" s="203"/>
      <c r="BC452" s="203"/>
      <c r="BD452" s="203"/>
      <c r="BE452" s="184"/>
      <c r="BF452" s="203"/>
      <c r="BG452" s="203"/>
      <c r="BH452" s="203"/>
      <c r="BI452" s="203"/>
      <c r="BJ452" s="203"/>
      <c r="BK452" s="203"/>
      <c r="BL452" s="203"/>
      <c r="BM452" s="203">
        <v>8500</v>
      </c>
      <c r="BN452" s="203"/>
      <c r="BO452" s="203"/>
      <c r="BP452" s="203"/>
      <c r="BQ452" s="203"/>
      <c r="BR452" s="203"/>
      <c r="BS452" s="203"/>
      <c r="BT452" s="203"/>
      <c r="BU452" s="146" cm="1">
        <f t="array" ref="BU452">LOOKUP(2,1/(Y452:BT452&lt;&gt;""),Y452:BH452)</f>
        <v>8500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46143</v>
      </c>
      <c r="BW452" s="211" cm="1">
        <f t="array" ref="BW452">(LOOKUP(2,1/(BH452:BT452&lt;&gt;""),BH452:BT452))/(INDEX(BH452:BT452,MATCH(TRUE,INDEX((BH452:BT452&lt;&gt;0),0),0)))-1</f>
        <v>0</v>
      </c>
      <c r="BX452" s="212">
        <f t="shared" ref="BX452" si="201">BU452/1000</f>
        <v>8.5</v>
      </c>
      <c r="BY452" s="212">
        <f t="shared" ref="BY452" si="202">IF(X452="BRL",BX452,IF(X452="EUR",BX452*$CK$2,IF(X452="USD",BX452*$CK$1,IF(X452="CNY",BX452*$CM$1,IF(X452="RUB",BX452*$CM$2,"CRRY#")))))</f>
        <v>6.375</v>
      </c>
      <c r="BZ452" s="212">
        <f ca="1">IF(L452="BR",'Impostos e Frete'!$F$6,IF(L452="EU",'Impostos e Frete'!$I$3,IF(L452="CN",'Impostos e Frete'!$I$4,IF(L452="JP",'Impostos e Frete'!$I$5,IF(L452="RU",'Impostos e Frete'!$I$7,"ERRO")))))</f>
        <v>1.11958</v>
      </c>
      <c r="CA452" s="212">
        <f>VLOOKUP(L452,'Impostos e Frete'!$A$3:$B$7,2,0)*'Preços e Condições'!BY452</f>
        <v>0.89250000000000007</v>
      </c>
      <c r="CB452" s="147">
        <f t="shared" ref="CB452" si="203">IF(R452="CFR",$CB$2,IF(R452="FOB",0,IF(R452="EXW",$CB$1,"ERRO")))</f>
        <v>0</v>
      </c>
      <c r="CC452" s="147">
        <f>IF(X452="BRL",'Impostos e Frete'!$B$11,'Impostos e Frete'!$B$12)</f>
        <v>9.1999999999999998E-2</v>
      </c>
      <c r="CD452" s="213">
        <f t="shared" ref="CD452" ca="1" si="204">SUM(BY452:CC452)</f>
        <v>8.4790800000000015</v>
      </c>
      <c r="CE452" s="214">
        <f t="shared" ref="CE452" ca="1" si="205">IF(C452="","erro",(CD452/1000)*C452)</f>
        <v>0.59353560000000016</v>
      </c>
      <c r="CF452" s="215">
        <f>VLOOKUP(L452,'Impostos e Frete'!$A$3:$C$7,3,0)</f>
        <v>120</v>
      </c>
      <c r="CG452" s="215">
        <f t="shared" ref="CG452" si="206">M452</f>
        <v>90</v>
      </c>
      <c r="CH452" s="215">
        <f t="shared" ref="CH452" si="207">CG452-CF452</f>
        <v>-30</v>
      </c>
      <c r="CI452" s="216">
        <f t="shared" ref="CI452" ca="1" si="208">CD452*(1+VALUE($CI$2))^((CH452*-1)/30)-CD452</f>
        <v>0.12718619999999881</v>
      </c>
      <c r="CJ452" s="217">
        <f t="shared" ref="CJ452" ca="1" si="209">CD452+CI452</f>
        <v>8.6062662000000003</v>
      </c>
      <c r="CK452" s="218">
        <f t="shared" ref="CK452" ca="1" si="210">IF(C452="","erro",(CJ452/1000)*C452)</f>
        <v>0.60243863400000008</v>
      </c>
    </row>
    <row r="453" spans="1:89">
      <c r="A453" s="204">
        <v>7000443</v>
      </c>
      <c r="B453" s="186">
        <v>248</v>
      </c>
      <c r="C453" s="197">
        <v>65</v>
      </c>
      <c r="D453" s="197"/>
      <c r="E453" s="178" t="s">
        <v>50</v>
      </c>
      <c r="F453" s="179" t="s">
        <v>0</v>
      </c>
      <c r="G453" s="180" t="s">
        <v>244</v>
      </c>
      <c r="H453" s="178" t="s">
        <v>63</v>
      </c>
      <c r="I453" s="178"/>
      <c r="J453" s="178"/>
      <c r="K453" s="178"/>
      <c r="L453" s="178" t="s">
        <v>60</v>
      </c>
      <c r="M453" s="178">
        <v>90</v>
      </c>
      <c r="N453" s="178">
        <v>400</v>
      </c>
      <c r="O453" s="178"/>
      <c r="P453" s="178"/>
      <c r="Q453" s="178"/>
      <c r="R453" s="178" t="s">
        <v>19</v>
      </c>
      <c r="S453" s="181"/>
      <c r="T453" s="181"/>
      <c r="U453" s="182"/>
      <c r="V453" s="182" t="s">
        <v>35</v>
      </c>
      <c r="W453" s="183">
        <v>100</v>
      </c>
      <c r="X453" s="182" t="s">
        <v>51</v>
      </c>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3"/>
      <c r="BB453" s="203"/>
      <c r="BC453" s="203"/>
      <c r="BD453" s="203"/>
      <c r="BE453" s="184">
        <v>1800</v>
      </c>
      <c r="BF453" s="203"/>
      <c r="BG453" s="203"/>
      <c r="BH453" s="203"/>
      <c r="BI453" s="203"/>
      <c r="BJ453" s="203"/>
      <c r="BK453" s="203"/>
      <c r="BL453" s="203"/>
      <c r="BM453" s="203"/>
      <c r="BN453" s="203"/>
      <c r="BO453" s="203"/>
      <c r="BP453" s="203"/>
      <c r="BQ453" s="203"/>
      <c r="BR453" s="203"/>
      <c r="BS453" s="203"/>
      <c r="BT453" s="203"/>
      <c r="BU453" s="146" cm="1">
        <f t="array" ref="BU453">LOOKUP(2,1/(Y453:BT453&lt;&gt;""),Y453:BH453)</f>
        <v>1800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45901</v>
      </c>
      <c r="BW453" s="211" t="e" cm="1">
        <f t="array" ref="BW453">(LOOKUP(2,1/(BH453:BT453&lt;&gt;""),BH453:BT453))/(INDEX(BH453:BT453,MATCH(TRUE,INDEX((BH453:BT453&lt;&gt;0),0),0)))-1</f>
        <v>#N/A</v>
      </c>
      <c r="BX453" s="212">
        <f t="shared" si="115"/>
        <v>1.8</v>
      </c>
      <c r="BY453" s="212">
        <f t="shared" si="111"/>
        <v>10.620000000000001</v>
      </c>
      <c r="BZ453" s="212">
        <f ca="1">IF(L453="BR",'Impostos e Frete'!$F$6,IF(L453="EU",'Impostos e Frete'!$I$3,IF(L453="CN",'Impostos e Frete'!$I$4,IF(L453="JP",'Impostos e Frete'!$I$5,IF(L453="RU",'Impostos e Frete'!$I$7,"ERRO")))))</f>
        <v>1.11958</v>
      </c>
      <c r="CA453" s="212">
        <f>VLOOKUP(L453,'Impostos e Frete'!$A$3:$B$7,2,0)*'Preços e Condições'!BY453</f>
        <v>1.4868000000000003</v>
      </c>
      <c r="CB453" s="147">
        <f t="shared" si="116"/>
        <v>0</v>
      </c>
      <c r="CC453" s="147">
        <f>IF(X453="BRL",'Impostos e Frete'!$B$11,'Impostos e Frete'!$B$12)</f>
        <v>9.1999999999999998E-2</v>
      </c>
      <c r="CD453" s="213">
        <f t="shared" ca="1" si="117"/>
        <v>13.318380000000001</v>
      </c>
      <c r="CE453" s="214">
        <f t="shared" ca="1" si="118"/>
        <v>0.86569470000000004</v>
      </c>
      <c r="CF453" s="215">
        <f>VLOOKUP(L453,'Impostos e Frete'!$A$3:$C$7,3,0)</f>
        <v>120</v>
      </c>
      <c r="CG453" s="215">
        <f t="shared" si="119"/>
        <v>90</v>
      </c>
      <c r="CH453" s="215">
        <f t="shared" si="120"/>
        <v>-30</v>
      </c>
      <c r="CI453" s="216">
        <f t="shared" ca="1" si="121"/>
        <v>0.19977569999999822</v>
      </c>
      <c r="CJ453" s="217">
        <f t="shared" ca="1" si="122"/>
        <v>13.518155699999999</v>
      </c>
      <c r="CK453" s="218">
        <f t="shared" ca="1" si="123"/>
        <v>0.87868012049999999</v>
      </c>
    </row>
    <row r="454" spans="1:89">
      <c r="A454" s="204">
        <v>7004664</v>
      </c>
      <c r="B454" s="186">
        <v>248</v>
      </c>
      <c r="C454" s="197">
        <v>65</v>
      </c>
      <c r="D454" s="197"/>
      <c r="E454" s="178" t="s">
        <v>50</v>
      </c>
      <c r="F454" s="198" t="s">
        <v>67</v>
      </c>
      <c r="G454" s="205" t="s">
        <v>440</v>
      </c>
      <c r="H454" s="178" t="s">
        <v>63</v>
      </c>
      <c r="I454" s="197"/>
      <c r="J454" s="197"/>
      <c r="K454" s="197"/>
      <c r="L454" s="200" t="s">
        <v>59</v>
      </c>
      <c r="M454" s="200">
        <v>90</v>
      </c>
      <c r="N454" s="200"/>
      <c r="O454" s="197"/>
      <c r="P454" s="197"/>
      <c r="Q454" s="197"/>
      <c r="R454" s="197" t="s">
        <v>19</v>
      </c>
      <c r="S454" s="201"/>
      <c r="T454" s="201"/>
      <c r="U454" s="202"/>
      <c r="V454" s="202" t="s">
        <v>35</v>
      </c>
      <c r="W454" s="200"/>
      <c r="X454" s="182" t="s">
        <v>51</v>
      </c>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3"/>
      <c r="BB454" s="203"/>
      <c r="BC454" s="203"/>
      <c r="BD454" s="203"/>
      <c r="BE454" s="203"/>
      <c r="BF454" s="203"/>
      <c r="BG454" s="203"/>
      <c r="BH454" s="203"/>
      <c r="BI454" s="203">
        <v>2240</v>
      </c>
      <c r="BJ454" s="203"/>
      <c r="BK454" s="203"/>
      <c r="BL454" s="203"/>
      <c r="BM454" s="203"/>
      <c r="BN454" s="203"/>
      <c r="BO454" s="203"/>
      <c r="BP454" s="203"/>
      <c r="BQ454" s="203"/>
      <c r="BR454" s="203"/>
      <c r="BS454" s="203"/>
      <c r="BT454" s="203"/>
      <c r="BU454" s="146" cm="1">
        <f t="array" ref="BU454">LOOKUP(2,1/(Y454:BT454&lt;&gt;""),Y454:BH454)</f>
        <v>2240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46023</v>
      </c>
      <c r="BW454" s="211" cm="1">
        <f t="array" ref="BW454">(LOOKUP(2,1/(BH454:BT454&lt;&gt;""),BH454:BT454))/(INDEX(BH454:BT454,MATCH(TRUE,INDEX((BH454:BT454&lt;&gt;0),0),0)))-1</f>
        <v>0</v>
      </c>
      <c r="BX454" s="212">
        <f t="shared" si="115"/>
        <v>2.2400000000000002</v>
      </c>
      <c r="BY454" s="212">
        <f t="shared" si="111"/>
        <v>13.216000000000003</v>
      </c>
      <c r="BZ454" s="212">
        <f ca="1">IF(L454="BR",'Impostos e Frete'!$F$6,IF(L454="EU",'Impostos e Frete'!$I$3,IF(L454="CN",'Impostos e Frete'!$I$4,IF(L454="JP",'Impostos e Frete'!$I$5,IF(L454="RU",'Impostos e Frete'!$I$7,"ERRO")))))</f>
        <v>0.14176320000000001</v>
      </c>
      <c r="CA454" s="212">
        <f>VLOOKUP(L454,'Impostos e Frete'!$A$3:$B$7,2,0)*'Preços e Condições'!BY454</f>
        <v>1.7180800000000005</v>
      </c>
      <c r="CB454" s="147">
        <f t="shared" si="116"/>
        <v>0</v>
      </c>
      <c r="CC454" s="147">
        <f>IF(X454="BRL",'Impostos e Frete'!$B$11,'Impostos e Frete'!$B$12)</f>
        <v>9.1999999999999998E-2</v>
      </c>
      <c r="CD454" s="213">
        <f t="shared" ca="1" si="117"/>
        <v>15.167843200000004</v>
      </c>
      <c r="CE454" s="214">
        <f t="shared" ca="1" si="118"/>
        <v>0.98590980800000017</v>
      </c>
      <c r="CF454" s="215">
        <f>VLOOKUP(L454,'Impostos e Frete'!$A$3:$C$7,3,0)</f>
        <v>105</v>
      </c>
      <c r="CG454" s="215">
        <f t="shared" si="119"/>
        <v>90</v>
      </c>
      <c r="CH454" s="215">
        <f t="shared" si="120"/>
        <v>-15</v>
      </c>
      <c r="CI454" s="216">
        <f t="shared" ca="1" si="121"/>
        <v>0.11333539819336913</v>
      </c>
      <c r="CJ454" s="217">
        <f t="shared" ca="1" si="122"/>
        <v>15.281178598193373</v>
      </c>
      <c r="CK454" s="218">
        <f t="shared" ca="1" si="123"/>
        <v>0.99327660888256919</v>
      </c>
    </row>
    <row r="455" spans="1:89">
      <c r="A455" s="204">
        <v>7004665</v>
      </c>
      <c r="B455" s="186">
        <v>248</v>
      </c>
      <c r="C455" s="197">
        <v>65</v>
      </c>
      <c r="D455" s="197"/>
      <c r="E455" s="178" t="s">
        <v>50</v>
      </c>
      <c r="F455" s="198" t="s">
        <v>2</v>
      </c>
      <c r="G455" s="189" t="s">
        <v>90</v>
      </c>
      <c r="H455" s="178" t="s">
        <v>63</v>
      </c>
      <c r="I455" s="178">
        <v>32153</v>
      </c>
      <c r="J455" s="178"/>
      <c r="K455" s="178"/>
      <c r="L455" s="178" t="s">
        <v>59</v>
      </c>
      <c r="M455" s="178">
        <v>120</v>
      </c>
      <c r="N455" s="178"/>
      <c r="O455" s="178"/>
      <c r="P455" s="178"/>
      <c r="Q455" s="178"/>
      <c r="R455" s="178" t="s">
        <v>126</v>
      </c>
      <c r="S455" s="181"/>
      <c r="T455" s="181"/>
      <c r="U455" s="182"/>
      <c r="V455" s="182" t="s">
        <v>35</v>
      </c>
      <c r="W455" s="183">
        <v>100</v>
      </c>
      <c r="X455" s="182" t="s">
        <v>51</v>
      </c>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3"/>
      <c r="BB455" s="203"/>
      <c r="BC455" s="203"/>
      <c r="BD455" s="203"/>
      <c r="BE455" s="203"/>
      <c r="BF455" s="203"/>
      <c r="BG455" s="203"/>
      <c r="BH455" s="203"/>
      <c r="BI455" s="184">
        <v>2270</v>
      </c>
      <c r="BJ455" s="184">
        <v>2270</v>
      </c>
      <c r="BK455" s="184">
        <v>2270</v>
      </c>
      <c r="BL455" s="203">
        <v>2350</v>
      </c>
      <c r="BM455" s="203">
        <v>2350</v>
      </c>
      <c r="BN455" s="203">
        <v>2350</v>
      </c>
      <c r="BO455" s="203"/>
      <c r="BP455" s="203"/>
      <c r="BQ455" s="203"/>
      <c r="BR455" s="203"/>
      <c r="BS455" s="203"/>
      <c r="BT455" s="203"/>
      <c r="BU455" s="146" cm="1">
        <f t="array" ref="BU455">LOOKUP(2,1/(Y455:BT455&lt;&gt;""),Y455:BH455)</f>
        <v>2350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46174</v>
      </c>
      <c r="BW455" s="211" cm="1">
        <f t="array" ref="BW455">(LOOKUP(2,1/(BH455:BT455&lt;&gt;""),BH455:BT455))/(INDEX(BH455:BT455,MATCH(TRUE,INDEX((BH455:BT455&lt;&gt;0),0),0)))-1</f>
        <v>3.524229074889873E-2</v>
      </c>
      <c r="BX455" s="212">
        <f t="shared" si="115"/>
        <v>2.35</v>
      </c>
      <c r="BY455" s="212">
        <f t="shared" si="111"/>
        <v>13.865000000000002</v>
      </c>
      <c r="BZ455" s="212">
        <f ca="1">IF(L455="BR",'Impostos e Frete'!$F$6,IF(L455="EU",'Impostos e Frete'!$I$3,IF(L455="CN",'Impostos e Frete'!$I$4,IF(L455="JP",'Impostos e Frete'!$I$5,IF(L455="RU",'Impostos e Frete'!$I$7,"ERRO")))))</f>
        <v>0.14176320000000001</v>
      </c>
      <c r="CA455" s="212">
        <f>VLOOKUP(L455,'Impostos e Frete'!$A$3:$B$7,2,0)*'Preços e Condições'!BY455</f>
        <v>1.8024500000000003</v>
      </c>
      <c r="CB455" s="147">
        <f t="shared" si="116"/>
        <v>-0.17699999999999999</v>
      </c>
      <c r="CC455" s="147">
        <f>IF(X455="BRL",'Impostos e Frete'!$B$11,'Impostos e Frete'!$B$12)</f>
        <v>9.1999999999999998E-2</v>
      </c>
      <c r="CD455" s="213">
        <f t="shared" ca="1" si="117"/>
        <v>15.724213200000003</v>
      </c>
      <c r="CE455" s="214">
        <f t="shared" ca="1" si="118"/>
        <v>1.0220738580000002</v>
      </c>
      <c r="CF455" s="215">
        <f>VLOOKUP(L455,'Impostos e Frete'!$A$3:$C$7,3,0)</f>
        <v>105</v>
      </c>
      <c r="CG455" s="215">
        <f t="shared" si="119"/>
        <v>120</v>
      </c>
      <c r="CH455" s="215">
        <f t="shared" si="120"/>
        <v>15</v>
      </c>
      <c r="CI455" s="216">
        <f t="shared" ca="1" si="121"/>
        <v>-0.11662123787429124</v>
      </c>
      <c r="CJ455" s="217">
        <f t="shared" ca="1" si="122"/>
        <v>15.607591962125712</v>
      </c>
      <c r="CK455" s="218">
        <f t="shared" ca="1" si="123"/>
        <v>1.0144934775381713</v>
      </c>
    </row>
    <row r="456" spans="1:89">
      <c r="A456" s="204">
        <v>7004665</v>
      </c>
      <c r="B456" s="186">
        <v>248</v>
      </c>
      <c r="C456" s="197">
        <v>65</v>
      </c>
      <c r="D456" s="197"/>
      <c r="E456" s="178" t="s">
        <v>50</v>
      </c>
      <c r="F456" s="198" t="s">
        <v>2</v>
      </c>
      <c r="G456" s="189" t="s">
        <v>90</v>
      </c>
      <c r="H456" s="178" t="s">
        <v>63</v>
      </c>
      <c r="I456" s="178">
        <v>32153</v>
      </c>
      <c r="J456" s="178"/>
      <c r="K456" s="178"/>
      <c r="L456" s="178" t="s">
        <v>59</v>
      </c>
      <c r="M456" s="178">
        <v>120</v>
      </c>
      <c r="N456" s="178"/>
      <c r="O456" s="178"/>
      <c r="P456" s="178"/>
      <c r="Q456" s="178"/>
      <c r="R456" s="178" t="s">
        <v>126</v>
      </c>
      <c r="S456" s="181"/>
      <c r="T456" s="181"/>
      <c r="U456" s="182"/>
      <c r="V456" s="182" t="s">
        <v>35</v>
      </c>
      <c r="W456" s="183">
        <v>70</v>
      </c>
      <c r="X456" s="182" t="s">
        <v>51</v>
      </c>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3"/>
      <c r="BB456" s="203"/>
      <c r="BC456" s="203"/>
      <c r="BD456" s="203"/>
      <c r="BE456" s="203"/>
      <c r="BF456" s="203"/>
      <c r="BG456" s="203"/>
      <c r="BH456" s="203"/>
      <c r="BI456" s="184">
        <v>2290</v>
      </c>
      <c r="BJ456" s="184">
        <v>2290</v>
      </c>
      <c r="BK456" s="184">
        <v>2290</v>
      </c>
      <c r="BL456" s="184">
        <v>2370</v>
      </c>
      <c r="BM456" s="184">
        <v>2370</v>
      </c>
      <c r="BN456" s="184">
        <v>2370</v>
      </c>
      <c r="BO456" s="203"/>
      <c r="BP456" s="203"/>
      <c r="BQ456" s="203"/>
      <c r="BR456" s="203"/>
      <c r="BS456" s="203"/>
      <c r="BT456" s="203"/>
      <c r="BU456" s="146" cm="1">
        <f t="array" ref="BU456">LOOKUP(2,1/(Y456:BT456&lt;&gt;""),Y456:BH456)</f>
        <v>2370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46174</v>
      </c>
      <c r="BW456" s="211" cm="1">
        <f t="array" ref="BW456">(LOOKUP(2,1/(BH456:BT456&lt;&gt;""),BH456:BT456))/(INDEX(BH456:BT456,MATCH(TRUE,INDEX((BH456:BT456&lt;&gt;0),0),0)))-1</f>
        <v>3.4934497816593968E-2</v>
      </c>
      <c r="BX456" s="212">
        <f t="shared" ref="BX456:BX458" si="211">BU456/1000</f>
        <v>2.37</v>
      </c>
      <c r="BY456" s="212">
        <f t="shared" si="111"/>
        <v>13.983000000000002</v>
      </c>
      <c r="BZ456" s="212">
        <f ca="1">IF(L456="BR",'Impostos e Frete'!$F$6,IF(L456="EU",'Impostos e Frete'!$I$3,IF(L456="CN",'Impostos e Frete'!$I$4,IF(L456="JP",'Impostos e Frete'!$I$5,IF(L456="RU",'Impostos e Frete'!$I$7,"ERRO")))))</f>
        <v>0.14176320000000001</v>
      </c>
      <c r="CA456" s="212">
        <f>VLOOKUP(L456,'Impostos e Frete'!$A$3:$B$7,2,0)*'Preços e Condições'!BY456</f>
        <v>1.8177900000000005</v>
      </c>
      <c r="CB456" s="147">
        <f t="shared" ref="CB456:CB458" si="212">IF(R456="CFR",$CB$2,IF(R456="FOB",0,IF(R456="EXW",$CB$1,"ERRO")))</f>
        <v>-0.17699999999999999</v>
      </c>
      <c r="CC456" s="147">
        <f>IF(X456="BRL",'Impostos e Frete'!$B$11,'Impostos e Frete'!$B$12)</f>
        <v>9.1999999999999998E-2</v>
      </c>
      <c r="CD456" s="213">
        <f t="shared" ref="CD456:CD458" ca="1" si="213">SUM(BY456:CC456)</f>
        <v>15.857553200000003</v>
      </c>
      <c r="CE456" s="214">
        <f t="shared" ref="CE456:CE458" ca="1" si="214">IF(C456="","erro",(CD456/1000)*C456)</f>
        <v>1.0307409580000002</v>
      </c>
      <c r="CF456" s="215">
        <f>VLOOKUP(L456,'Impostos e Frete'!$A$3:$C$7,3,0)</f>
        <v>105</v>
      </c>
      <c r="CG456" s="215">
        <f t="shared" ref="CG456:CG458" si="215">M456</f>
        <v>120</v>
      </c>
      <c r="CH456" s="215">
        <f t="shared" ref="CH456:CH458" si="216">CG456-CF456</f>
        <v>15</v>
      </c>
      <c r="CI456" s="216">
        <f t="shared" ref="CI456:CI458" ca="1" si="217">CD456*(1+VALUE($CI$2))^((CH456*-1)/30)-CD456</f>
        <v>-0.11761017612260716</v>
      </c>
      <c r="CJ456" s="217">
        <f t="shared" ref="CJ456:CJ458" ca="1" si="218">CD456+CI456</f>
        <v>15.739943023877396</v>
      </c>
      <c r="CK456" s="218">
        <f t="shared" ref="CK456:CK458" ca="1" si="219">IF(C456="","erro",(CJ456/1000)*C456)</f>
        <v>1.0230962965520307</v>
      </c>
    </row>
    <row r="457" spans="1:89">
      <c r="A457" s="204">
        <v>7004665</v>
      </c>
      <c r="B457" s="186">
        <v>248</v>
      </c>
      <c r="C457" s="197">
        <v>65</v>
      </c>
      <c r="D457" s="197"/>
      <c r="E457" s="178" t="s">
        <v>50</v>
      </c>
      <c r="F457" s="198" t="s">
        <v>2</v>
      </c>
      <c r="G457" s="189" t="s">
        <v>90</v>
      </c>
      <c r="H457" s="178" t="s">
        <v>63</v>
      </c>
      <c r="I457" s="178">
        <v>32153</v>
      </c>
      <c r="J457" s="178"/>
      <c r="K457" s="178"/>
      <c r="L457" s="178" t="s">
        <v>59</v>
      </c>
      <c r="M457" s="178">
        <v>120</v>
      </c>
      <c r="N457" s="178"/>
      <c r="O457" s="178"/>
      <c r="P457" s="178"/>
      <c r="Q457" s="178"/>
      <c r="R457" s="178" t="s">
        <v>126</v>
      </c>
      <c r="S457" s="181"/>
      <c r="T457" s="181"/>
      <c r="U457" s="182"/>
      <c r="V457" s="182" t="s">
        <v>35</v>
      </c>
      <c r="W457" s="183">
        <v>50</v>
      </c>
      <c r="X457" s="182" t="s">
        <v>51</v>
      </c>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3"/>
      <c r="BB457" s="203"/>
      <c r="BC457" s="203"/>
      <c r="BD457" s="203"/>
      <c r="BE457" s="203"/>
      <c r="BF457" s="203"/>
      <c r="BG457" s="203"/>
      <c r="BH457" s="203"/>
      <c r="BI457" s="184">
        <v>2320</v>
      </c>
      <c r="BJ457" s="184">
        <v>2320</v>
      </c>
      <c r="BK457" s="184">
        <v>2320</v>
      </c>
      <c r="BL457" s="184">
        <v>2400</v>
      </c>
      <c r="BM457" s="184">
        <v>2400</v>
      </c>
      <c r="BN457" s="184">
        <v>2400</v>
      </c>
      <c r="BO457" s="203"/>
      <c r="BP457" s="203"/>
      <c r="BQ457" s="203"/>
      <c r="BR457" s="203"/>
      <c r="BS457" s="203"/>
      <c r="BT457" s="203"/>
      <c r="BU457" s="146" cm="1">
        <f t="array" ref="BU457">LOOKUP(2,1/(Y457:BT457&lt;&gt;""),Y457:BH457)</f>
        <v>2400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46174</v>
      </c>
      <c r="BW457" s="211" cm="1">
        <f t="array" ref="BW457">(LOOKUP(2,1/(BH457:BT457&lt;&gt;""),BH457:BT457))/(INDEX(BH457:BT457,MATCH(TRUE,INDEX((BH457:BT457&lt;&gt;0),0),0)))-1</f>
        <v>3.4482758620689724E-2</v>
      </c>
      <c r="BX457" s="212">
        <f t="shared" si="211"/>
        <v>2.4</v>
      </c>
      <c r="BY457" s="212">
        <f t="shared" ref="BY457:BY488" si="220">IF(X457="BRL",BX457,IF(X457="EUR",BX457*$CK$2,IF(X457="USD",BX457*$CK$1,IF(X457="CNY",BX457*$CM$1,IF(X457="RUB",BX457*$CM$2,"CRRY#")))))</f>
        <v>14.16</v>
      </c>
      <c r="BZ457" s="212">
        <f ca="1">IF(L457="BR",'Impostos e Frete'!$F$6,IF(L457="EU",'Impostos e Frete'!$I$3,IF(L457="CN",'Impostos e Frete'!$I$4,IF(L457="JP",'Impostos e Frete'!$I$5,IF(L457="RU",'Impostos e Frete'!$I$7,"ERRO")))))</f>
        <v>0.14176320000000001</v>
      </c>
      <c r="CA457" s="212">
        <f>VLOOKUP(L457,'Impostos e Frete'!$A$3:$B$7,2,0)*'Preços e Condições'!BY457</f>
        <v>1.8408</v>
      </c>
      <c r="CB457" s="147">
        <f t="shared" si="212"/>
        <v>-0.17699999999999999</v>
      </c>
      <c r="CC457" s="147">
        <f>IF(X457="BRL",'Impostos e Frete'!$B$11,'Impostos e Frete'!$B$12)</f>
        <v>9.1999999999999998E-2</v>
      </c>
      <c r="CD457" s="213">
        <f t="shared" ca="1" si="213"/>
        <v>16.057563200000001</v>
      </c>
      <c r="CE457" s="214">
        <f t="shared" ca="1" si="214"/>
        <v>1.0437416079999999</v>
      </c>
      <c r="CF457" s="215">
        <f>VLOOKUP(L457,'Impostos e Frete'!$A$3:$C$7,3,0)</f>
        <v>105</v>
      </c>
      <c r="CG457" s="215">
        <f t="shared" si="215"/>
        <v>120</v>
      </c>
      <c r="CH457" s="215">
        <f t="shared" si="216"/>
        <v>15</v>
      </c>
      <c r="CI457" s="216">
        <f t="shared" ca="1" si="217"/>
        <v>-0.11909358349508103</v>
      </c>
      <c r="CJ457" s="217">
        <f t="shared" ca="1" si="218"/>
        <v>15.93846961650492</v>
      </c>
      <c r="CK457" s="218">
        <f t="shared" ca="1" si="219"/>
        <v>1.0360005250728199</v>
      </c>
    </row>
    <row r="458" spans="1:89">
      <c r="A458" s="204">
        <v>7004665</v>
      </c>
      <c r="B458" s="186">
        <v>248</v>
      </c>
      <c r="C458" s="197">
        <v>65</v>
      </c>
      <c r="D458" s="197"/>
      <c r="E458" s="178" t="s">
        <v>50</v>
      </c>
      <c r="F458" s="198" t="s">
        <v>2</v>
      </c>
      <c r="G458" s="189" t="s">
        <v>90</v>
      </c>
      <c r="H458" s="178" t="s">
        <v>63</v>
      </c>
      <c r="I458" s="178">
        <v>32153</v>
      </c>
      <c r="J458" s="178"/>
      <c r="K458" s="178"/>
      <c r="L458" s="178" t="s">
        <v>59</v>
      </c>
      <c r="M458" s="178">
        <v>120</v>
      </c>
      <c r="N458" s="178"/>
      <c r="O458" s="178"/>
      <c r="P458" s="178"/>
      <c r="Q458" s="178"/>
      <c r="R458" s="178" t="s">
        <v>126</v>
      </c>
      <c r="S458" s="181"/>
      <c r="T458" s="181"/>
      <c r="U458" s="182"/>
      <c r="V458" s="182" t="s">
        <v>35</v>
      </c>
      <c r="W458" s="183">
        <v>30</v>
      </c>
      <c r="X458" s="182" t="s">
        <v>51</v>
      </c>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3"/>
      <c r="BB458" s="203"/>
      <c r="BC458" s="203"/>
      <c r="BD458" s="203"/>
      <c r="BE458" s="203"/>
      <c r="BF458" s="203"/>
      <c r="BG458" s="203"/>
      <c r="BH458" s="203"/>
      <c r="BI458" s="184">
        <v>2370</v>
      </c>
      <c r="BJ458" s="184">
        <v>2370</v>
      </c>
      <c r="BK458" s="184">
        <v>2370</v>
      </c>
      <c r="BL458" s="184">
        <v>2450</v>
      </c>
      <c r="BM458" s="184">
        <v>2450</v>
      </c>
      <c r="BN458" s="184">
        <v>2450</v>
      </c>
      <c r="BO458" s="203"/>
      <c r="BP458" s="203"/>
      <c r="BQ458" s="203"/>
      <c r="BR458" s="203"/>
      <c r="BS458" s="203"/>
      <c r="BT458" s="203"/>
      <c r="BU458" s="146" cm="1">
        <f t="array" ref="BU458">LOOKUP(2,1/(Y458:BT458&lt;&gt;""),Y458:BH458)</f>
        <v>2450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46174</v>
      </c>
      <c r="BW458" s="211" cm="1">
        <f t="array" ref="BW458">(LOOKUP(2,1/(BH458:BT458&lt;&gt;""),BH458:BT458))/(INDEX(BH458:BT458,MATCH(TRUE,INDEX((BH458:BT458&lt;&gt;0),0),0)))-1</f>
        <v>3.3755274261603407E-2</v>
      </c>
      <c r="BX458" s="212">
        <f t="shared" si="211"/>
        <v>2.4500000000000002</v>
      </c>
      <c r="BY458" s="212">
        <f t="shared" si="220"/>
        <v>14.455000000000002</v>
      </c>
      <c r="BZ458" s="212">
        <f ca="1">IF(L458="BR",'Impostos e Frete'!$F$6,IF(L458="EU",'Impostos e Frete'!$I$3,IF(L458="CN",'Impostos e Frete'!$I$4,IF(L458="JP",'Impostos e Frete'!$I$5,IF(L458="RU",'Impostos e Frete'!$I$7,"ERRO")))))</f>
        <v>0.14176320000000001</v>
      </c>
      <c r="CA458" s="212">
        <f>VLOOKUP(L458,'Impostos e Frete'!$A$3:$B$7,2,0)*'Preços e Condições'!BY458</f>
        <v>1.8791500000000003</v>
      </c>
      <c r="CB458" s="147">
        <f t="shared" si="212"/>
        <v>-0.17699999999999999</v>
      </c>
      <c r="CC458" s="147">
        <f>IF(X458="BRL",'Impostos e Frete'!$B$11,'Impostos e Frete'!$B$12)</f>
        <v>9.1999999999999998E-2</v>
      </c>
      <c r="CD458" s="213">
        <f t="shared" ca="1" si="213"/>
        <v>16.3909132</v>
      </c>
      <c r="CE458" s="214">
        <f t="shared" ca="1" si="214"/>
        <v>1.0654093579999999</v>
      </c>
      <c r="CF458" s="215">
        <f>VLOOKUP(L458,'Impostos e Frete'!$A$3:$C$7,3,0)</f>
        <v>105</v>
      </c>
      <c r="CG458" s="215">
        <f t="shared" si="215"/>
        <v>120</v>
      </c>
      <c r="CH458" s="215">
        <f t="shared" si="216"/>
        <v>15</v>
      </c>
      <c r="CI458" s="216">
        <f t="shared" ca="1" si="217"/>
        <v>-0.12156592911587083</v>
      </c>
      <c r="CJ458" s="217">
        <f t="shared" ca="1" si="218"/>
        <v>16.269347270884129</v>
      </c>
      <c r="CK458" s="218">
        <f t="shared" ca="1" si="219"/>
        <v>1.0575075726074683</v>
      </c>
    </row>
    <row r="459" spans="1:89">
      <c r="A459" s="204">
        <v>7000450</v>
      </c>
      <c r="B459" s="186">
        <v>244</v>
      </c>
      <c r="C459" s="197">
        <v>65</v>
      </c>
      <c r="D459" s="197"/>
      <c r="E459" s="197" t="s">
        <v>50</v>
      </c>
      <c r="F459" s="198" t="s">
        <v>108</v>
      </c>
      <c r="G459" s="189" t="s">
        <v>116</v>
      </c>
      <c r="H459" s="178" t="s">
        <v>42</v>
      </c>
      <c r="I459" s="178" t="s">
        <v>121</v>
      </c>
      <c r="J459" s="178"/>
      <c r="K459" s="178"/>
      <c r="L459" s="178" t="s">
        <v>59</v>
      </c>
      <c r="M459" s="178">
        <v>30</v>
      </c>
      <c r="N459" s="178">
        <v>500</v>
      </c>
      <c r="O459" s="178"/>
      <c r="P459" s="178"/>
      <c r="Q459" s="178"/>
      <c r="R459" s="178" t="s">
        <v>19</v>
      </c>
      <c r="S459" s="181"/>
      <c r="T459" s="181"/>
      <c r="U459" s="182"/>
      <c r="V459" s="182" t="s">
        <v>35</v>
      </c>
      <c r="W459" s="183">
        <v>80</v>
      </c>
      <c r="X459" s="182" t="s">
        <v>51</v>
      </c>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3"/>
      <c r="BB459" s="203"/>
      <c r="BC459" s="203"/>
      <c r="BD459" s="203"/>
      <c r="BE459" s="203"/>
      <c r="BF459" s="203"/>
      <c r="BG459" s="203"/>
      <c r="BH459" s="203"/>
      <c r="BI459" s="184">
        <v>2020</v>
      </c>
      <c r="BJ459" s="184">
        <v>2020</v>
      </c>
      <c r="BK459" s="184">
        <v>2020</v>
      </c>
      <c r="BL459" s="184">
        <v>1990</v>
      </c>
      <c r="BM459" s="184">
        <v>1990</v>
      </c>
      <c r="BN459" s="184">
        <v>1990</v>
      </c>
      <c r="BO459" s="203">
        <v>2070</v>
      </c>
      <c r="BP459" s="203">
        <v>2070</v>
      </c>
      <c r="BQ459" s="203">
        <v>2070</v>
      </c>
      <c r="BR459" s="203"/>
      <c r="BS459" s="203"/>
      <c r="BT459" s="203"/>
      <c r="BU459" s="146" cm="1">
        <f t="array" ref="BU459">LOOKUP(2,1/(Y459:BT459&lt;&gt;""),Y459:BH459)</f>
        <v>2070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46199</v>
      </c>
      <c r="BW459" s="211" cm="1">
        <f t="array" ref="BW459">(LOOKUP(2,1/(BH459:BT459&lt;&gt;""),BH459:BT459))/(INDEX(BH459:BT459,MATCH(TRUE,INDEX((BH459:BT459&lt;&gt;0),0),0)))-1</f>
        <v>2.4752475247524774E-2</v>
      </c>
      <c r="BX459" s="212">
        <f t="shared" si="115"/>
        <v>2.0699999999999998</v>
      </c>
      <c r="BY459" s="212">
        <f t="shared" si="220"/>
        <v>12.212999999999999</v>
      </c>
      <c r="BZ459" s="212">
        <f ca="1">IF(L459="BR",'Impostos e Frete'!$F$6,IF(L459="EU",'Impostos e Frete'!$I$3,IF(L459="CN",'Impostos e Frete'!$I$4,IF(L459="JP",'Impostos e Frete'!$I$5,IF(L459="RU",'Impostos e Frete'!$I$7,"ERRO")))))</f>
        <v>0.14176320000000001</v>
      </c>
      <c r="CA459" s="212">
        <f>VLOOKUP(L459,'Impostos e Frete'!$A$3:$B$7,2,0)*'Preços e Condições'!BY459</f>
        <v>1.58769</v>
      </c>
      <c r="CB459" s="147">
        <f t="shared" si="116"/>
        <v>0</v>
      </c>
      <c r="CC459" s="147">
        <f>IF(X459="BRL",'Impostos e Frete'!$B$11,'Impostos e Frete'!$B$12)</f>
        <v>9.1999999999999998E-2</v>
      </c>
      <c r="CD459" s="213">
        <f t="shared" ca="1" si="117"/>
        <v>14.0344532</v>
      </c>
      <c r="CE459" s="214">
        <f t="shared" ca="1" si="118"/>
        <v>0.91223945799999995</v>
      </c>
      <c r="CF459" s="215">
        <f>VLOOKUP(L459,'Impostos e Frete'!$A$3:$C$7,3,0)</f>
        <v>105</v>
      </c>
      <c r="CG459" s="215">
        <f t="shared" si="119"/>
        <v>30</v>
      </c>
      <c r="CH459" s="215">
        <f t="shared" si="120"/>
        <v>-75</v>
      </c>
      <c r="CI459" s="216">
        <f t="shared" ca="1" si="121"/>
        <v>0.53222755427654356</v>
      </c>
      <c r="CJ459" s="217">
        <f t="shared" ca="1" si="122"/>
        <v>14.566680754276543</v>
      </c>
      <c r="CK459" s="218">
        <f t="shared" ca="1" si="123"/>
        <v>0.94683424902797531</v>
      </c>
    </row>
    <row r="460" spans="1:89">
      <c r="A460" s="204">
        <v>7002371</v>
      </c>
      <c r="B460" s="186">
        <v>244</v>
      </c>
      <c r="C460" s="197">
        <v>65</v>
      </c>
      <c r="D460" s="197"/>
      <c r="E460" s="197" t="s">
        <v>50</v>
      </c>
      <c r="F460" s="198" t="s">
        <v>0</v>
      </c>
      <c r="G460" s="189" t="s">
        <v>334</v>
      </c>
      <c r="H460" s="178" t="s">
        <v>63</v>
      </c>
      <c r="I460" s="178"/>
      <c r="J460" s="178"/>
      <c r="K460" s="178"/>
      <c r="L460" s="178" t="s">
        <v>60</v>
      </c>
      <c r="M460" s="178">
        <v>90</v>
      </c>
      <c r="N460" s="178">
        <v>3300</v>
      </c>
      <c r="O460" s="178"/>
      <c r="P460" s="178"/>
      <c r="Q460" s="178"/>
      <c r="R460" s="178" t="s">
        <v>19</v>
      </c>
      <c r="S460" s="181"/>
      <c r="T460" s="181"/>
      <c r="U460" s="182"/>
      <c r="V460" s="182" t="s">
        <v>35</v>
      </c>
      <c r="W460" s="183">
        <v>100</v>
      </c>
      <c r="X460" s="182" t="s">
        <v>267</v>
      </c>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3"/>
      <c r="BB460" s="203"/>
      <c r="BC460" s="203"/>
      <c r="BD460" s="203"/>
      <c r="BE460" s="203"/>
      <c r="BF460" s="203"/>
      <c r="BG460" s="203"/>
      <c r="BH460" s="203"/>
      <c r="BI460" s="184">
        <v>13000</v>
      </c>
      <c r="BJ460" s="184">
        <v>13000</v>
      </c>
      <c r="BK460" s="184">
        <v>13000</v>
      </c>
      <c r="BL460" s="184">
        <v>13000</v>
      </c>
      <c r="BM460" s="184">
        <v>13000</v>
      </c>
      <c r="BN460" s="184">
        <v>13000</v>
      </c>
      <c r="BO460" s="203"/>
      <c r="BP460" s="203"/>
      <c r="BQ460" s="203"/>
      <c r="BR460" s="203"/>
      <c r="BS460" s="203"/>
      <c r="BT460" s="203"/>
      <c r="BU460" s="146" cm="1">
        <f t="array" ref="BU460">LOOKUP(2,1/(Y460:BT460&lt;&gt;""),Y460:BH460)</f>
        <v>13000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11" cm="1">
        <f t="array" ref="BW460">(LOOKUP(2,1/(BH460:BT460&lt;&gt;""),BH460:BT460))/(INDEX(BH460:BT460,MATCH(TRUE,INDEX((BH460:BT460&lt;&gt;0),0),0)))-1</f>
        <v>0</v>
      </c>
      <c r="BX460" s="212">
        <f t="shared" si="115"/>
        <v>13</v>
      </c>
      <c r="BY460" s="212">
        <f t="shared" si="220"/>
        <v>9.75</v>
      </c>
      <c r="BZ460" s="212">
        <f ca="1">IF(L460="BR",'Impostos e Frete'!$F$6,IF(L460="EU",'Impostos e Frete'!$I$3,IF(L460="CN",'Impostos e Frete'!$I$4,IF(L460="JP",'Impostos e Frete'!$I$5,IF(L460="RU",'Impostos e Frete'!$I$7,"ERRO")))))</f>
        <v>1.11958</v>
      </c>
      <c r="CA460" s="212">
        <f>VLOOKUP(L460,'Impostos e Frete'!$A$3:$B$7,2,0)*'Preços e Condições'!BY460</f>
        <v>1.3650000000000002</v>
      </c>
      <c r="CB460" s="147">
        <f t="shared" si="116"/>
        <v>0</v>
      </c>
      <c r="CC460" s="147">
        <f>IF(X460="BRL",'Impostos e Frete'!$B$11,'Impostos e Frete'!$B$12)</f>
        <v>9.1999999999999998E-2</v>
      </c>
      <c r="CD460" s="213">
        <f t="shared" ca="1" si="117"/>
        <v>12.32658</v>
      </c>
      <c r="CE460" s="214">
        <f t="shared" ca="1" si="118"/>
        <v>0.80122769999999999</v>
      </c>
      <c r="CF460" s="215">
        <f>VLOOKUP(L460,'Impostos e Frete'!$A$3:$C$7,3,0)</f>
        <v>120</v>
      </c>
      <c r="CG460" s="215">
        <f t="shared" si="119"/>
        <v>90</v>
      </c>
      <c r="CH460" s="215">
        <f t="shared" si="120"/>
        <v>-30</v>
      </c>
      <c r="CI460" s="216">
        <f t="shared" ca="1" si="121"/>
        <v>0.18489869999999797</v>
      </c>
      <c r="CJ460" s="217">
        <f t="shared" ca="1" si="122"/>
        <v>12.511478699999998</v>
      </c>
      <c r="CK460" s="218">
        <f t="shared" ca="1" si="123"/>
        <v>0.81324611549999992</v>
      </c>
    </row>
    <row r="461" spans="1:89">
      <c r="A461" s="204">
        <v>7004320</v>
      </c>
      <c r="B461" s="186">
        <v>380</v>
      </c>
      <c r="C461" s="197">
        <v>70</v>
      </c>
      <c r="D461" s="197"/>
      <c r="E461" s="197" t="s">
        <v>50</v>
      </c>
      <c r="F461" s="198" t="s">
        <v>47</v>
      </c>
      <c r="G461" s="185" t="s">
        <v>217</v>
      </c>
      <c r="H461" s="178" t="s">
        <v>63</v>
      </c>
      <c r="I461" s="178">
        <v>4478</v>
      </c>
      <c r="J461" s="178"/>
      <c r="K461" s="178"/>
      <c r="L461" s="178" t="s">
        <v>59</v>
      </c>
      <c r="M461" s="178">
        <v>120</v>
      </c>
      <c r="N461" s="178">
        <v>300</v>
      </c>
      <c r="O461" s="178"/>
      <c r="P461" s="178"/>
      <c r="Q461" s="178"/>
      <c r="R461" s="178" t="s">
        <v>19</v>
      </c>
      <c r="S461" s="181"/>
      <c r="T461" s="181"/>
      <c r="U461" s="182"/>
      <c r="V461" s="182" t="s">
        <v>35</v>
      </c>
      <c r="W461" s="183">
        <v>100</v>
      </c>
      <c r="X461" s="182" t="s">
        <v>51</v>
      </c>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3"/>
      <c r="BB461" s="203"/>
      <c r="BC461" s="203"/>
      <c r="BD461" s="203"/>
      <c r="BE461" s="203"/>
      <c r="BF461" s="203"/>
      <c r="BG461" s="203"/>
      <c r="BH461" s="203"/>
      <c r="BI461" s="184">
        <v>2250</v>
      </c>
      <c r="BJ461" s="184">
        <v>2250</v>
      </c>
      <c r="BK461" s="184">
        <v>2250</v>
      </c>
      <c r="BL461" s="203">
        <v>2350</v>
      </c>
      <c r="BM461" s="203">
        <v>2350</v>
      </c>
      <c r="BN461" s="203">
        <v>2350</v>
      </c>
      <c r="BO461" s="203"/>
      <c r="BP461" s="203"/>
      <c r="BQ461" s="203"/>
      <c r="BR461" s="203"/>
      <c r="BS461" s="203"/>
      <c r="BT461" s="203"/>
      <c r="BU461" s="146" cm="1">
        <f t="array" ref="BU461">LOOKUP(2,1/(Y461:BT461&lt;&gt;""),Y461:BH461)</f>
        <v>2350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11" cm="1">
        <f t="array" ref="BW461">(LOOKUP(2,1/(BH461:BT461&lt;&gt;""),BH461:BT461))/(INDEX(BH461:BT461,MATCH(TRUE,INDEX((BH461:BT461&lt;&gt;0),0),0)))-1</f>
        <v>4.4444444444444509E-2</v>
      </c>
      <c r="BX461" s="212">
        <f t="shared" si="115"/>
        <v>2.35</v>
      </c>
      <c r="BY461" s="212">
        <f t="shared" si="220"/>
        <v>13.865000000000002</v>
      </c>
      <c r="BZ461" s="212">
        <f ca="1">IF(L461="BR",'Impostos e Frete'!$F$6,IF(L461="EU",'Impostos e Frete'!$I$3,IF(L461="CN",'Impostos e Frete'!$I$4,IF(L461="JP",'Impostos e Frete'!$I$5,IF(L461="RU",'Impostos e Frete'!$I$7,"ERRO")))))</f>
        <v>0.14176320000000001</v>
      </c>
      <c r="CA461" s="212">
        <f>VLOOKUP(L461,'Impostos e Frete'!$A$3:$B$7,2,0)*'Preços e Condições'!BY461</f>
        <v>1.8024500000000003</v>
      </c>
      <c r="CB461" s="147">
        <f t="shared" si="116"/>
        <v>0</v>
      </c>
      <c r="CC461" s="147">
        <f>IF(X461="BRL",'Impostos e Frete'!$B$11,'Impostos e Frete'!$B$12)</f>
        <v>9.1999999999999998E-2</v>
      </c>
      <c r="CD461" s="213">
        <f t="shared" ca="1" si="117"/>
        <v>15.901213200000003</v>
      </c>
      <c r="CE461" s="214">
        <f t="shared" ca="1" si="118"/>
        <v>1.1130849240000003</v>
      </c>
      <c r="CF461" s="215">
        <f>VLOOKUP(L461,'Impostos e Frete'!$A$3:$C$7,3,0)</f>
        <v>105</v>
      </c>
      <c r="CG461" s="215">
        <f t="shared" si="119"/>
        <v>120</v>
      </c>
      <c r="CH461" s="215">
        <f t="shared" si="120"/>
        <v>15</v>
      </c>
      <c r="CI461" s="216">
        <f t="shared" ca="1" si="121"/>
        <v>-0.11793398776143604</v>
      </c>
      <c r="CJ461" s="217">
        <f t="shared" ca="1" si="122"/>
        <v>15.783279212238567</v>
      </c>
      <c r="CK461" s="218">
        <f t="shared" ca="1" si="123"/>
        <v>1.1048295448566998</v>
      </c>
    </row>
    <row r="462" spans="1:89">
      <c r="A462" s="204">
        <v>7004320</v>
      </c>
      <c r="B462" s="186">
        <v>380</v>
      </c>
      <c r="C462" s="197">
        <v>70</v>
      </c>
      <c r="D462" s="197"/>
      <c r="E462" s="197" t="s">
        <v>50</v>
      </c>
      <c r="F462" s="198" t="s">
        <v>47</v>
      </c>
      <c r="G462" s="185" t="s">
        <v>217</v>
      </c>
      <c r="H462" s="178" t="s">
        <v>63</v>
      </c>
      <c r="I462" s="178">
        <v>4478</v>
      </c>
      <c r="J462" s="178"/>
      <c r="K462" s="178"/>
      <c r="L462" s="178" t="s">
        <v>59</v>
      </c>
      <c r="M462" s="178">
        <v>120</v>
      </c>
      <c r="N462" s="178">
        <v>300</v>
      </c>
      <c r="O462" s="178"/>
      <c r="P462" s="178"/>
      <c r="Q462" s="178"/>
      <c r="R462" s="178" t="s">
        <v>19</v>
      </c>
      <c r="S462" s="181"/>
      <c r="T462" s="181"/>
      <c r="U462" s="182"/>
      <c r="V462" s="182" t="s">
        <v>35</v>
      </c>
      <c r="W462" s="183">
        <v>50</v>
      </c>
      <c r="X462" s="182" t="s">
        <v>51</v>
      </c>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3"/>
      <c r="BB462" s="203"/>
      <c r="BC462" s="203"/>
      <c r="BD462" s="203"/>
      <c r="BE462" s="203"/>
      <c r="BF462" s="203"/>
      <c r="BG462" s="203"/>
      <c r="BH462" s="203"/>
      <c r="BI462" s="184">
        <v>2270</v>
      </c>
      <c r="BJ462" s="184">
        <v>2270</v>
      </c>
      <c r="BK462" s="184">
        <v>2270</v>
      </c>
      <c r="BL462" s="203">
        <v>2370</v>
      </c>
      <c r="BM462" s="203">
        <v>2370</v>
      </c>
      <c r="BN462" s="203">
        <v>2370</v>
      </c>
      <c r="BO462" s="203"/>
      <c r="BP462" s="203"/>
      <c r="BQ462" s="203"/>
      <c r="BR462" s="203"/>
      <c r="BS462" s="203"/>
      <c r="BT462" s="203"/>
      <c r="BU462" s="146" cm="1">
        <f t="array" ref="BU462">LOOKUP(2,1/(Y462:BT462&lt;&gt;""),Y462:BH462)</f>
        <v>2370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11" cm="1">
        <f t="array" ref="BW462">(LOOKUP(2,1/(BH462:BT462&lt;&gt;""),BH462:BT462))/(INDEX(BH462:BT462,MATCH(TRUE,INDEX((BH462:BT462&lt;&gt;0),0),0)))-1</f>
        <v>4.4052863436123246E-2</v>
      </c>
      <c r="BX462" s="212">
        <f t="shared" ref="BX462:BX464" si="221">BU462/1000</f>
        <v>2.37</v>
      </c>
      <c r="BY462" s="212">
        <f t="shared" si="220"/>
        <v>13.983000000000002</v>
      </c>
      <c r="BZ462" s="212">
        <f ca="1">IF(L462="BR",'Impostos e Frete'!$F$6,IF(L462="EU",'Impostos e Frete'!$I$3,IF(L462="CN",'Impostos e Frete'!$I$4,IF(L462="JP",'Impostos e Frete'!$I$5,IF(L462="RU",'Impostos e Frete'!$I$7,"ERRO")))))</f>
        <v>0.14176320000000001</v>
      </c>
      <c r="CA462" s="212">
        <f>VLOOKUP(L462,'Impostos e Frete'!$A$3:$B$7,2,0)*'Preços e Condições'!BY462</f>
        <v>1.8177900000000005</v>
      </c>
      <c r="CB462" s="147">
        <f t="shared" ref="CB462:CB464" si="222">IF(R462="CFR",$CB$2,IF(R462="FOB",0,IF(R462="EXW",$CB$1,"ERRO")))</f>
        <v>0</v>
      </c>
      <c r="CC462" s="147">
        <f>IF(X462="BRL",'Impostos e Frete'!$B$11,'Impostos e Frete'!$B$12)</f>
        <v>9.1999999999999998E-2</v>
      </c>
      <c r="CD462" s="213">
        <f t="shared" ref="CD462:CD464" ca="1" si="223">SUM(BY462:CC462)</f>
        <v>16.034553200000001</v>
      </c>
      <c r="CE462" s="214">
        <f t="shared" ref="CE462:CE464" ca="1" si="224">IF(C462="","erro",(CD462/1000)*C462)</f>
        <v>1.1224187240000001</v>
      </c>
      <c r="CF462" s="215">
        <f>VLOOKUP(L462,'Impostos e Frete'!$A$3:$C$7,3,0)</f>
        <v>105</v>
      </c>
      <c r="CG462" s="215">
        <f t="shared" ref="CG462:CG464" si="225">M462</f>
        <v>120</v>
      </c>
      <c r="CH462" s="215">
        <f t="shared" ref="CH462:CH464" si="226">CG462-CF462</f>
        <v>15</v>
      </c>
      <c r="CI462" s="216">
        <f t="shared" ref="CI462:CI464" ca="1" si="227">CD462*(1+VALUE($CI$2))^((CH462*-1)/30)-CD462</f>
        <v>-0.11892292600975196</v>
      </c>
      <c r="CJ462" s="217">
        <f t="shared" ref="CJ462:CJ464" ca="1" si="228">CD462+CI462</f>
        <v>15.915630273990249</v>
      </c>
      <c r="CK462" s="218">
        <f t="shared" ref="CK462:CK464" ca="1" si="229">IF(C462="","erro",(CJ462/1000)*C462)</f>
        <v>1.1140941191793174</v>
      </c>
    </row>
    <row r="463" spans="1:89">
      <c r="A463" s="204">
        <v>7004320</v>
      </c>
      <c r="B463" s="186">
        <v>380</v>
      </c>
      <c r="C463" s="197">
        <v>70</v>
      </c>
      <c r="D463" s="197"/>
      <c r="E463" s="197" t="s">
        <v>50</v>
      </c>
      <c r="F463" s="198" t="s">
        <v>47</v>
      </c>
      <c r="G463" s="185" t="s">
        <v>217</v>
      </c>
      <c r="H463" s="178" t="s">
        <v>63</v>
      </c>
      <c r="I463" s="178">
        <v>4478</v>
      </c>
      <c r="J463" s="178"/>
      <c r="K463" s="178"/>
      <c r="L463" s="178" t="s">
        <v>59</v>
      </c>
      <c r="M463" s="178">
        <v>120</v>
      </c>
      <c r="N463" s="178">
        <v>300</v>
      </c>
      <c r="O463" s="178"/>
      <c r="P463" s="178"/>
      <c r="Q463" s="178"/>
      <c r="R463" s="178" t="s">
        <v>19</v>
      </c>
      <c r="S463" s="181"/>
      <c r="T463" s="181"/>
      <c r="U463" s="182"/>
      <c r="V463" s="182" t="s">
        <v>35</v>
      </c>
      <c r="W463" s="183">
        <v>30</v>
      </c>
      <c r="X463" s="182" t="s">
        <v>51</v>
      </c>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3"/>
      <c r="BB463" s="203"/>
      <c r="BC463" s="203"/>
      <c r="BD463" s="203"/>
      <c r="BE463" s="203"/>
      <c r="BF463" s="203"/>
      <c r="BG463" s="203"/>
      <c r="BH463" s="203"/>
      <c r="BI463" s="184">
        <v>2320</v>
      </c>
      <c r="BJ463" s="184">
        <v>2320</v>
      </c>
      <c r="BK463" s="184">
        <v>2320</v>
      </c>
      <c r="BL463" s="203">
        <v>2420</v>
      </c>
      <c r="BM463" s="203">
        <v>2420</v>
      </c>
      <c r="BN463" s="203">
        <v>2420</v>
      </c>
      <c r="BO463" s="203"/>
      <c r="BP463" s="203"/>
      <c r="BQ463" s="203"/>
      <c r="BR463" s="203"/>
      <c r="BS463" s="203"/>
      <c r="BT463" s="203"/>
      <c r="BU463" s="146" cm="1">
        <f t="array" ref="BU463">LOOKUP(2,1/(Y463:BT463&lt;&gt;""),Y463:BH463)</f>
        <v>2420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46174</v>
      </c>
      <c r="BW463" s="211" cm="1">
        <f t="array" ref="BW463">(LOOKUP(2,1/(BH463:BT463&lt;&gt;""),BH463:BT463))/(INDEX(BH463:BT463,MATCH(TRUE,INDEX((BH463:BT463&lt;&gt;0),0),0)))-1</f>
        <v>4.31034482758621E-2</v>
      </c>
      <c r="BX463" s="212">
        <f t="shared" si="221"/>
        <v>2.42</v>
      </c>
      <c r="BY463" s="212">
        <f t="shared" si="220"/>
        <v>14.278</v>
      </c>
      <c r="BZ463" s="212">
        <f ca="1">IF(L463="BR",'Impostos e Frete'!$F$6,IF(L463="EU",'Impostos e Frete'!$I$3,IF(L463="CN",'Impostos e Frete'!$I$4,IF(L463="JP",'Impostos e Frete'!$I$5,IF(L463="RU",'Impostos e Frete'!$I$7,"ERRO")))))</f>
        <v>0.14176320000000001</v>
      </c>
      <c r="CA463" s="212">
        <f>VLOOKUP(L463,'Impostos e Frete'!$A$3:$B$7,2,0)*'Preços e Condições'!BY463</f>
        <v>1.8561400000000001</v>
      </c>
      <c r="CB463" s="147">
        <f t="shared" si="222"/>
        <v>0</v>
      </c>
      <c r="CC463" s="147">
        <f>IF(X463="BRL",'Impostos e Frete'!$B$11,'Impostos e Frete'!$B$12)</f>
        <v>9.1999999999999998E-2</v>
      </c>
      <c r="CD463" s="213">
        <f t="shared" ca="1" si="223"/>
        <v>16.367903200000001</v>
      </c>
      <c r="CE463" s="214">
        <f t="shared" ca="1" si="224"/>
        <v>1.1457532240000001</v>
      </c>
      <c r="CF463" s="215">
        <f>VLOOKUP(L463,'Impostos e Frete'!$A$3:$C$7,3,0)</f>
        <v>105</v>
      </c>
      <c r="CG463" s="215">
        <f t="shared" si="225"/>
        <v>120</v>
      </c>
      <c r="CH463" s="215">
        <f t="shared" si="226"/>
        <v>15</v>
      </c>
      <c r="CI463" s="216">
        <f t="shared" ca="1" si="227"/>
        <v>-0.12139527163054353</v>
      </c>
      <c r="CJ463" s="217">
        <f t="shared" ca="1" si="228"/>
        <v>16.246507928369457</v>
      </c>
      <c r="CK463" s="218">
        <f t="shared" ca="1" si="229"/>
        <v>1.1372555549858621</v>
      </c>
    </row>
    <row r="464" spans="1:89">
      <c r="A464" s="204">
        <v>7004320</v>
      </c>
      <c r="B464" s="186">
        <v>380</v>
      </c>
      <c r="C464" s="197">
        <v>70</v>
      </c>
      <c r="D464" s="197"/>
      <c r="E464" s="197" t="s">
        <v>50</v>
      </c>
      <c r="F464" s="198" t="s">
        <v>47</v>
      </c>
      <c r="G464" s="185" t="s">
        <v>217</v>
      </c>
      <c r="H464" s="178" t="s">
        <v>63</v>
      </c>
      <c r="I464" s="178">
        <v>4478</v>
      </c>
      <c r="J464" s="178"/>
      <c r="K464" s="178"/>
      <c r="L464" s="178" t="s">
        <v>59</v>
      </c>
      <c r="M464" s="178">
        <v>120</v>
      </c>
      <c r="N464" s="178">
        <v>300</v>
      </c>
      <c r="O464" s="178"/>
      <c r="P464" s="178"/>
      <c r="Q464" s="178"/>
      <c r="R464" s="178" t="s">
        <v>19</v>
      </c>
      <c r="S464" s="181"/>
      <c r="T464" s="181"/>
      <c r="U464" s="182"/>
      <c r="V464" s="182" t="s">
        <v>35</v>
      </c>
      <c r="W464" s="183">
        <v>20</v>
      </c>
      <c r="X464" s="182" t="s">
        <v>51</v>
      </c>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3"/>
      <c r="BB464" s="203"/>
      <c r="BC464" s="203"/>
      <c r="BD464" s="203"/>
      <c r="BE464" s="203"/>
      <c r="BF464" s="203"/>
      <c r="BG464" s="203"/>
      <c r="BH464" s="203"/>
      <c r="BI464" s="184">
        <v>2370</v>
      </c>
      <c r="BJ464" s="184">
        <v>2370</v>
      </c>
      <c r="BK464" s="184">
        <v>2370</v>
      </c>
      <c r="BL464" s="203">
        <v>2470</v>
      </c>
      <c r="BM464" s="203">
        <v>2470</v>
      </c>
      <c r="BN464" s="203">
        <v>2470</v>
      </c>
      <c r="BO464" s="203"/>
      <c r="BP464" s="203"/>
      <c r="BQ464" s="203"/>
      <c r="BR464" s="203"/>
      <c r="BS464" s="203"/>
      <c r="BT464" s="203"/>
      <c r="BU464" s="146" cm="1">
        <f t="array" ref="BU464">LOOKUP(2,1/(Y464:BT464&lt;&gt;""),Y464:BH464)</f>
        <v>2470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11" cm="1">
        <f t="array" ref="BW464">(LOOKUP(2,1/(BH464:BT464&lt;&gt;""),BH464:BT464))/(INDEX(BH464:BT464,MATCH(TRUE,INDEX((BH464:BT464&lt;&gt;0),0),0)))-1</f>
        <v>4.2194092827004148E-2</v>
      </c>
      <c r="BX464" s="212">
        <f t="shared" si="221"/>
        <v>2.4700000000000002</v>
      </c>
      <c r="BY464" s="212">
        <f t="shared" si="220"/>
        <v>14.573000000000002</v>
      </c>
      <c r="BZ464" s="212">
        <f ca="1">IF(L464="BR",'Impostos e Frete'!$F$6,IF(L464="EU",'Impostos e Frete'!$I$3,IF(L464="CN",'Impostos e Frete'!$I$4,IF(L464="JP",'Impostos e Frete'!$I$5,IF(L464="RU",'Impostos e Frete'!$I$7,"ERRO")))))</f>
        <v>0.14176320000000001</v>
      </c>
      <c r="CA464" s="212">
        <f>VLOOKUP(L464,'Impostos e Frete'!$A$3:$B$7,2,0)*'Preços e Condições'!BY464</f>
        <v>1.8944900000000005</v>
      </c>
      <c r="CB464" s="147">
        <f t="shared" si="222"/>
        <v>0</v>
      </c>
      <c r="CC464" s="147">
        <f>IF(X464="BRL",'Impostos e Frete'!$B$11,'Impostos e Frete'!$B$12)</f>
        <v>9.1999999999999998E-2</v>
      </c>
      <c r="CD464" s="213">
        <f t="shared" ca="1" si="223"/>
        <v>16.7012532</v>
      </c>
      <c r="CE464" s="214">
        <f t="shared" ca="1" si="224"/>
        <v>1.1690877239999999</v>
      </c>
      <c r="CF464" s="215">
        <f>VLOOKUP(L464,'Impostos e Frete'!$A$3:$C$7,3,0)</f>
        <v>105</v>
      </c>
      <c r="CG464" s="215">
        <f t="shared" si="225"/>
        <v>120</v>
      </c>
      <c r="CH464" s="215">
        <f t="shared" si="226"/>
        <v>15</v>
      </c>
      <c r="CI464" s="216">
        <f t="shared" ca="1" si="227"/>
        <v>-0.12386761725133155</v>
      </c>
      <c r="CJ464" s="217">
        <f t="shared" ca="1" si="228"/>
        <v>16.577385582748668</v>
      </c>
      <c r="CK464" s="218">
        <f t="shared" ca="1" si="229"/>
        <v>1.1604169907924069</v>
      </c>
    </row>
    <row r="465" spans="1:89">
      <c r="A465" s="204">
        <v>7004320</v>
      </c>
      <c r="B465" s="186">
        <v>380</v>
      </c>
      <c r="C465" s="197">
        <v>70</v>
      </c>
      <c r="D465" s="197"/>
      <c r="E465" s="197" t="s">
        <v>50</v>
      </c>
      <c r="F465" s="198" t="s">
        <v>47</v>
      </c>
      <c r="G465" s="185" t="s">
        <v>217</v>
      </c>
      <c r="H465" s="178" t="s">
        <v>63</v>
      </c>
      <c r="I465" s="178">
        <v>4478</v>
      </c>
      <c r="J465" s="178"/>
      <c r="K465" s="178"/>
      <c r="L465" s="178" t="s">
        <v>59</v>
      </c>
      <c r="M465" s="178">
        <v>120</v>
      </c>
      <c r="N465" s="178">
        <v>300</v>
      </c>
      <c r="O465" s="178"/>
      <c r="P465" s="178"/>
      <c r="Q465" s="178"/>
      <c r="R465" s="178" t="s">
        <v>19</v>
      </c>
      <c r="S465" s="181"/>
      <c r="T465" s="181"/>
      <c r="U465" s="182"/>
      <c r="V465" s="182" t="s">
        <v>35</v>
      </c>
      <c r="W465" s="183">
        <v>10</v>
      </c>
      <c r="X465" s="182" t="s">
        <v>51</v>
      </c>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3"/>
      <c r="BB465" s="203"/>
      <c r="BC465" s="203"/>
      <c r="BD465" s="203"/>
      <c r="BE465" s="203"/>
      <c r="BF465" s="203"/>
      <c r="BG465" s="203"/>
      <c r="BH465" s="203"/>
      <c r="BI465" s="184">
        <v>2450</v>
      </c>
      <c r="BJ465" s="184">
        <v>2450</v>
      </c>
      <c r="BK465" s="184">
        <v>2450</v>
      </c>
      <c r="BL465" s="203">
        <v>2550</v>
      </c>
      <c r="BM465" s="203">
        <v>2550</v>
      </c>
      <c r="BN465" s="203">
        <v>2550</v>
      </c>
      <c r="BO465" s="203"/>
      <c r="BP465" s="203"/>
      <c r="BQ465" s="203"/>
      <c r="BR465" s="203"/>
      <c r="BS465" s="203"/>
      <c r="BT465" s="203"/>
      <c r="BU465" s="146" cm="1">
        <f t="array" ref="BU465">LOOKUP(2,1/(Y465:BT465&lt;&gt;""),Y465:BH465)</f>
        <v>2550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11" cm="1">
        <f t="array" ref="BW465">(LOOKUP(2,1/(BH465:BT465&lt;&gt;""),BH465:BT465))/(INDEX(BH465:BT465,MATCH(TRUE,INDEX((BH465:BT465&lt;&gt;0),0),0)))-1</f>
        <v>4.081632653061229E-2</v>
      </c>
      <c r="BX465" s="212">
        <f t="shared" si="115"/>
        <v>2.5499999999999998</v>
      </c>
      <c r="BY465" s="212">
        <f t="shared" si="220"/>
        <v>15.045</v>
      </c>
      <c r="BZ465" s="212">
        <f ca="1">IF(L465="BR",'Impostos e Frete'!$F$6,IF(L465="EU",'Impostos e Frete'!$I$3,IF(L465="CN",'Impostos e Frete'!$I$4,IF(L465="JP",'Impostos e Frete'!$I$5,IF(L465="RU",'Impostos e Frete'!$I$7,"ERRO")))))</f>
        <v>0.14176320000000001</v>
      </c>
      <c r="CA465" s="212">
        <f>VLOOKUP(L465,'Impostos e Frete'!$A$3:$B$7,2,0)*'Preços e Condições'!BY465</f>
        <v>1.9558500000000001</v>
      </c>
      <c r="CB465" s="147">
        <f t="shared" si="116"/>
        <v>0</v>
      </c>
      <c r="CC465" s="147">
        <f>IF(X465="BRL",'Impostos e Frete'!$B$11,'Impostos e Frete'!$B$12)</f>
        <v>9.1999999999999998E-2</v>
      </c>
      <c r="CD465" s="213">
        <f t="shared" ca="1" si="117"/>
        <v>17.234613199999998</v>
      </c>
      <c r="CE465" s="214">
        <f t="shared" ca="1" si="118"/>
        <v>1.206422924</v>
      </c>
      <c r="CF465" s="215">
        <f>VLOOKUP(L465,'Impostos e Frete'!$A$3:$C$7,3,0)</f>
        <v>105</v>
      </c>
      <c r="CG465" s="215">
        <f t="shared" si="119"/>
        <v>120</v>
      </c>
      <c r="CH465" s="215">
        <f t="shared" si="120"/>
        <v>15</v>
      </c>
      <c r="CI465" s="216">
        <f t="shared" ca="1" si="121"/>
        <v>-0.12782337024459878</v>
      </c>
      <c r="CJ465" s="217">
        <f t="shared" ca="1" si="122"/>
        <v>17.1067898297554</v>
      </c>
      <c r="CK465" s="218">
        <f t="shared" ca="1" si="123"/>
        <v>1.1974752880828781</v>
      </c>
    </row>
    <row r="466" spans="1:89">
      <c r="A466" s="204">
        <v>7000440</v>
      </c>
      <c r="B466" s="186">
        <v>8269</v>
      </c>
      <c r="C466" s="197">
        <v>68</v>
      </c>
      <c r="D466" s="197"/>
      <c r="E466" s="197" t="s">
        <v>50</v>
      </c>
      <c r="F466" s="198" t="s">
        <v>1</v>
      </c>
      <c r="G466" s="192" t="s">
        <v>14</v>
      </c>
      <c r="H466" s="190" t="s">
        <v>42</v>
      </c>
      <c r="I466" s="178">
        <v>756</v>
      </c>
      <c r="J466" s="183"/>
      <c r="K466" s="190" t="s">
        <v>28</v>
      </c>
      <c r="L466" s="183" t="s">
        <v>58</v>
      </c>
      <c r="M466" s="183">
        <v>0</v>
      </c>
      <c r="N466" s="183"/>
      <c r="O466" s="183"/>
      <c r="P466" s="183">
        <v>3</v>
      </c>
      <c r="Q466" s="183" t="s">
        <v>27</v>
      </c>
      <c r="R466" s="183" t="s">
        <v>19</v>
      </c>
      <c r="S466" s="181">
        <v>0.12</v>
      </c>
      <c r="T466" s="181" t="s">
        <v>210</v>
      </c>
      <c r="U466" s="182">
        <v>9.2499999999999999E-2</v>
      </c>
      <c r="V466" s="182" t="s">
        <v>35</v>
      </c>
      <c r="W466" s="183">
        <v>50</v>
      </c>
      <c r="X466" s="182" t="s">
        <v>46</v>
      </c>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3"/>
      <c r="BB466" s="203"/>
      <c r="BC466" s="203"/>
      <c r="BD466" s="203"/>
      <c r="BE466" s="203"/>
      <c r="BF466" s="203"/>
      <c r="BG466" s="203"/>
      <c r="BH466" s="203"/>
      <c r="BI466" s="184">
        <v>18131</v>
      </c>
      <c r="BJ466" s="184">
        <v>18131</v>
      </c>
      <c r="BK466" s="184">
        <v>18131</v>
      </c>
      <c r="BL466" s="203">
        <v>19183</v>
      </c>
      <c r="BM466" s="203">
        <v>19183</v>
      </c>
      <c r="BN466" s="203">
        <v>19183</v>
      </c>
      <c r="BO466" s="203"/>
      <c r="BP466" s="203"/>
      <c r="BQ466" s="203"/>
      <c r="BR466" s="203"/>
      <c r="BS466" s="203"/>
      <c r="BT466" s="203"/>
      <c r="BU466" s="146" cm="1">
        <f t="array" ref="BU466">LOOKUP(2,1/(Y466:BT466&lt;&gt;""),Y466:BH466)</f>
        <v>19183</v>
      </c>
      <c r="BV466" s="145"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46174</v>
      </c>
      <c r="BW466" s="211" cm="1">
        <f t="array" ref="BW466">(LOOKUP(2,1/(BH466:BT466&lt;&gt;""),BH466:BT466))/(INDEX(BH466:BT466,MATCH(TRUE,INDEX((BH466:BT466&lt;&gt;0),0),0)))-1</f>
        <v>5.8022171970657954E-2</v>
      </c>
      <c r="BX466" s="212">
        <f t="shared" si="115"/>
        <v>19.183</v>
      </c>
      <c r="BY466" s="212">
        <f t="shared" si="220"/>
        <v>19.183</v>
      </c>
      <c r="BZ466" s="212">
        <f>IF(L466="BR",'Impostos e Frete'!$F$6,IF(L466="EU",'Impostos e Frete'!$I$3,IF(L466="CN",'Impostos e Frete'!$I$4,IF(L466="JP",'Impostos e Frete'!$I$5,IF(L466="RU",'Impostos e Frete'!$I$7,"ERRO")))))</f>
        <v>0</v>
      </c>
      <c r="CA466" s="212">
        <f>VLOOKUP(L466,'Impostos e Frete'!$A$3:$B$7,2,0)*'Preços e Condições'!BY466</f>
        <v>0</v>
      </c>
      <c r="CB466" s="147">
        <f t="shared" si="116"/>
        <v>0</v>
      </c>
      <c r="CC466" s="147">
        <f>IF(X466="BRL",'Impostos e Frete'!$B$11,'Impostos e Frete'!$B$12)</f>
        <v>0.2</v>
      </c>
      <c r="CD466" s="213">
        <f t="shared" si="117"/>
        <v>19.382999999999999</v>
      </c>
      <c r="CE466" s="214">
        <f t="shared" si="118"/>
        <v>1.3180439999999998</v>
      </c>
      <c r="CF466" s="215">
        <f>VLOOKUP(L466,'Impostos e Frete'!$A$3:$C$7,3,0)</f>
        <v>45</v>
      </c>
      <c r="CG466" s="215">
        <f t="shared" si="119"/>
        <v>0</v>
      </c>
      <c r="CH466" s="215">
        <f t="shared" si="120"/>
        <v>-45</v>
      </c>
      <c r="CI466" s="216">
        <f t="shared" si="121"/>
        <v>0.43774887485082559</v>
      </c>
      <c r="CJ466" s="217">
        <f t="shared" si="122"/>
        <v>19.820748874850825</v>
      </c>
      <c r="CK466" s="218">
        <f t="shared" si="123"/>
        <v>1.3478109234898561</v>
      </c>
    </row>
    <row r="467" spans="1:89">
      <c r="A467" s="204">
        <v>7000461</v>
      </c>
      <c r="B467" s="186">
        <v>104</v>
      </c>
      <c r="C467" s="197">
        <v>70</v>
      </c>
      <c r="D467" s="197"/>
      <c r="E467" s="197" t="s">
        <v>50</v>
      </c>
      <c r="F467" s="198" t="s">
        <v>108</v>
      </c>
      <c r="G467" s="189" t="s">
        <v>441</v>
      </c>
      <c r="H467" s="178" t="s">
        <v>43</v>
      </c>
      <c r="I467" s="178" t="s">
        <v>118</v>
      </c>
      <c r="J467" s="178"/>
      <c r="K467" s="178"/>
      <c r="L467" s="178" t="s">
        <v>59</v>
      </c>
      <c r="M467" s="178">
        <v>30</v>
      </c>
      <c r="N467" s="178">
        <v>500</v>
      </c>
      <c r="O467" s="178"/>
      <c r="P467" s="178"/>
      <c r="Q467" s="178"/>
      <c r="R467" s="178" t="s">
        <v>19</v>
      </c>
      <c r="S467" s="181"/>
      <c r="T467" s="181"/>
      <c r="U467" s="182"/>
      <c r="V467" s="182" t="s">
        <v>35</v>
      </c>
      <c r="W467" s="183">
        <v>80</v>
      </c>
      <c r="X467" s="202" t="s">
        <v>51</v>
      </c>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3"/>
      <c r="BB467" s="203"/>
      <c r="BC467" s="203"/>
      <c r="BD467" s="203"/>
      <c r="BE467" s="203"/>
      <c r="BF467" s="203"/>
      <c r="BG467" s="203"/>
      <c r="BH467" s="203"/>
      <c r="BI467" s="184">
        <v>2130</v>
      </c>
      <c r="BJ467" s="203">
        <v>2130</v>
      </c>
      <c r="BK467" s="203">
        <v>2130</v>
      </c>
      <c r="BL467" s="184">
        <v>2690</v>
      </c>
      <c r="BM467" s="184">
        <v>2690</v>
      </c>
      <c r="BN467" s="184">
        <v>2690</v>
      </c>
      <c r="BO467" s="203">
        <v>2250</v>
      </c>
      <c r="BP467" s="203">
        <v>2250</v>
      </c>
      <c r="BQ467" s="203">
        <v>2250</v>
      </c>
      <c r="BR467" s="203"/>
      <c r="BS467" s="203"/>
      <c r="BT467" s="203"/>
      <c r="BU467" s="146" cm="1">
        <f t="array" ref="BU467">LOOKUP(2,1/(Y467:BT467&lt;&gt;""),Y467:BH467)</f>
        <v>2250</v>
      </c>
      <c r="BV467" s="145"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46199</v>
      </c>
      <c r="BW467" s="211" cm="1">
        <f t="array" ref="BW467">(LOOKUP(2,1/(BH467:BT467&lt;&gt;""),BH467:BT467))/(INDEX(BH467:BT467,MATCH(TRUE,INDEX((BH467:BT467&lt;&gt;0),0),0)))-1</f>
        <v>5.6338028169014009E-2</v>
      </c>
      <c r="BX467" s="212">
        <f t="shared" si="115"/>
        <v>2.25</v>
      </c>
      <c r="BY467" s="212">
        <f t="shared" si="220"/>
        <v>13.275</v>
      </c>
      <c r="BZ467" s="212">
        <f ca="1">IF(L467="BR",'Impostos e Frete'!$F$6,IF(L467="EU",'Impostos e Frete'!$I$3,IF(L467="CN",'Impostos e Frete'!$I$4,IF(L467="JP",'Impostos e Frete'!$I$5,IF(L467="RU",'Impostos e Frete'!$I$7,"ERRO")))))</f>
        <v>0.14176320000000001</v>
      </c>
      <c r="CA467" s="212">
        <f>VLOOKUP(L467,'Impostos e Frete'!$A$3:$B$7,2,0)*'Preços e Condições'!BY467</f>
        <v>1.7257500000000001</v>
      </c>
      <c r="CB467" s="147">
        <f t="shared" si="116"/>
        <v>0</v>
      </c>
      <c r="CC467" s="147">
        <f>IF(X467="BRL",'Impostos e Frete'!$B$11,'Impostos e Frete'!$B$12)</f>
        <v>9.1999999999999998E-2</v>
      </c>
      <c r="CD467" s="213">
        <f t="shared" ca="1" si="117"/>
        <v>15.2345132</v>
      </c>
      <c r="CE467" s="214">
        <f t="shared" ca="1" si="118"/>
        <v>1.066415924</v>
      </c>
      <c r="CF467" s="215">
        <f>VLOOKUP(L467,'Impostos e Frete'!$A$3:$C$7,3,0)</f>
        <v>105</v>
      </c>
      <c r="CG467" s="215">
        <f t="shared" si="119"/>
        <v>30</v>
      </c>
      <c r="CH467" s="215">
        <f t="shared" si="120"/>
        <v>-75</v>
      </c>
      <c r="CI467" s="216">
        <f t="shared" ca="1" si="121"/>
        <v>0.57773734291477297</v>
      </c>
      <c r="CJ467" s="217">
        <f t="shared" ca="1" si="122"/>
        <v>15.812250542914773</v>
      </c>
      <c r="CK467" s="218">
        <f t="shared" ca="1" si="123"/>
        <v>1.106857538004034</v>
      </c>
    </row>
    <row r="468" spans="1:89">
      <c r="A468" s="204">
        <v>7000466</v>
      </c>
      <c r="B468" s="186">
        <v>9370</v>
      </c>
      <c r="C468" s="197">
        <v>70</v>
      </c>
      <c r="D468" s="178">
        <v>1880</v>
      </c>
      <c r="E468" s="197" t="s">
        <v>209</v>
      </c>
      <c r="F468" s="179" t="s">
        <v>470</v>
      </c>
      <c r="G468" s="180" t="s">
        <v>82</v>
      </c>
      <c r="H468" s="178" t="s">
        <v>43</v>
      </c>
      <c r="I468" s="178" t="s">
        <v>213</v>
      </c>
      <c r="J468" s="178"/>
      <c r="K468" s="178"/>
      <c r="L468" s="178" t="s">
        <v>59</v>
      </c>
      <c r="M468" s="178">
        <v>60</v>
      </c>
      <c r="N468" s="178"/>
      <c r="O468" s="178"/>
      <c r="P468" s="178"/>
      <c r="Q468" s="178"/>
      <c r="R468" s="178" t="s">
        <v>19</v>
      </c>
      <c r="S468" s="181"/>
      <c r="T468" s="181"/>
      <c r="U468" s="182"/>
      <c r="V468" s="182" t="s">
        <v>35</v>
      </c>
      <c r="W468" s="183">
        <v>400</v>
      </c>
      <c r="X468" s="182" t="s">
        <v>51</v>
      </c>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3"/>
      <c r="BB468" s="203"/>
      <c r="BC468" s="203"/>
      <c r="BD468" s="203"/>
      <c r="BE468" s="203"/>
      <c r="BF468" s="203"/>
      <c r="BG468" s="203"/>
      <c r="BH468" s="203"/>
      <c r="BI468" s="184">
        <v>2660</v>
      </c>
      <c r="BJ468" s="203"/>
      <c r="BK468" s="203"/>
      <c r="BL468" s="203">
        <v>2680</v>
      </c>
      <c r="BM468" s="203">
        <v>2780</v>
      </c>
      <c r="BN468" s="203">
        <v>2780</v>
      </c>
      <c r="BO468" s="203"/>
      <c r="BP468" s="203"/>
      <c r="BQ468" s="203"/>
      <c r="BR468" s="203"/>
      <c r="BS468" s="203"/>
      <c r="BT468" s="203"/>
      <c r="BU468" s="146" cm="1">
        <f t="array" ref="BU468">LOOKUP(2,1/(Y468:BT468&lt;&gt;""),Y468:BH468)</f>
        <v>2780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46174</v>
      </c>
      <c r="BW468" s="211" cm="1">
        <f t="array" ref="BW468">(LOOKUP(2,1/(BH468:BT468&lt;&gt;""),BH468:BT468))/(INDEX(BH468:BT468,MATCH(TRUE,INDEX((BH468:BT468&lt;&gt;0),0),0)))-1</f>
        <v>4.5112781954887327E-2</v>
      </c>
      <c r="BX468" s="212">
        <f t="shared" si="115"/>
        <v>2.78</v>
      </c>
      <c r="BY468" s="212">
        <f t="shared" si="220"/>
        <v>16.402000000000001</v>
      </c>
      <c r="BZ468" s="212">
        <f ca="1">IF(L468="BR",'Impostos e Frete'!$F$6,IF(L468="EU",'Impostos e Frete'!$I$3,IF(L468="CN",'Impostos e Frete'!$I$4,IF(L468="JP",'Impostos e Frete'!$I$5,IF(L468="RU",'Impostos e Frete'!$I$7,"ERRO")))))</f>
        <v>0.14176320000000001</v>
      </c>
      <c r="CA468" s="212">
        <f>VLOOKUP(L468,'Impostos e Frete'!$A$3:$B$7,2,0)*'Preços e Condições'!BY468</f>
        <v>2.13226</v>
      </c>
      <c r="CB468" s="147">
        <f t="shared" si="116"/>
        <v>0</v>
      </c>
      <c r="CC468" s="147">
        <f>IF(X468="BRL",'Impostos e Frete'!$B$11,'Impostos e Frete'!$B$12)</f>
        <v>9.1999999999999998E-2</v>
      </c>
      <c r="CD468" s="213">
        <f t="shared" ca="1" si="117"/>
        <v>18.768023199999998</v>
      </c>
      <c r="CE468" s="214">
        <f t="shared" ca="1" si="118"/>
        <v>1.3137616239999999</v>
      </c>
      <c r="CF468" s="215">
        <f>VLOOKUP(L468,'Impostos e Frete'!$A$3:$C$7,3,0)</f>
        <v>105</v>
      </c>
      <c r="CG468" s="215">
        <f t="shared" si="119"/>
        <v>60</v>
      </c>
      <c r="CH468" s="215">
        <f t="shared" si="120"/>
        <v>-45</v>
      </c>
      <c r="CI468" s="216">
        <f t="shared" ca="1" si="121"/>
        <v>0.42386013718073556</v>
      </c>
      <c r="CJ468" s="217">
        <f t="shared" ca="1" si="122"/>
        <v>19.191883337180734</v>
      </c>
      <c r="CK468" s="218">
        <f t="shared" ca="1" si="123"/>
        <v>1.3434318336026514</v>
      </c>
    </row>
    <row r="469" spans="1:89">
      <c r="A469" s="204">
        <v>7000466</v>
      </c>
      <c r="B469" s="186">
        <v>9370</v>
      </c>
      <c r="C469" s="197">
        <v>70</v>
      </c>
      <c r="D469" s="178">
        <v>1880</v>
      </c>
      <c r="E469" s="197" t="s">
        <v>209</v>
      </c>
      <c r="F469" s="179" t="s">
        <v>470</v>
      </c>
      <c r="G469" s="180" t="s">
        <v>82</v>
      </c>
      <c r="H469" s="178" t="s">
        <v>43</v>
      </c>
      <c r="I469" s="178" t="s">
        <v>213</v>
      </c>
      <c r="J469" s="178"/>
      <c r="K469" s="178"/>
      <c r="L469" s="178" t="s">
        <v>59</v>
      </c>
      <c r="M469" s="178">
        <v>60</v>
      </c>
      <c r="N469" s="178"/>
      <c r="O469" s="178"/>
      <c r="P469" s="178"/>
      <c r="Q469" s="178"/>
      <c r="R469" s="178" t="s">
        <v>19</v>
      </c>
      <c r="S469" s="181"/>
      <c r="T469" s="181"/>
      <c r="U469" s="182"/>
      <c r="V469" s="182" t="s">
        <v>35</v>
      </c>
      <c r="W469" s="183">
        <v>800</v>
      </c>
      <c r="X469" s="182" t="s">
        <v>51</v>
      </c>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3"/>
      <c r="BB469" s="203"/>
      <c r="BC469" s="203"/>
      <c r="BD469" s="203"/>
      <c r="BE469" s="203"/>
      <c r="BF469" s="203"/>
      <c r="BG469" s="203"/>
      <c r="BH469" s="203"/>
      <c r="BI469" s="184"/>
      <c r="BJ469" s="203"/>
      <c r="BK469" s="203"/>
      <c r="BL469" s="203">
        <v>2630</v>
      </c>
      <c r="BM469" s="203">
        <v>2730</v>
      </c>
      <c r="BN469" s="203">
        <v>2730</v>
      </c>
      <c r="BO469" s="203"/>
      <c r="BP469" s="203"/>
      <c r="BQ469" s="203"/>
      <c r="BR469" s="203"/>
      <c r="BS469" s="203"/>
      <c r="BT469" s="203"/>
      <c r="BU469" s="146" cm="1">
        <f t="array" ref="BU469">LOOKUP(2,1/(Y469:BT469&lt;&gt;""),Y469:BH469)</f>
        <v>2730</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46174</v>
      </c>
      <c r="BW469" s="211" cm="1">
        <f t="array" ref="BW469">(LOOKUP(2,1/(BH469:BT469&lt;&gt;""),BH469:BT469))/(INDEX(BH469:BT469,MATCH(TRUE,INDEX((BH469:BT469&lt;&gt;0),0),0)))-1</f>
        <v>3.8022813688213031E-2</v>
      </c>
      <c r="BX469" s="212">
        <f t="shared" ref="BX469" si="230">BU469/1000</f>
        <v>2.73</v>
      </c>
      <c r="BY469" s="212">
        <f t="shared" si="220"/>
        <v>16.106999999999999</v>
      </c>
      <c r="BZ469" s="212">
        <f ca="1">IF(L469="BR",'Impostos e Frete'!$F$6,IF(L469="EU",'Impostos e Frete'!$I$3,IF(L469="CN",'Impostos e Frete'!$I$4,IF(L469="JP",'Impostos e Frete'!$I$5,IF(L469="RU",'Impostos e Frete'!$I$7,"ERRO")))))</f>
        <v>0.14176320000000001</v>
      </c>
      <c r="CA469" s="212">
        <f>VLOOKUP(L469,'Impostos e Frete'!$A$3:$B$7,2,0)*'Preços e Condições'!BY469</f>
        <v>2.0939100000000002</v>
      </c>
      <c r="CB469" s="147">
        <f t="shared" ref="CB469" si="231">IF(R469="CFR",$CB$2,IF(R469="FOB",0,IF(R469="EXW",$CB$1,"ERRO")))</f>
        <v>0</v>
      </c>
      <c r="CC469" s="147">
        <f>IF(X469="BRL",'Impostos e Frete'!$B$11,'Impostos e Frete'!$B$12)</f>
        <v>9.1999999999999998E-2</v>
      </c>
      <c r="CD469" s="213">
        <f t="shared" ref="CD469" ca="1" si="232">SUM(BY469:CC469)</f>
        <v>18.434673199999999</v>
      </c>
      <c r="CE469" s="214">
        <f t="shared" ref="CE469" ca="1" si="233">IF(C469="","erro",(CD469/1000)*C469)</f>
        <v>1.2904271239999998</v>
      </c>
      <c r="CF469" s="215">
        <f>VLOOKUP(L469,'Impostos e Frete'!$A$3:$C$7,3,0)</f>
        <v>105</v>
      </c>
      <c r="CG469" s="215">
        <f t="shared" ref="CG469" si="234">M469</f>
        <v>60</v>
      </c>
      <c r="CH469" s="215">
        <f t="shared" ref="CH469" si="235">CG469-CF469</f>
        <v>-45</v>
      </c>
      <c r="CI469" s="216">
        <f t="shared" ref="CI469" ca="1" si="236">CD469*(1+VALUE($CI$2))^((CH469*-1)/30)-CD469</f>
        <v>0.41633170569791389</v>
      </c>
      <c r="CJ469" s="217">
        <f t="shared" ref="CJ469" ca="1" si="237">CD469+CI469</f>
        <v>18.851004905697913</v>
      </c>
      <c r="CK469" s="218">
        <f t="shared" ref="CK469" ca="1" si="238">IF(C469="","erro",(CJ469/1000)*C469)</f>
        <v>1.3195703433988539</v>
      </c>
    </row>
    <row r="470" spans="1:89">
      <c r="A470" s="204">
        <v>7000469</v>
      </c>
      <c r="B470" s="186">
        <v>9370</v>
      </c>
      <c r="C470" s="197">
        <v>70</v>
      </c>
      <c r="D470" s="178">
        <v>1880</v>
      </c>
      <c r="E470" s="197" t="s">
        <v>209</v>
      </c>
      <c r="F470" s="179" t="s">
        <v>470</v>
      </c>
      <c r="G470" s="180" t="s">
        <v>308</v>
      </c>
      <c r="H470" s="178" t="s">
        <v>43</v>
      </c>
      <c r="I470" s="178" t="s">
        <v>213</v>
      </c>
      <c r="J470" s="178"/>
      <c r="K470" s="178"/>
      <c r="L470" s="178" t="s">
        <v>59</v>
      </c>
      <c r="M470" s="178">
        <v>60</v>
      </c>
      <c r="N470" s="178"/>
      <c r="O470" s="178"/>
      <c r="P470" s="178"/>
      <c r="Q470" s="178"/>
      <c r="R470" s="178" t="s">
        <v>19</v>
      </c>
      <c r="S470" s="181"/>
      <c r="T470" s="181"/>
      <c r="U470" s="182"/>
      <c r="V470" s="182" t="s">
        <v>35</v>
      </c>
      <c r="W470" s="183">
        <v>400</v>
      </c>
      <c r="X470" s="182" t="s">
        <v>51</v>
      </c>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3"/>
      <c r="BB470" s="203"/>
      <c r="BC470" s="203"/>
      <c r="BD470" s="203"/>
      <c r="BE470" s="203"/>
      <c r="BF470" s="203"/>
      <c r="BG470" s="203"/>
      <c r="BH470" s="203"/>
      <c r="BI470" s="184">
        <v>2660</v>
      </c>
      <c r="BJ470" s="203"/>
      <c r="BK470" s="203"/>
      <c r="BL470" s="203">
        <v>2680</v>
      </c>
      <c r="BM470" s="203">
        <v>2780</v>
      </c>
      <c r="BN470" s="203">
        <v>2780</v>
      </c>
      <c r="BO470" s="203"/>
      <c r="BP470" s="203"/>
      <c r="BQ470" s="203"/>
      <c r="BR470" s="203"/>
      <c r="BS470" s="203"/>
      <c r="BT470" s="203"/>
      <c r="BU470" s="146" cm="1">
        <f t="array" ref="BU470">LOOKUP(2,1/(Y470:BT470&lt;&gt;""),Y470:BH470)</f>
        <v>2780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46174</v>
      </c>
      <c r="BW470" s="211" cm="1">
        <f t="array" ref="BW470">(LOOKUP(2,1/(BH470:BT470&lt;&gt;""),BH470:BT470))/(INDEX(BH470:BT470,MATCH(TRUE,INDEX((BH470:BT470&lt;&gt;0),0),0)))-1</f>
        <v>4.5112781954887327E-2</v>
      </c>
      <c r="BX470" s="212">
        <f t="shared" si="115"/>
        <v>2.78</v>
      </c>
      <c r="BY470" s="212">
        <f t="shared" si="220"/>
        <v>16.402000000000001</v>
      </c>
      <c r="BZ470" s="212">
        <f ca="1">IF(L470="BR",'Impostos e Frete'!$F$6,IF(L470="EU",'Impostos e Frete'!$I$3,IF(L470="CN",'Impostos e Frete'!$I$4,IF(L470="JP",'Impostos e Frete'!$I$5,IF(L470="RU",'Impostos e Frete'!$I$7,"ERRO")))))</f>
        <v>0.14176320000000001</v>
      </c>
      <c r="CA470" s="212">
        <f>VLOOKUP(L470,'Impostos e Frete'!$A$3:$B$7,2,0)*'Preços e Condições'!BY470</f>
        <v>2.13226</v>
      </c>
      <c r="CB470" s="147">
        <f t="shared" si="116"/>
        <v>0</v>
      </c>
      <c r="CC470" s="147">
        <f>IF(X470="BRL",'Impostos e Frete'!$B$11,'Impostos e Frete'!$B$12)</f>
        <v>9.1999999999999998E-2</v>
      </c>
      <c r="CD470" s="213">
        <f t="shared" ca="1" si="117"/>
        <v>18.768023199999998</v>
      </c>
      <c r="CE470" s="214">
        <f t="shared" ca="1" si="118"/>
        <v>1.3137616239999999</v>
      </c>
      <c r="CF470" s="215">
        <f>VLOOKUP(L470,'Impostos e Frete'!$A$3:$C$7,3,0)</f>
        <v>105</v>
      </c>
      <c r="CG470" s="215">
        <f t="shared" si="119"/>
        <v>60</v>
      </c>
      <c r="CH470" s="215">
        <f t="shared" si="120"/>
        <v>-45</v>
      </c>
      <c r="CI470" s="216">
        <f t="shared" ca="1" si="121"/>
        <v>0.42386013718073556</v>
      </c>
      <c r="CJ470" s="217">
        <f t="shared" ca="1" si="122"/>
        <v>19.191883337180734</v>
      </c>
      <c r="CK470" s="218">
        <f t="shared" ca="1" si="123"/>
        <v>1.3434318336026514</v>
      </c>
    </row>
    <row r="471" spans="1:89">
      <c r="A471" s="204">
        <v>7004757</v>
      </c>
      <c r="B471" s="186">
        <v>9370</v>
      </c>
      <c r="C471" s="197">
        <v>65</v>
      </c>
      <c r="D471" s="178">
        <v>1880</v>
      </c>
      <c r="E471" s="197" t="s">
        <v>209</v>
      </c>
      <c r="F471" s="179" t="s">
        <v>240</v>
      </c>
      <c r="G471" s="180" t="s">
        <v>305</v>
      </c>
      <c r="H471" s="178" t="s">
        <v>43</v>
      </c>
      <c r="I471" s="178" t="s">
        <v>241</v>
      </c>
      <c r="J471" s="178"/>
      <c r="K471" s="178"/>
      <c r="L471" s="178" t="s">
        <v>60</v>
      </c>
      <c r="M471" s="178">
        <v>90</v>
      </c>
      <c r="N471" s="178">
        <v>3300</v>
      </c>
      <c r="O471" s="178"/>
      <c r="P471" s="178"/>
      <c r="Q471" s="178"/>
      <c r="R471" s="178" t="s">
        <v>19</v>
      </c>
      <c r="S471" s="181"/>
      <c r="T471" s="181"/>
      <c r="U471" s="182"/>
      <c r="V471" s="182" t="s">
        <v>35</v>
      </c>
      <c r="W471" s="183">
        <v>100</v>
      </c>
      <c r="X471" s="182" t="s">
        <v>267</v>
      </c>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3"/>
      <c r="BB471" s="203"/>
      <c r="BC471" s="203"/>
      <c r="BD471" s="203"/>
      <c r="BE471" s="203"/>
      <c r="BF471" s="203"/>
      <c r="BG471" s="203"/>
      <c r="BH471" s="203"/>
      <c r="BI471" s="184">
        <v>19500</v>
      </c>
      <c r="BJ471" s="184">
        <v>19500</v>
      </c>
      <c r="BK471" s="184">
        <v>19500</v>
      </c>
      <c r="BL471" s="184">
        <v>19500</v>
      </c>
      <c r="BM471" s="184">
        <v>19500</v>
      </c>
      <c r="BN471" s="184">
        <v>19500</v>
      </c>
      <c r="BO471" s="203"/>
      <c r="BP471" s="203"/>
      <c r="BQ471" s="203"/>
      <c r="BR471" s="203"/>
      <c r="BS471" s="203"/>
      <c r="BT471" s="203"/>
      <c r="BU471" s="146" cm="1">
        <f t="array" ref="BU471">LOOKUP(2,1/(Y471:BT471&lt;&gt;""),Y471:BH471)</f>
        <v>19500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46174</v>
      </c>
      <c r="BW471" s="211" cm="1">
        <f t="array" ref="BW471">(LOOKUP(2,1/(BH471:BT471&lt;&gt;""),BH471:BT471))/(INDEX(BH471:BT471,MATCH(TRUE,INDEX((BH471:BT471&lt;&gt;0),0),0)))-1</f>
        <v>0</v>
      </c>
      <c r="BX471" s="212">
        <f t="shared" si="115"/>
        <v>19.5</v>
      </c>
      <c r="BY471" s="212">
        <f t="shared" si="220"/>
        <v>14.625</v>
      </c>
      <c r="BZ471" s="212">
        <f ca="1">IF(L471="BR",'Impostos e Frete'!$F$6,IF(L471="EU",'Impostos e Frete'!$I$3,IF(L471="CN",'Impostos e Frete'!$I$4,IF(L471="JP",'Impostos e Frete'!$I$5,IF(L471="RU",'Impostos e Frete'!$I$7,"ERRO")))))</f>
        <v>1.11958</v>
      </c>
      <c r="CA471" s="212">
        <f>VLOOKUP(L471,'Impostos e Frete'!$A$3:$B$7,2,0)*'Preços e Condições'!BY471</f>
        <v>2.0475000000000003</v>
      </c>
      <c r="CB471" s="147">
        <f t="shared" si="116"/>
        <v>0</v>
      </c>
      <c r="CC471" s="147">
        <f>IF(X471="BRL",'Impostos e Frete'!$B$11,'Impostos e Frete'!$B$12)</f>
        <v>9.1999999999999998E-2</v>
      </c>
      <c r="CD471" s="213">
        <f t="shared" ca="1" si="117"/>
        <v>17.884079999999997</v>
      </c>
      <c r="CE471" s="214">
        <f t="shared" ca="1" si="118"/>
        <v>1.1624651999999998</v>
      </c>
      <c r="CF471" s="215">
        <f>VLOOKUP(L471,'Impostos e Frete'!$A$3:$C$7,3,0)</f>
        <v>120</v>
      </c>
      <c r="CG471" s="215">
        <f t="shared" si="119"/>
        <v>90</v>
      </c>
      <c r="CH471" s="215">
        <f t="shared" si="120"/>
        <v>-30</v>
      </c>
      <c r="CI471" s="216">
        <f t="shared" ca="1" si="121"/>
        <v>0.26826119999999776</v>
      </c>
      <c r="CJ471" s="217">
        <f t="shared" ca="1" si="122"/>
        <v>18.152341199999995</v>
      </c>
      <c r="CK471" s="218">
        <f t="shared" ca="1" si="123"/>
        <v>1.1799021779999996</v>
      </c>
    </row>
    <row r="472" spans="1:89">
      <c r="A472" s="204">
        <v>7002362</v>
      </c>
      <c r="B472" s="186">
        <v>9370</v>
      </c>
      <c r="C472" s="197">
        <v>70</v>
      </c>
      <c r="D472" s="178">
        <v>1880</v>
      </c>
      <c r="E472" s="197" t="s">
        <v>209</v>
      </c>
      <c r="F472" s="179" t="s">
        <v>240</v>
      </c>
      <c r="G472" s="180" t="s">
        <v>305</v>
      </c>
      <c r="H472" s="178" t="s">
        <v>43</v>
      </c>
      <c r="I472" s="178" t="s">
        <v>241</v>
      </c>
      <c r="J472" s="178"/>
      <c r="K472" s="178"/>
      <c r="L472" s="178" t="s">
        <v>60</v>
      </c>
      <c r="M472" s="178">
        <v>90</v>
      </c>
      <c r="N472" s="178">
        <v>3300</v>
      </c>
      <c r="O472" s="178"/>
      <c r="P472" s="178"/>
      <c r="Q472" s="178"/>
      <c r="R472" s="178" t="s">
        <v>19</v>
      </c>
      <c r="S472" s="181"/>
      <c r="T472" s="181"/>
      <c r="U472" s="182"/>
      <c r="V472" s="182" t="s">
        <v>35</v>
      </c>
      <c r="W472" s="183">
        <v>100</v>
      </c>
      <c r="X472" s="182" t="s">
        <v>267</v>
      </c>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3"/>
      <c r="BB472" s="203"/>
      <c r="BC472" s="203"/>
      <c r="BD472" s="203"/>
      <c r="BE472" s="203"/>
      <c r="BF472" s="203"/>
      <c r="BG472" s="203"/>
      <c r="BH472" s="203"/>
      <c r="BI472" s="184">
        <v>19500</v>
      </c>
      <c r="BJ472" s="184">
        <v>19500</v>
      </c>
      <c r="BK472" s="184">
        <v>19500</v>
      </c>
      <c r="BL472" s="184">
        <v>19500</v>
      </c>
      <c r="BM472" s="184">
        <v>19500</v>
      </c>
      <c r="BN472" s="184">
        <v>19500</v>
      </c>
      <c r="BO472" s="203"/>
      <c r="BP472" s="203"/>
      <c r="BQ472" s="203"/>
      <c r="BR472" s="203"/>
      <c r="BS472" s="203"/>
      <c r="BT472" s="203"/>
      <c r="BU472" s="146" cm="1">
        <f t="array" ref="BU472">LOOKUP(2,1/(Y472:BT472&lt;&gt;""),Y472:BH472)</f>
        <v>19500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46174</v>
      </c>
      <c r="BW472" s="211" cm="1">
        <f t="array" ref="BW472">(LOOKUP(2,1/(BH472:BT472&lt;&gt;""),BH472:BT472))/(INDEX(BH472:BT472,MATCH(TRUE,INDEX((BH472:BT472&lt;&gt;0),0),0)))-1</f>
        <v>0</v>
      </c>
      <c r="BX472" s="212">
        <f t="shared" si="115"/>
        <v>19.5</v>
      </c>
      <c r="BY472" s="212">
        <f t="shared" si="220"/>
        <v>14.625</v>
      </c>
      <c r="BZ472" s="212">
        <f ca="1">IF(L472="BR",'Impostos e Frete'!$F$6,IF(L472="EU",'Impostos e Frete'!$I$3,IF(L472="CN",'Impostos e Frete'!$I$4,IF(L472="JP",'Impostos e Frete'!$I$5,IF(L472="RU",'Impostos e Frete'!$I$7,"ERRO")))))</f>
        <v>1.11958</v>
      </c>
      <c r="CA472" s="212">
        <f>VLOOKUP(L472,'Impostos e Frete'!$A$3:$B$7,2,0)*'Preços e Condições'!BY472</f>
        <v>2.0475000000000003</v>
      </c>
      <c r="CB472" s="147">
        <f t="shared" si="116"/>
        <v>0</v>
      </c>
      <c r="CC472" s="147">
        <f>IF(X472="BRL",'Impostos e Frete'!$B$11,'Impostos e Frete'!$B$12)</f>
        <v>9.1999999999999998E-2</v>
      </c>
      <c r="CD472" s="213">
        <f t="shared" ca="1" si="117"/>
        <v>17.884079999999997</v>
      </c>
      <c r="CE472" s="214">
        <f t="shared" ca="1" si="118"/>
        <v>1.2518855999999998</v>
      </c>
      <c r="CF472" s="215">
        <f>VLOOKUP(L472,'Impostos e Frete'!$A$3:$C$7,3,0)</f>
        <v>120</v>
      </c>
      <c r="CG472" s="215">
        <f t="shared" si="119"/>
        <v>90</v>
      </c>
      <c r="CH472" s="215">
        <f t="shared" si="120"/>
        <v>-30</v>
      </c>
      <c r="CI472" s="216">
        <f t="shared" ca="1" si="121"/>
        <v>0.26826119999999776</v>
      </c>
      <c r="CJ472" s="217">
        <f t="shared" ca="1" si="122"/>
        <v>18.152341199999995</v>
      </c>
      <c r="CK472" s="218">
        <f t="shared" ca="1" si="123"/>
        <v>1.2706638839999995</v>
      </c>
    </row>
    <row r="473" spans="1:89">
      <c r="A473" s="204">
        <v>7000470</v>
      </c>
      <c r="B473" s="186">
        <v>9371</v>
      </c>
      <c r="C473" s="197">
        <v>40</v>
      </c>
      <c r="D473" s="197"/>
      <c r="E473" s="197" t="s">
        <v>209</v>
      </c>
      <c r="F473" s="198" t="s">
        <v>442</v>
      </c>
      <c r="G473" s="185" t="s">
        <v>122</v>
      </c>
      <c r="H473" s="178" t="s">
        <v>43</v>
      </c>
      <c r="I473" s="197"/>
      <c r="J473" s="197"/>
      <c r="K473" s="197"/>
      <c r="L473" s="183" t="s">
        <v>58</v>
      </c>
      <c r="M473" s="183">
        <v>0</v>
      </c>
      <c r="N473" s="183"/>
      <c r="O473" s="178"/>
      <c r="P473" s="178">
        <v>0</v>
      </c>
      <c r="Q473" s="178"/>
      <c r="R473" s="178" t="s">
        <v>19</v>
      </c>
      <c r="S473" s="181">
        <v>0.12</v>
      </c>
      <c r="T473" s="181" t="s">
        <v>23</v>
      </c>
      <c r="U473" s="182">
        <v>9.2499999999999999E-2</v>
      </c>
      <c r="V473" s="182" t="s">
        <v>35</v>
      </c>
      <c r="W473" s="183"/>
      <c r="X473" s="182" t="s">
        <v>46</v>
      </c>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3"/>
      <c r="BB473" s="203"/>
      <c r="BC473" s="203"/>
      <c r="BD473" s="203"/>
      <c r="BE473" s="203"/>
      <c r="BF473" s="203"/>
      <c r="BG473" s="203"/>
      <c r="BH473" s="203"/>
      <c r="BI473" s="184">
        <v>17981.11</v>
      </c>
      <c r="BJ473" s="184">
        <v>18610.439999999999</v>
      </c>
      <c r="BK473" s="184">
        <v>19239.78</v>
      </c>
      <c r="BL473" s="184">
        <v>19239.78</v>
      </c>
      <c r="BM473" s="184">
        <v>19239.78</v>
      </c>
      <c r="BN473" s="184">
        <v>19239.78</v>
      </c>
      <c r="BO473" s="203"/>
      <c r="BP473" s="203"/>
      <c r="BQ473" s="203"/>
      <c r="BR473" s="203"/>
      <c r="BS473" s="203"/>
      <c r="BT473" s="203"/>
      <c r="BU473" s="146" cm="1">
        <f t="array" ref="BU473">LOOKUP(2,1/(Y473:BT473&lt;&gt;""),Y473:BH473)</f>
        <v>19239.78</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46174</v>
      </c>
      <c r="BW473" s="211" cm="1">
        <f t="array" ref="BW473">(LOOKUP(2,1/(BH473:BT473&lt;&gt;""),BH473:BT473))/(INDEX(BH473:BT473,MATCH(TRUE,INDEX((BH473:BT473&lt;&gt;0),0),0)))-1</f>
        <v>6.9999571772821456E-2</v>
      </c>
      <c r="BX473" s="212">
        <f t="shared" si="115"/>
        <v>19.23978</v>
      </c>
      <c r="BY473" s="212">
        <f t="shared" si="220"/>
        <v>19.23978</v>
      </c>
      <c r="BZ473" s="212">
        <f>IF(L473="BR",'Impostos e Frete'!$F$6,IF(L473="EU",'Impostos e Frete'!$I$3,IF(L473="CN",'Impostos e Frete'!$I$4,IF(L473="JP",'Impostos e Frete'!$I$5,IF(L473="RU",'Impostos e Frete'!$I$7,"ERRO")))))</f>
        <v>0</v>
      </c>
      <c r="CA473" s="212">
        <f>VLOOKUP(L473,'Impostos e Frete'!$A$3:$B$7,2,0)*'Preços e Condições'!BY473</f>
        <v>0</v>
      </c>
      <c r="CB473" s="147">
        <f t="shared" si="116"/>
        <v>0</v>
      </c>
      <c r="CC473" s="147">
        <f>IF(X473="BRL",'Impostos e Frete'!$B$11,'Impostos e Frete'!$B$12)</f>
        <v>0.2</v>
      </c>
      <c r="CD473" s="213">
        <f t="shared" si="117"/>
        <v>19.439779999999999</v>
      </c>
      <c r="CE473" s="214">
        <f t="shared" si="118"/>
        <v>0.77759120000000004</v>
      </c>
      <c r="CF473" s="215">
        <f>VLOOKUP(L473,'Impostos e Frete'!$A$3:$C$7,3,0)</f>
        <v>45</v>
      </c>
      <c r="CG473" s="215">
        <f t="shared" si="119"/>
        <v>0</v>
      </c>
      <c r="CH473" s="215">
        <f t="shared" si="120"/>
        <v>-45</v>
      </c>
      <c r="CI473" s="216">
        <f t="shared" si="121"/>
        <v>0.43903120375316362</v>
      </c>
      <c r="CJ473" s="217">
        <f t="shared" si="122"/>
        <v>19.878811203753163</v>
      </c>
      <c r="CK473" s="218">
        <f t="shared" si="123"/>
        <v>0.79515244815012653</v>
      </c>
    </row>
    <row r="474" spans="1:89">
      <c r="A474" s="204">
        <v>7000471</v>
      </c>
      <c r="B474" s="186">
        <v>9372</v>
      </c>
      <c r="C474" s="197">
        <v>40</v>
      </c>
      <c r="D474" s="197"/>
      <c r="E474" s="197" t="s">
        <v>209</v>
      </c>
      <c r="F474" s="198" t="s">
        <v>442</v>
      </c>
      <c r="G474" s="185" t="s">
        <v>75</v>
      </c>
      <c r="H474" s="178" t="s">
        <v>43</v>
      </c>
      <c r="I474" s="197"/>
      <c r="J474" s="197"/>
      <c r="K474" s="197"/>
      <c r="L474" s="183" t="s">
        <v>58</v>
      </c>
      <c r="M474" s="183">
        <v>0</v>
      </c>
      <c r="N474" s="183"/>
      <c r="O474" s="178"/>
      <c r="P474" s="178">
        <v>0</v>
      </c>
      <c r="Q474" s="178"/>
      <c r="R474" s="178" t="s">
        <v>19</v>
      </c>
      <c r="S474" s="181">
        <v>0.12</v>
      </c>
      <c r="T474" s="181" t="s">
        <v>23</v>
      </c>
      <c r="U474" s="182">
        <v>9.2499999999999999E-2</v>
      </c>
      <c r="V474" s="182" t="s">
        <v>35</v>
      </c>
      <c r="W474" s="183"/>
      <c r="X474" s="182" t="s">
        <v>46</v>
      </c>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3"/>
      <c r="BB474" s="203"/>
      <c r="BC474" s="203"/>
      <c r="BD474" s="203"/>
      <c r="BE474" s="203"/>
      <c r="BF474" s="203"/>
      <c r="BG474" s="203"/>
      <c r="BH474" s="203"/>
      <c r="BI474" s="184">
        <v>13274.03</v>
      </c>
      <c r="BJ474" s="184">
        <v>13738.61</v>
      </c>
      <c r="BK474" s="184">
        <v>14203.2</v>
      </c>
      <c r="BL474" s="184">
        <v>14203.2</v>
      </c>
      <c r="BM474" s="184">
        <v>14203.2</v>
      </c>
      <c r="BN474" s="184">
        <v>14203.2</v>
      </c>
      <c r="BO474" s="203"/>
      <c r="BP474" s="203"/>
      <c r="BQ474" s="203"/>
      <c r="BR474" s="203"/>
      <c r="BS474" s="203"/>
      <c r="BT474" s="203"/>
      <c r="BU474" s="146" cm="1">
        <f t="array" ref="BU474">LOOKUP(2,1/(Y474:BT474&lt;&gt;""),Y474:BH474)</f>
        <v>14203.2</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46174</v>
      </c>
      <c r="BW474" s="211" cm="1">
        <f t="array" ref="BW474">(LOOKUP(2,1/(BH474:BT474&lt;&gt;""),BH474:BT474))/(INDEX(BH474:BT474,MATCH(TRUE,INDEX((BH474:BT474&lt;&gt;0),0),0)))-1</f>
        <v>6.9999088445634072E-2</v>
      </c>
      <c r="BX474" s="212">
        <f t="shared" si="115"/>
        <v>14.203200000000001</v>
      </c>
      <c r="BY474" s="212">
        <f t="shared" si="220"/>
        <v>14.203200000000001</v>
      </c>
      <c r="BZ474" s="212">
        <f>IF(L474="BR",'Impostos e Frete'!$F$6,IF(L474="EU",'Impostos e Frete'!$I$3,IF(L474="CN",'Impostos e Frete'!$I$4,IF(L474="JP",'Impostos e Frete'!$I$5,IF(L474="RU",'Impostos e Frete'!$I$7,"ERRO")))))</f>
        <v>0</v>
      </c>
      <c r="CA474" s="212">
        <f>VLOOKUP(L474,'Impostos e Frete'!$A$3:$B$7,2,0)*'Preços e Condições'!BY474</f>
        <v>0</v>
      </c>
      <c r="CB474" s="147">
        <f t="shared" si="116"/>
        <v>0</v>
      </c>
      <c r="CC474" s="147">
        <f>IF(X474="BRL",'Impostos e Frete'!$B$11,'Impostos e Frete'!$B$12)</f>
        <v>0.2</v>
      </c>
      <c r="CD474" s="213">
        <f t="shared" si="117"/>
        <v>14.4032</v>
      </c>
      <c r="CE474" s="214">
        <f t="shared" si="118"/>
        <v>0.57612799999999997</v>
      </c>
      <c r="CF474" s="215">
        <f>VLOOKUP(L474,'Impostos e Frete'!$A$3:$C$7,3,0)</f>
        <v>45</v>
      </c>
      <c r="CG474" s="215">
        <f t="shared" si="119"/>
        <v>0</v>
      </c>
      <c r="CH474" s="215">
        <f t="shared" si="120"/>
        <v>-45</v>
      </c>
      <c r="CI474" s="216">
        <f t="shared" si="121"/>
        <v>0.32528424878766948</v>
      </c>
      <c r="CJ474" s="217">
        <f t="shared" si="122"/>
        <v>14.728484248787669</v>
      </c>
      <c r="CK474" s="218">
        <f t="shared" si="123"/>
        <v>0.58913936995150673</v>
      </c>
    </row>
    <row r="475" spans="1:89">
      <c r="A475" s="204">
        <v>7000473</v>
      </c>
      <c r="B475" s="186">
        <v>9374</v>
      </c>
      <c r="C475" s="197">
        <v>40</v>
      </c>
      <c r="D475" s="197"/>
      <c r="E475" s="197" t="s">
        <v>209</v>
      </c>
      <c r="F475" s="198" t="s">
        <v>442</v>
      </c>
      <c r="G475" s="185" t="s">
        <v>76</v>
      </c>
      <c r="H475" s="178" t="s">
        <v>62</v>
      </c>
      <c r="I475" s="197"/>
      <c r="J475" s="197"/>
      <c r="K475" s="197"/>
      <c r="L475" s="183" t="s">
        <v>58</v>
      </c>
      <c r="M475" s="183">
        <v>0</v>
      </c>
      <c r="N475" s="183"/>
      <c r="O475" s="178"/>
      <c r="P475" s="178">
        <v>0</v>
      </c>
      <c r="Q475" s="178"/>
      <c r="R475" s="178" t="s">
        <v>19</v>
      </c>
      <c r="S475" s="181">
        <v>0.12</v>
      </c>
      <c r="T475" s="181" t="s">
        <v>23</v>
      </c>
      <c r="U475" s="182">
        <v>9.2499999999999999E-2</v>
      </c>
      <c r="V475" s="182" t="s">
        <v>35</v>
      </c>
      <c r="W475" s="183"/>
      <c r="X475" s="182" t="s">
        <v>46</v>
      </c>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3"/>
      <c r="BB475" s="203"/>
      <c r="BC475" s="203"/>
      <c r="BD475" s="203"/>
      <c r="BE475" s="203"/>
      <c r="BF475" s="203"/>
      <c r="BG475" s="203"/>
      <c r="BH475" s="203"/>
      <c r="BI475" s="184">
        <v>11575.55</v>
      </c>
      <c r="BJ475" s="184">
        <v>11980.69</v>
      </c>
      <c r="BK475" s="184">
        <v>12385.83</v>
      </c>
      <c r="BL475" s="184">
        <v>12385.83</v>
      </c>
      <c r="BM475" s="184">
        <v>12385.83</v>
      </c>
      <c r="BN475" s="184">
        <v>12385.83</v>
      </c>
      <c r="BO475" s="203"/>
      <c r="BP475" s="203"/>
      <c r="BQ475" s="203"/>
      <c r="BR475" s="203"/>
      <c r="BS475" s="203"/>
      <c r="BT475" s="203"/>
      <c r="BU475" s="146" cm="1">
        <f t="array" ref="BU475">LOOKUP(2,1/(Y475:BT475&lt;&gt;""),Y475:BH475)</f>
        <v>12385.83</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46174</v>
      </c>
      <c r="BW475" s="211" cm="1">
        <f t="array" ref="BW475">(LOOKUP(2,1/(BH475:BT475&lt;&gt;""),BH475:BT475))/(INDEX(BH475:BT475,MATCH(TRUE,INDEX((BH475:BT475&lt;&gt;0),0),0)))-1</f>
        <v>6.999926569363879E-2</v>
      </c>
      <c r="BX475" s="212">
        <f t="shared" si="115"/>
        <v>12.38583</v>
      </c>
      <c r="BY475" s="212">
        <f t="shared" si="220"/>
        <v>12.38583</v>
      </c>
      <c r="BZ475" s="212">
        <f>IF(L475="BR",'Impostos e Frete'!$F$6,IF(L475="EU",'Impostos e Frete'!$I$3,IF(L475="CN",'Impostos e Frete'!$I$4,IF(L475="JP",'Impostos e Frete'!$I$5,IF(L475="RU",'Impostos e Frete'!$I$7,"ERRO")))))</f>
        <v>0</v>
      </c>
      <c r="CA475" s="212">
        <f>VLOOKUP(L475,'Impostos e Frete'!$A$3:$B$7,2,0)*'Preços e Condições'!BY475</f>
        <v>0</v>
      </c>
      <c r="CB475" s="147">
        <f t="shared" si="116"/>
        <v>0</v>
      </c>
      <c r="CC475" s="147">
        <f>IF(X475="BRL",'Impostos e Frete'!$B$11,'Impostos e Frete'!$B$12)</f>
        <v>0.2</v>
      </c>
      <c r="CD475" s="213">
        <f t="shared" si="117"/>
        <v>12.58583</v>
      </c>
      <c r="CE475" s="214">
        <f t="shared" si="118"/>
        <v>0.50343319999999991</v>
      </c>
      <c r="CF475" s="215">
        <f>VLOOKUP(L475,'Impostos e Frete'!$A$3:$C$7,3,0)</f>
        <v>45</v>
      </c>
      <c r="CG475" s="215">
        <f t="shared" si="119"/>
        <v>0</v>
      </c>
      <c r="CH475" s="215">
        <f t="shared" si="120"/>
        <v>-45</v>
      </c>
      <c r="CI475" s="216">
        <f t="shared" si="121"/>
        <v>0.28424046440508555</v>
      </c>
      <c r="CJ475" s="217">
        <f t="shared" si="122"/>
        <v>12.870070464405085</v>
      </c>
      <c r="CK475" s="218">
        <f t="shared" si="123"/>
        <v>0.51480281857620336</v>
      </c>
    </row>
    <row r="476" spans="1:89">
      <c r="A476" s="204">
        <v>7000476</v>
      </c>
      <c r="B476" s="186">
        <v>9377</v>
      </c>
      <c r="C476" s="197">
        <v>40</v>
      </c>
      <c r="D476" s="197"/>
      <c r="E476" s="197" t="s">
        <v>209</v>
      </c>
      <c r="F476" s="198" t="s">
        <v>442</v>
      </c>
      <c r="G476" s="185" t="s">
        <v>78</v>
      </c>
      <c r="H476" s="178" t="s">
        <v>66</v>
      </c>
      <c r="I476" s="197"/>
      <c r="J476" s="197"/>
      <c r="K476" s="197"/>
      <c r="L476" s="183" t="s">
        <v>58</v>
      </c>
      <c r="M476" s="183">
        <v>0</v>
      </c>
      <c r="N476" s="183"/>
      <c r="O476" s="178"/>
      <c r="P476" s="178">
        <v>0</v>
      </c>
      <c r="Q476" s="178"/>
      <c r="R476" s="178" t="s">
        <v>19</v>
      </c>
      <c r="S476" s="181">
        <v>0.12</v>
      </c>
      <c r="T476" s="181" t="s">
        <v>23</v>
      </c>
      <c r="U476" s="182">
        <v>9.2499999999999999E-2</v>
      </c>
      <c r="V476" s="182" t="s">
        <v>35</v>
      </c>
      <c r="W476" s="183"/>
      <c r="X476" s="182" t="s">
        <v>46</v>
      </c>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3"/>
      <c r="BB476" s="203"/>
      <c r="BC476" s="203"/>
      <c r="BD476" s="203"/>
      <c r="BE476" s="203"/>
      <c r="BF476" s="203"/>
      <c r="BG476" s="203"/>
      <c r="BH476" s="203"/>
      <c r="BI476" s="184">
        <v>15722.81</v>
      </c>
      <c r="BJ476" s="184">
        <v>16273.1</v>
      </c>
      <c r="BK476" s="184">
        <v>16823.400000000001</v>
      </c>
      <c r="BL476" s="184">
        <v>16823.400000000001</v>
      </c>
      <c r="BM476" s="184">
        <v>16823.400000000001</v>
      </c>
      <c r="BN476" s="184">
        <v>16823.400000000001</v>
      </c>
      <c r="BO476" s="203"/>
      <c r="BP476" s="203"/>
      <c r="BQ476" s="203"/>
      <c r="BR476" s="203"/>
      <c r="BS476" s="203"/>
      <c r="BT476" s="203"/>
      <c r="BU476" s="146" cm="1">
        <f t="array" ref="BU476">LOOKUP(2,1/(Y476:BT476&lt;&gt;""),Y476:BH476)</f>
        <v>16823.400000000001</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46174</v>
      </c>
      <c r="BW476" s="211" cm="1">
        <f t="array" ref="BW476">(LOOKUP(2,1/(BH476:BT476&lt;&gt;""),BH476:BT476))/(INDEX(BH476:BT476,MATCH(TRUE,INDEX((BH476:BT476&lt;&gt;0),0),0)))-1</f>
        <v>6.9999573867521203E-2</v>
      </c>
      <c r="BX476" s="212">
        <f>BU476/1000</f>
        <v>16.823400000000003</v>
      </c>
      <c r="BY476" s="212">
        <f t="shared" si="220"/>
        <v>16.823400000000003</v>
      </c>
      <c r="BZ476" s="212">
        <f>IF(L476="BR",'Impostos e Frete'!$F$6,IF(L476="EU",'Impostos e Frete'!$I$3,IF(L476="CN",'Impostos e Frete'!$I$4,IF(L476="JP",'Impostos e Frete'!$I$5,IF(L476="RU",'Impostos e Frete'!$I$7,"ERRO")))))</f>
        <v>0</v>
      </c>
      <c r="CA476" s="212">
        <f>VLOOKUP(L476,'Impostos e Frete'!$A$3:$B$7,2,0)*'Preços e Condições'!BY476</f>
        <v>0</v>
      </c>
      <c r="CB476" s="147">
        <f>IF(R476="CFR",$CB$2,IF(R476="FOB",0,IF(R476="EXW",$CB$1,"ERRO")))</f>
        <v>0</v>
      </c>
      <c r="CC476" s="147">
        <f>IF(X476="BRL",'Impostos e Frete'!$B$11,'Impostos e Frete'!$B$12)</f>
        <v>0.2</v>
      </c>
      <c r="CD476" s="213">
        <f>SUM(BY476:CC476)</f>
        <v>17.023400000000002</v>
      </c>
      <c r="CE476" s="214">
        <f>IF(C476="","erro",(CD476/1000)*C476)</f>
        <v>0.68093599999999999</v>
      </c>
      <c r="CF476" s="215">
        <f>VLOOKUP(L476,'Impostos e Frete'!$A$3:$C$7,3,0)</f>
        <v>45</v>
      </c>
      <c r="CG476" s="215">
        <f>M476</f>
        <v>0</v>
      </c>
      <c r="CH476" s="215">
        <f>CG476-CF476</f>
        <v>-45</v>
      </c>
      <c r="CI476" s="216">
        <f>CD476*(1+VALUE($CI$2))^((CH476*-1)/30)-CD476</f>
        <v>0.38445927855004669</v>
      </c>
      <c r="CJ476" s="217">
        <f>CD476+CI476</f>
        <v>17.407859278550049</v>
      </c>
      <c r="CK476" s="218">
        <f>IF(C476="","erro",(CJ476/1000)*C476)</f>
        <v>0.6963143711420019</v>
      </c>
    </row>
    <row r="477" spans="1:89">
      <c r="A477" s="204" t="s">
        <v>443</v>
      </c>
      <c r="B477" s="186">
        <v>204</v>
      </c>
      <c r="C477" s="197">
        <v>50</v>
      </c>
      <c r="D477" s="197"/>
      <c r="E477" s="197" t="s">
        <v>50</v>
      </c>
      <c r="F477" s="198" t="s">
        <v>108</v>
      </c>
      <c r="G477" s="185" t="s">
        <v>444</v>
      </c>
      <c r="H477" s="178" t="s">
        <v>42</v>
      </c>
      <c r="I477" s="197" t="s">
        <v>445</v>
      </c>
      <c r="J477" s="197"/>
      <c r="K477" s="197"/>
      <c r="L477" s="183" t="s">
        <v>59</v>
      </c>
      <c r="M477" s="183">
        <v>30</v>
      </c>
      <c r="N477" s="183">
        <v>500</v>
      </c>
      <c r="O477" s="178"/>
      <c r="P477" s="178"/>
      <c r="Q477" s="178"/>
      <c r="R477" s="178" t="s">
        <v>19</v>
      </c>
      <c r="S477" s="181"/>
      <c r="T477" s="181"/>
      <c r="U477" s="182"/>
      <c r="V477" s="182" t="s">
        <v>35</v>
      </c>
      <c r="W477" s="183">
        <v>80</v>
      </c>
      <c r="X477" s="182" t="s">
        <v>51</v>
      </c>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3"/>
      <c r="BB477" s="203"/>
      <c r="BC477" s="203"/>
      <c r="BD477" s="203"/>
      <c r="BE477" s="203"/>
      <c r="BF477" s="203"/>
      <c r="BG477" s="203"/>
      <c r="BH477" s="203"/>
      <c r="BI477" s="184">
        <v>2570</v>
      </c>
      <c r="BJ477" s="184">
        <v>2570</v>
      </c>
      <c r="BK477" s="184">
        <v>2570</v>
      </c>
      <c r="BL477" s="184">
        <v>2540</v>
      </c>
      <c r="BM477" s="203">
        <v>2540</v>
      </c>
      <c r="BN477" s="203">
        <v>2540</v>
      </c>
      <c r="BO477" s="203">
        <v>2620</v>
      </c>
      <c r="BP477" s="203">
        <v>2620</v>
      </c>
      <c r="BQ477" s="203">
        <v>2620</v>
      </c>
      <c r="BR477" s="203"/>
      <c r="BS477" s="203"/>
      <c r="BT477" s="203"/>
      <c r="BU477" s="146" cm="1">
        <f t="array" ref="BU477">LOOKUP(2,1/(Y477:BT477&lt;&gt;""),Y477:BH477)</f>
        <v>2620</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46199</v>
      </c>
      <c r="BW477" s="211" cm="1">
        <f t="array" ref="BW477">(LOOKUP(2,1/(BH477:BT477&lt;&gt;""),BH477:BT477))/(INDEX(BH477:BT477,MATCH(TRUE,INDEX((BH477:BT477&lt;&gt;0),0),0)))-1</f>
        <v>1.9455252918287869E-2</v>
      </c>
      <c r="BX477" s="212">
        <f>BU477/1000</f>
        <v>2.62</v>
      </c>
      <c r="BY477" s="212">
        <f t="shared" si="220"/>
        <v>15.458000000000002</v>
      </c>
      <c r="BZ477" s="212">
        <f ca="1">IF(L477="BR",'Impostos e Frete'!$F$6,IF(L477="EU",'Impostos e Frete'!$I$3,IF(L477="CN",'Impostos e Frete'!$I$4,IF(L477="JP",'Impostos e Frete'!$I$5,IF(L477="RU",'Impostos e Frete'!$I$7,"ERRO")))))</f>
        <v>0.14176320000000001</v>
      </c>
      <c r="CA477" s="212">
        <f>VLOOKUP(L477,'Impostos e Frete'!$A$3:$B$7,2,0)*'Preços e Condições'!BY477</f>
        <v>2.0095400000000003</v>
      </c>
      <c r="CB477" s="147">
        <f t="shared" ref="CB477:CB480" si="239">IF(R477="CFR",$CB$2,IF(R477="FOB",0,IF(R477="EXW",$CB$1,"ERRO")))</f>
        <v>0</v>
      </c>
      <c r="CC477" s="147">
        <f>IF(X477="BRL",'Impostos e Frete'!$B$11,'Impostos e Frete'!$B$12)</f>
        <v>9.1999999999999998E-2</v>
      </c>
      <c r="CD477" s="213">
        <f t="shared" ref="CD477" ca="1" si="240">SUM(BY477:CC477)</f>
        <v>17.701303200000002</v>
      </c>
      <c r="CE477" s="214">
        <f t="shared" ref="CE477:CE480" ca="1" si="241">IF(C477="","erro",(CD477/1000)*C477)</f>
        <v>0.88506516000000002</v>
      </c>
      <c r="CF477" s="215">
        <f>VLOOKUP(L477,'Impostos e Frete'!$A$3:$C$7,3,0)</f>
        <v>105</v>
      </c>
      <c r="CG477" s="215">
        <f t="shared" ref="CG477:CG480" si="242">M477</f>
        <v>30</v>
      </c>
      <c r="CH477" s="215">
        <f t="shared" ref="CH477:CH480" si="243">CG477-CF477</f>
        <v>-75</v>
      </c>
      <c r="CI477" s="216">
        <f t="shared" ref="CI477:CI480" ca="1" si="244">CD477*(1+VALUE($CI$2))^((CH477*-1)/30)-CD477</f>
        <v>0.67128524178224325</v>
      </c>
      <c r="CJ477" s="217">
        <f t="shared" ref="CJ477" ca="1" si="245">CD477+CI477</f>
        <v>18.372588441782245</v>
      </c>
      <c r="CK477" s="218">
        <f ca="1">IF(C477="","erro",(CJ477/1000)*C477)</f>
        <v>0.91862942208911225</v>
      </c>
    </row>
    <row r="478" spans="1:89">
      <c r="A478" s="219">
        <v>7004758</v>
      </c>
      <c r="B478" s="177">
        <v>104</v>
      </c>
      <c r="C478" s="178">
        <v>70</v>
      </c>
      <c r="D478" s="178"/>
      <c r="E478" s="197" t="s">
        <v>50</v>
      </c>
      <c r="F478" s="179" t="s">
        <v>3</v>
      </c>
      <c r="G478" s="185" t="s">
        <v>297</v>
      </c>
      <c r="H478" s="178" t="s">
        <v>43</v>
      </c>
      <c r="I478" s="178" t="s">
        <v>450</v>
      </c>
      <c r="J478" s="178"/>
      <c r="K478" s="178"/>
      <c r="L478" s="178" t="s">
        <v>60</v>
      </c>
      <c r="M478" s="178">
        <v>90</v>
      </c>
      <c r="N478" s="178">
        <v>400</v>
      </c>
      <c r="O478" s="178"/>
      <c r="P478" s="178">
        <v>90</v>
      </c>
      <c r="Q478" s="178"/>
      <c r="R478" s="178" t="s">
        <v>19</v>
      </c>
      <c r="S478" s="181"/>
      <c r="T478" s="181"/>
      <c r="U478" s="182"/>
      <c r="V478" s="182" t="s">
        <v>35</v>
      </c>
      <c r="W478" s="183">
        <v>100</v>
      </c>
      <c r="X478" s="182" t="s">
        <v>267</v>
      </c>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3"/>
      <c r="BB478" s="203"/>
      <c r="BC478" s="203"/>
      <c r="BD478" s="203"/>
      <c r="BE478" s="203"/>
      <c r="BF478" s="203"/>
      <c r="BG478" s="203"/>
      <c r="BH478" s="203"/>
      <c r="BI478" s="184">
        <v>11700</v>
      </c>
      <c r="BJ478" s="184">
        <v>11700</v>
      </c>
      <c r="BK478" s="184">
        <v>11700</v>
      </c>
      <c r="BL478" s="184">
        <v>11700</v>
      </c>
      <c r="BM478" s="184">
        <v>11700</v>
      </c>
      <c r="BN478" s="184">
        <v>11700</v>
      </c>
      <c r="BO478" s="203"/>
      <c r="BP478" s="203"/>
      <c r="BQ478" s="203"/>
      <c r="BR478" s="203"/>
      <c r="BS478" s="203"/>
      <c r="BT478" s="203"/>
      <c r="BU478" s="146" cm="1">
        <f t="array" ref="BU478">LOOKUP(2,1/(Y478:BT478&lt;&gt;""),Y478:BH478)</f>
        <v>11700</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46174</v>
      </c>
      <c r="BW478" s="211" cm="1">
        <f t="array" ref="BW478">(LOOKUP(2,1/(BH478:BT478&lt;&gt;""),BH478:BT478))/(INDEX(BH478:BT478,MATCH(TRUE,INDEX((BH478:BT478&lt;&gt;0),0),0)))-1</f>
        <v>0</v>
      </c>
      <c r="BX478" s="212">
        <f t="shared" ref="BX478:BX479" si="246">BU478/1000</f>
        <v>11.7</v>
      </c>
      <c r="BY478" s="212">
        <f t="shared" si="220"/>
        <v>8.7749999999999986</v>
      </c>
      <c r="BZ478" s="212">
        <f ca="1">IF(L478="BR",'Impostos e Frete'!$F$6,IF(L478="EU",'Impostos e Frete'!$I$3,IF(L478="CN",'Impostos e Frete'!$I$4,IF(L478="JP",'Impostos e Frete'!$I$5,IF(L478="RU",'Impostos e Frete'!$I$7,"ERRO")))))</f>
        <v>1.11958</v>
      </c>
      <c r="CA478" s="212">
        <f>VLOOKUP(L478,'Impostos e Frete'!$A$3:$B$7,2,0)*'Preços e Condições'!BY478</f>
        <v>1.2284999999999999</v>
      </c>
      <c r="CB478" s="147">
        <f t="shared" si="239"/>
        <v>0</v>
      </c>
      <c r="CC478" s="147">
        <f>IF(X478="BRL",'Impostos e Frete'!$B$11,'Impostos e Frete'!$B$12)</f>
        <v>9.1999999999999998E-2</v>
      </c>
      <c r="CD478" s="213">
        <f ca="1">SUM(BY478:CC478)</f>
        <v>11.215079999999999</v>
      </c>
      <c r="CE478" s="214">
        <f t="shared" ca="1" si="241"/>
        <v>0.78505559999999996</v>
      </c>
      <c r="CF478" s="215">
        <f>VLOOKUP(L478,'Impostos e Frete'!$A$3:$C$7,3,0)</f>
        <v>120</v>
      </c>
      <c r="CG478" s="215">
        <f t="shared" si="242"/>
        <v>90</v>
      </c>
      <c r="CH478" s="215">
        <f t="shared" si="243"/>
        <v>-30</v>
      </c>
      <c r="CI478" s="216">
        <f t="shared" ca="1" si="244"/>
        <v>0.16822619999999944</v>
      </c>
      <c r="CJ478" s="217">
        <f ca="1">CD478+CI478</f>
        <v>11.383306199999998</v>
      </c>
      <c r="CK478" s="218">
        <f t="shared" ref="CK478:CK479" ca="1" si="247">IF(C478="","erro",(CJ478/1000)*C478)</f>
        <v>0.79683143399999989</v>
      </c>
    </row>
    <row r="479" spans="1:89">
      <c r="A479" s="219">
        <v>7004848</v>
      </c>
      <c r="B479" s="177">
        <v>104</v>
      </c>
      <c r="C479" s="178">
        <v>70</v>
      </c>
      <c r="D479" s="178"/>
      <c r="E479" s="197" t="s">
        <v>50</v>
      </c>
      <c r="F479" s="179" t="s">
        <v>240</v>
      </c>
      <c r="G479" s="185" t="s">
        <v>453</v>
      </c>
      <c r="H479" s="178" t="s">
        <v>43</v>
      </c>
      <c r="I479" s="178" t="s">
        <v>451</v>
      </c>
      <c r="J479" s="178"/>
      <c r="K479" s="178"/>
      <c r="L479" s="178" t="s">
        <v>60</v>
      </c>
      <c r="M479" s="178">
        <v>90</v>
      </c>
      <c r="N479" s="178">
        <v>3300</v>
      </c>
      <c r="O479" s="178"/>
      <c r="P479" s="178"/>
      <c r="Q479" s="178"/>
      <c r="R479" s="178" t="s">
        <v>19</v>
      </c>
      <c r="S479" s="181"/>
      <c r="T479" s="181"/>
      <c r="U479" s="182"/>
      <c r="V479" s="182" t="s">
        <v>35</v>
      </c>
      <c r="W479" s="183"/>
      <c r="X479" s="182" t="s">
        <v>267</v>
      </c>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3"/>
      <c r="BB479" s="203"/>
      <c r="BC479" s="203"/>
      <c r="BD479" s="203"/>
      <c r="BE479" s="203"/>
      <c r="BF479" s="203"/>
      <c r="BG479" s="203"/>
      <c r="BH479" s="203"/>
      <c r="BI479" s="184">
        <v>12000</v>
      </c>
      <c r="BJ479" s="184">
        <v>12000</v>
      </c>
      <c r="BK479" s="184">
        <v>12000</v>
      </c>
      <c r="BL479" s="184">
        <v>12000</v>
      </c>
      <c r="BM479" s="184">
        <v>12000</v>
      </c>
      <c r="BN479" s="184">
        <v>12000</v>
      </c>
      <c r="BO479" s="203"/>
      <c r="BP479" s="203"/>
      <c r="BQ479" s="203"/>
      <c r="BR479" s="203"/>
      <c r="BS479" s="203"/>
      <c r="BT479" s="203"/>
      <c r="BU479" s="146" cm="1">
        <f t="array" ref="BU479">LOOKUP(2,1/(Y479:BT479&lt;&gt;""),Y479:BH479)</f>
        <v>12000</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46174</v>
      </c>
      <c r="BW479" s="211" cm="1">
        <f t="array" ref="BW479">(LOOKUP(2,1/(BH479:BT479&lt;&gt;""),BH479:BT479))/(INDEX(BH479:BT479,MATCH(TRUE,INDEX((BH479:BT479&lt;&gt;0),0),0)))-1</f>
        <v>0</v>
      </c>
      <c r="BX479" s="212">
        <f t="shared" si="246"/>
        <v>12</v>
      </c>
      <c r="BY479" s="212">
        <f t="shared" si="220"/>
        <v>9</v>
      </c>
      <c r="BZ479" s="212">
        <f ca="1">IF(L479="BR",'Impostos e Frete'!$F$6,IF(L479="EU",'Impostos e Frete'!$I$3,IF(L479="CN",'Impostos e Frete'!$I$4,IF(L479="JP",'Impostos e Frete'!$I$5,IF(L479="RU",'Impostos e Frete'!$I$7,"ERRO")))))</f>
        <v>1.11958</v>
      </c>
      <c r="CA479" s="212">
        <f>VLOOKUP(L479,'Impostos e Frete'!$A$3:$B$7,2,0)*'Preços e Condições'!BY479</f>
        <v>1.2600000000000002</v>
      </c>
      <c r="CB479" s="147">
        <f t="shared" si="239"/>
        <v>0</v>
      </c>
      <c r="CC479" s="147">
        <f>IF(X479="BRL",'Impostos e Frete'!$B$11,'Impostos e Frete'!$B$12)</f>
        <v>9.1999999999999998E-2</v>
      </c>
      <c r="CD479" s="213">
        <f t="shared" ref="CD479:CD481" ca="1" si="248">SUM(BY479:CC479)</f>
        <v>11.471579999999999</v>
      </c>
      <c r="CE479" s="214">
        <f t="shared" ca="1" si="241"/>
        <v>0.80301059999999991</v>
      </c>
      <c r="CF479" s="215">
        <f>VLOOKUP(L479,'Impostos e Frete'!$A$3:$C$7,3,0)</f>
        <v>120</v>
      </c>
      <c r="CG479" s="215">
        <f t="shared" si="242"/>
        <v>90</v>
      </c>
      <c r="CH479" s="215">
        <f t="shared" si="243"/>
        <v>-30</v>
      </c>
      <c r="CI479" s="216">
        <f t="shared" ca="1" si="244"/>
        <v>0.17207369999999855</v>
      </c>
      <c r="CJ479" s="217">
        <f t="shared" ref="CJ479:CJ481" ca="1" si="249">CD479+CI479</f>
        <v>11.643653699999998</v>
      </c>
      <c r="CK479" s="218">
        <f t="shared" ca="1" si="247"/>
        <v>0.81505575899999982</v>
      </c>
    </row>
    <row r="480" spans="1:89">
      <c r="A480" s="219">
        <v>7000480</v>
      </c>
      <c r="B480" s="177">
        <v>104</v>
      </c>
      <c r="C480" s="178">
        <v>78</v>
      </c>
      <c r="D480" s="178"/>
      <c r="E480" s="197" t="s">
        <v>49</v>
      </c>
      <c r="F480" s="179" t="s">
        <v>108</v>
      </c>
      <c r="G480" s="185" t="s">
        <v>114</v>
      </c>
      <c r="H480" s="178" t="s">
        <v>43</v>
      </c>
      <c r="I480" s="178">
        <v>104</v>
      </c>
      <c r="J480" s="197"/>
      <c r="K480" s="197"/>
      <c r="L480" s="183" t="s">
        <v>59</v>
      </c>
      <c r="M480" s="183">
        <v>30</v>
      </c>
      <c r="N480" s="183">
        <v>500</v>
      </c>
      <c r="O480" s="178"/>
      <c r="P480" s="178"/>
      <c r="Q480" s="178"/>
      <c r="R480" s="178" t="s">
        <v>19</v>
      </c>
      <c r="S480" s="181"/>
      <c r="T480" s="181"/>
      <c r="U480" s="182"/>
      <c r="V480" s="182" t="s">
        <v>35</v>
      </c>
      <c r="W480" s="183">
        <v>250</v>
      </c>
      <c r="X480" s="182" t="s">
        <v>51</v>
      </c>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3"/>
      <c r="BB480" s="203"/>
      <c r="BC480" s="203"/>
      <c r="BD480" s="203"/>
      <c r="BE480" s="203"/>
      <c r="BF480" s="203"/>
      <c r="BG480" s="203"/>
      <c r="BH480" s="203"/>
      <c r="BI480" s="184"/>
      <c r="BJ480" s="184"/>
      <c r="BK480" s="184"/>
      <c r="BL480" s="184"/>
      <c r="BM480" s="184"/>
      <c r="BN480" s="184"/>
      <c r="BO480" s="203">
        <v>1600</v>
      </c>
      <c r="BP480" s="203">
        <v>1600</v>
      </c>
      <c r="BQ480" s="203">
        <v>1600</v>
      </c>
      <c r="BR480" s="203"/>
      <c r="BS480" s="203"/>
      <c r="BT480" s="203"/>
      <c r="BU480" s="146" cm="1">
        <f t="array" ref="BU480">LOOKUP(2,1/(Y480:BT480&lt;&gt;""),Y480:BH480)</f>
        <v>1600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46199</v>
      </c>
      <c r="BW480" s="211" cm="1">
        <f t="array" ref="BW480">(LOOKUP(2,1/(BH480:BT480&lt;&gt;""),BH480:BT480))/(INDEX(BH480:BT480,MATCH(TRUE,INDEX((BH480:BT480&lt;&gt;0),0),0)))-1</f>
        <v>0</v>
      </c>
      <c r="BX480" s="212">
        <f>BU480/1000</f>
        <v>1.6</v>
      </c>
      <c r="BY480" s="212">
        <f t="shared" ref="BY480" si="250">IF(X480="BRL",BX480,IF(X480="EUR",BX480*$CK$2,IF(X480="USD",BX480*$CK$1,IF(X480="CNY",BX480*$CM$1,IF(X480="RUB",BX480*$CM$2,"CRRY#")))))</f>
        <v>9.4400000000000013</v>
      </c>
      <c r="BZ480" s="212">
        <f ca="1">IF(L480="BR",'Impostos e Frete'!$F$6,IF(L480="EU",'Impostos e Frete'!$I$3,IF(L480="CN",'Impostos e Frete'!$I$4,IF(L480="JP",'Impostos e Frete'!$I$5,IF(L480="RU",'Impostos e Frete'!$I$7,"ERRO")))))</f>
        <v>0.14176320000000001</v>
      </c>
      <c r="CA480" s="212">
        <f>VLOOKUP(L480,'Impostos e Frete'!$A$3:$B$7,2,0)*'Preços e Condições'!BY480</f>
        <v>1.2272000000000003</v>
      </c>
      <c r="CB480" s="147">
        <f t="shared" si="239"/>
        <v>0</v>
      </c>
      <c r="CC480" s="147">
        <f>IF(X480="BRL",'Impostos e Frete'!$B$11,'Impostos e Frete'!$B$12)</f>
        <v>9.1999999999999998E-2</v>
      </c>
      <c r="CD480" s="213">
        <f t="shared" ref="CD480" ca="1" si="251">SUM(BY480:CC480)</f>
        <v>10.900963200000001</v>
      </c>
      <c r="CE480" s="214">
        <f t="shared" ca="1" si="241"/>
        <v>0.85027512960000007</v>
      </c>
      <c r="CF480" s="215">
        <f>VLOOKUP(L480,'Impostos e Frete'!$A$3:$C$7,3,0)</f>
        <v>105</v>
      </c>
      <c r="CG480" s="215">
        <f t="shared" si="242"/>
        <v>30</v>
      </c>
      <c r="CH480" s="215">
        <f t="shared" si="243"/>
        <v>-75</v>
      </c>
      <c r="CI480" s="216">
        <f t="shared" ca="1" si="244"/>
        <v>0.413396439498948</v>
      </c>
      <c r="CJ480" s="217">
        <f t="shared" ref="CJ480" ca="1" si="252">CD480+CI480</f>
        <v>11.314359639498949</v>
      </c>
      <c r="CK480" s="218">
        <f ca="1">IF(C480="","erro",(CJ480/1000)*C480)</f>
        <v>0.88252005188091809</v>
      </c>
    </row>
    <row r="481" spans="1:89">
      <c r="A481" s="219">
        <v>7000480</v>
      </c>
      <c r="B481" s="177">
        <v>104</v>
      </c>
      <c r="C481" s="178">
        <v>78</v>
      </c>
      <c r="D481" s="178"/>
      <c r="E481" s="197" t="s">
        <v>49</v>
      </c>
      <c r="F481" s="179" t="s">
        <v>108</v>
      </c>
      <c r="G481" s="185" t="s">
        <v>114</v>
      </c>
      <c r="H481" s="178" t="s">
        <v>43</v>
      </c>
      <c r="I481" s="178">
        <v>104</v>
      </c>
      <c r="J481" s="197"/>
      <c r="K481" s="197"/>
      <c r="L481" s="183" t="s">
        <v>59</v>
      </c>
      <c r="M481" s="183">
        <v>30</v>
      </c>
      <c r="N481" s="183">
        <v>500</v>
      </c>
      <c r="O481" s="178"/>
      <c r="P481" s="178"/>
      <c r="Q481" s="178"/>
      <c r="R481" s="178" t="s">
        <v>19</v>
      </c>
      <c r="S481" s="181"/>
      <c r="T481" s="181"/>
      <c r="U481" s="182"/>
      <c r="V481" s="182" t="s">
        <v>35</v>
      </c>
      <c r="W481" s="183">
        <v>80</v>
      </c>
      <c r="X481" s="182" t="s">
        <v>51</v>
      </c>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3"/>
      <c r="BB481" s="203"/>
      <c r="BC481" s="203"/>
      <c r="BD481" s="203"/>
      <c r="BE481" s="203"/>
      <c r="BF481" s="203"/>
      <c r="BG481" s="203"/>
      <c r="BH481" s="203"/>
      <c r="BI481" s="184">
        <v>1650</v>
      </c>
      <c r="BJ481" s="184">
        <v>1650</v>
      </c>
      <c r="BK481" s="184">
        <v>1650</v>
      </c>
      <c r="BL481" s="184">
        <v>1650</v>
      </c>
      <c r="BM481" s="184">
        <v>1650</v>
      </c>
      <c r="BN481" s="184">
        <v>1650</v>
      </c>
      <c r="BO481" s="203">
        <v>1650</v>
      </c>
      <c r="BP481" s="203">
        <v>1650</v>
      </c>
      <c r="BQ481" s="203">
        <v>1650</v>
      </c>
      <c r="BR481" s="203"/>
      <c r="BS481" s="203"/>
      <c r="BT481" s="203"/>
      <c r="BU481" s="146" cm="1">
        <f t="array" ref="BU481">LOOKUP(2,1/(Y481:BT481&lt;&gt;""),Y481:BH481)</f>
        <v>1650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46199</v>
      </c>
      <c r="BW481" s="211" cm="1">
        <f t="array" ref="BW481">(LOOKUP(2,1/(BH481:BT481&lt;&gt;""),BH481:BT481))/(INDEX(BH481:BT481,MATCH(TRUE,INDEX((BH481:BT481&lt;&gt;0),0),0)))-1</f>
        <v>0</v>
      </c>
      <c r="BX481" s="212">
        <f>BU481/1000</f>
        <v>1.65</v>
      </c>
      <c r="BY481" s="212">
        <f t="shared" si="220"/>
        <v>9.7349999999999994</v>
      </c>
      <c r="BZ481" s="212">
        <f ca="1">IF(L481="BR",'Impostos e Frete'!$F$6,IF(L481="EU",'Impostos e Frete'!$I$3,IF(L481="CN",'Impostos e Frete'!$I$4,IF(L481="JP",'Impostos e Frete'!$I$5,IF(L481="RU",'Impostos e Frete'!$I$7,"ERRO")))))</f>
        <v>0.14176320000000001</v>
      </c>
      <c r="CA481" s="212">
        <f>VLOOKUP(L481,'Impostos e Frete'!$A$3:$B$7,2,0)*'Preços e Condições'!BY481</f>
        <v>1.26555</v>
      </c>
      <c r="CB481" s="147">
        <f t="shared" ref="CB481" si="253">IF(R481="CFR",$CB$2,IF(R481="FOB",0,IF(R481="EXW",$CB$1,"ERRO")))</f>
        <v>0</v>
      </c>
      <c r="CC481" s="147">
        <f>IF(X481="BRL",'Impostos e Frete'!$B$11,'Impostos e Frete'!$B$12)</f>
        <v>9.1999999999999998E-2</v>
      </c>
      <c r="CD481" s="213">
        <f t="shared" ca="1" si="248"/>
        <v>11.234313199999999</v>
      </c>
      <c r="CE481" s="214">
        <f t="shared" ref="CE481" ca="1" si="254">IF(C481="","erro",(CD481/1000)*C481)</f>
        <v>0.87627642959999985</v>
      </c>
      <c r="CF481" s="215">
        <f>VLOOKUP(L481,'Impostos e Frete'!$A$3:$C$7,3,0)</f>
        <v>105</v>
      </c>
      <c r="CG481" s="215">
        <f t="shared" ref="CG481" si="255">M481</f>
        <v>30</v>
      </c>
      <c r="CH481" s="215">
        <f t="shared" ref="CH481" si="256">CG481-CF481</f>
        <v>-75</v>
      </c>
      <c r="CI481" s="216">
        <f t="shared" ref="CI481" ca="1" si="257">CD481*(1+VALUE($CI$2))^((CH481*-1)/30)-CD481</f>
        <v>0.42603804745401064</v>
      </c>
      <c r="CJ481" s="217">
        <f t="shared" ca="1" si="249"/>
        <v>11.66035124745401</v>
      </c>
      <c r="CK481" s="218">
        <f ca="1">IF(C481="","erro",(CJ481/1000)*C481)</f>
        <v>0.90950739730141272</v>
      </c>
    </row>
    <row r="482" spans="1:89">
      <c r="A482" s="219">
        <v>7004759</v>
      </c>
      <c r="B482" s="177">
        <v>104</v>
      </c>
      <c r="C482" s="178">
        <v>80</v>
      </c>
      <c r="D482" s="178"/>
      <c r="E482" s="197" t="s">
        <v>49</v>
      </c>
      <c r="F482" s="179" t="s">
        <v>3</v>
      </c>
      <c r="G482" s="185" t="s">
        <v>297</v>
      </c>
      <c r="H482" s="178" t="s">
        <v>43</v>
      </c>
      <c r="I482" s="178" t="s">
        <v>450</v>
      </c>
      <c r="J482" s="178"/>
      <c r="K482" s="178"/>
      <c r="L482" s="178" t="s">
        <v>60</v>
      </c>
      <c r="M482" s="178">
        <v>90</v>
      </c>
      <c r="N482" s="178">
        <v>400</v>
      </c>
      <c r="O482" s="178"/>
      <c r="P482" s="178">
        <v>90</v>
      </c>
      <c r="Q482" s="178"/>
      <c r="R482" s="178" t="s">
        <v>19</v>
      </c>
      <c r="S482" s="181"/>
      <c r="T482" s="181"/>
      <c r="U482" s="182"/>
      <c r="V482" s="182" t="s">
        <v>35</v>
      </c>
      <c r="W482" s="183">
        <v>100</v>
      </c>
      <c r="X482" s="182" t="s">
        <v>267</v>
      </c>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3"/>
      <c r="BB482" s="203"/>
      <c r="BC482" s="203"/>
      <c r="BD482" s="203"/>
      <c r="BE482" s="203"/>
      <c r="BF482" s="203"/>
      <c r="BG482" s="203"/>
      <c r="BH482" s="203"/>
      <c r="BI482" s="184">
        <v>11700</v>
      </c>
      <c r="BJ482" s="184">
        <v>11700</v>
      </c>
      <c r="BK482" s="184">
        <v>11700</v>
      </c>
      <c r="BL482" s="184">
        <v>11700</v>
      </c>
      <c r="BM482" s="184">
        <v>11700</v>
      </c>
      <c r="BN482" s="184">
        <v>11700</v>
      </c>
      <c r="BO482" s="203"/>
      <c r="BP482" s="203"/>
      <c r="BQ482" s="203"/>
      <c r="BR482" s="203"/>
      <c r="BS482" s="203"/>
      <c r="BT482" s="203"/>
      <c r="BU482" s="146" cm="1">
        <f t="array" ref="BU482">LOOKUP(2,1/(Y482:BT482&lt;&gt;""),Y482:BH482)</f>
        <v>11700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46174</v>
      </c>
      <c r="BW482" s="211" cm="1">
        <f t="array" ref="BW482">(LOOKUP(2,1/(BH482:BT482&lt;&gt;""),BH482:BT482))/(INDEX(BH482:BT482,MATCH(TRUE,INDEX((BH482:BT482&lt;&gt;0),0),0)))-1</f>
        <v>0</v>
      </c>
      <c r="BX482" s="212">
        <f t="shared" ref="BX482:BX484" si="258">BU482/1000</f>
        <v>11.7</v>
      </c>
      <c r="BY482" s="212">
        <f t="shared" si="220"/>
        <v>8.7749999999999986</v>
      </c>
      <c r="BZ482" s="212">
        <f ca="1">IF(L482="BR",'Impostos e Frete'!$F$6,IF(L482="EU",'Impostos e Frete'!$I$3,IF(L482="CN",'Impostos e Frete'!$I$4,IF(L482="JP",'Impostos e Frete'!$I$5,IF(L482="RU",'Impostos e Frete'!$I$7,"ERRO")))))</f>
        <v>1.11958</v>
      </c>
      <c r="CA482" s="212">
        <f>VLOOKUP(L482,'Impostos e Frete'!$A$3:$B$7,2,0)*'Preços e Condições'!BY482</f>
        <v>1.2284999999999999</v>
      </c>
      <c r="CB482" s="147">
        <f t="shared" ref="CB482:CB484" si="259">IF(R482="CFR",$CB$2,IF(R482="FOB",0,IF(R482="EXW",$CB$1,"ERRO")))</f>
        <v>0</v>
      </c>
      <c r="CC482" s="147">
        <f>IF(X482="BRL",'Impostos e Frete'!$B$11,'Impostos e Frete'!$B$12)</f>
        <v>9.1999999999999998E-2</v>
      </c>
      <c r="CD482" s="213">
        <f t="shared" ref="CD482:CD484" ca="1" si="260">SUM(BY482:CC482)</f>
        <v>11.215079999999999</v>
      </c>
      <c r="CE482" s="214">
        <f t="shared" ref="CE482:CE484" ca="1" si="261">IF(C482="","erro",(CD482/1000)*C482)</f>
        <v>0.89720639999999996</v>
      </c>
      <c r="CF482" s="215">
        <f>VLOOKUP(L482,'Impostos e Frete'!$A$3:$C$7,3,0)</f>
        <v>120</v>
      </c>
      <c r="CG482" s="215">
        <f t="shared" ref="CG482:CG484" si="262">M482</f>
        <v>90</v>
      </c>
      <c r="CH482" s="215">
        <f t="shared" ref="CH482:CH484" si="263">CG482-CF482</f>
        <v>-30</v>
      </c>
      <c r="CI482" s="216">
        <f t="shared" ref="CI482:CI484" ca="1" si="264">CD482*(1+VALUE($CI$2))^((CH482*-1)/30)-CD482</f>
        <v>0.16822619999999944</v>
      </c>
      <c r="CJ482" s="217">
        <f t="shared" ref="CJ482:CJ484" ca="1" si="265">CD482+CI482</f>
        <v>11.383306199999998</v>
      </c>
      <c r="CK482" s="218">
        <f t="shared" ref="CK482:CK484" ca="1" si="266">IF(C482="","erro",(CJ482/1000)*C482)</f>
        <v>0.91066449599999988</v>
      </c>
    </row>
    <row r="483" spans="1:89">
      <c r="A483" s="219">
        <v>7002385</v>
      </c>
      <c r="B483" s="177"/>
      <c r="C483" s="178">
        <v>65</v>
      </c>
      <c r="D483" s="178"/>
      <c r="E483" s="197" t="s">
        <v>50</v>
      </c>
      <c r="F483" s="179" t="s">
        <v>3</v>
      </c>
      <c r="G483" s="185" t="s">
        <v>298</v>
      </c>
      <c r="H483" s="178" t="s">
        <v>43</v>
      </c>
      <c r="I483" s="178" t="s">
        <v>337</v>
      </c>
      <c r="J483" s="178"/>
      <c r="K483" s="178"/>
      <c r="L483" s="178" t="s">
        <v>60</v>
      </c>
      <c r="M483" s="178">
        <v>90</v>
      </c>
      <c r="N483" s="178">
        <v>400</v>
      </c>
      <c r="O483" s="178"/>
      <c r="P483" s="178">
        <v>90</v>
      </c>
      <c r="Q483" s="178"/>
      <c r="R483" s="178" t="s">
        <v>19</v>
      </c>
      <c r="S483" s="181"/>
      <c r="T483" s="181"/>
      <c r="U483" s="182"/>
      <c r="V483" s="182" t="s">
        <v>35</v>
      </c>
      <c r="W483" s="183">
        <v>100</v>
      </c>
      <c r="X483" s="182" t="s">
        <v>267</v>
      </c>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3"/>
      <c r="BB483" s="203"/>
      <c r="BC483" s="203"/>
      <c r="BD483" s="203"/>
      <c r="BE483" s="203"/>
      <c r="BF483" s="203"/>
      <c r="BG483" s="203"/>
      <c r="BH483" s="203"/>
      <c r="BI483" s="184">
        <v>11000</v>
      </c>
      <c r="BJ483" s="184">
        <v>11000</v>
      </c>
      <c r="BK483" s="184">
        <v>11000</v>
      </c>
      <c r="BL483" s="184">
        <v>11000</v>
      </c>
      <c r="BM483" s="184">
        <v>11000</v>
      </c>
      <c r="BN483" s="184">
        <v>11000</v>
      </c>
      <c r="BO483" s="203"/>
      <c r="BP483" s="203"/>
      <c r="BQ483" s="203"/>
      <c r="BR483" s="203"/>
      <c r="BS483" s="203"/>
      <c r="BT483" s="203"/>
      <c r="BU483" s="146" cm="1">
        <f t="array" ref="BU483">LOOKUP(2,1/(Y483:BT483&lt;&gt;""),Y483:BH483)</f>
        <v>11000</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46174</v>
      </c>
      <c r="BW483" s="211" cm="1">
        <f t="array" ref="BW483">(LOOKUP(2,1/(BH483:BT483&lt;&gt;""),BH483:BT483))/(INDEX(BH483:BT483,MATCH(TRUE,INDEX((BH483:BT483&lt;&gt;0),0),0)))-1</f>
        <v>0</v>
      </c>
      <c r="BX483" s="212">
        <f t="shared" si="258"/>
        <v>11</v>
      </c>
      <c r="BY483" s="212">
        <f t="shared" si="220"/>
        <v>8.25</v>
      </c>
      <c r="BZ483" s="212">
        <f ca="1">IF(L483="BR",'Impostos e Frete'!$F$6,IF(L483="EU",'Impostos e Frete'!$I$3,IF(L483="CN",'Impostos e Frete'!$I$4,IF(L483="JP",'Impostos e Frete'!$I$5,IF(L483="RU",'Impostos e Frete'!$I$7,"ERRO")))))</f>
        <v>1.11958</v>
      </c>
      <c r="CA483" s="212">
        <f>VLOOKUP(L483,'Impostos e Frete'!$A$3:$B$7,2,0)*'Preços e Condições'!BY483</f>
        <v>1.155</v>
      </c>
      <c r="CB483" s="147">
        <f t="shared" si="259"/>
        <v>0</v>
      </c>
      <c r="CC483" s="147">
        <f>IF(X483="BRL",'Impostos e Frete'!$B$11,'Impostos e Frete'!$B$12)</f>
        <v>9.1999999999999998E-2</v>
      </c>
      <c r="CD483" s="213">
        <f t="shared" ca="1" si="260"/>
        <v>10.616579999999999</v>
      </c>
      <c r="CE483" s="214">
        <f t="shared" ca="1" si="261"/>
        <v>0.69007769999999991</v>
      </c>
      <c r="CF483" s="215">
        <f>VLOOKUP(L483,'Impostos e Frete'!$A$3:$C$7,3,0)</f>
        <v>120</v>
      </c>
      <c r="CG483" s="215">
        <f t="shared" si="262"/>
        <v>90</v>
      </c>
      <c r="CH483" s="215">
        <f t="shared" si="263"/>
        <v>-30</v>
      </c>
      <c r="CI483" s="216">
        <f t="shared" ca="1" si="264"/>
        <v>0.15924869999999913</v>
      </c>
      <c r="CJ483" s="217">
        <f t="shared" ca="1" si="265"/>
        <v>10.775828699999998</v>
      </c>
      <c r="CK483" s="218">
        <f t="shared" ca="1" si="266"/>
        <v>0.70042886549999994</v>
      </c>
    </row>
    <row r="484" spans="1:89">
      <c r="A484" s="219">
        <v>7002386</v>
      </c>
      <c r="B484" s="177">
        <v>128</v>
      </c>
      <c r="C484" s="178">
        <v>65</v>
      </c>
      <c r="D484" s="178"/>
      <c r="E484" s="197" t="s">
        <v>50</v>
      </c>
      <c r="F484" s="179" t="s">
        <v>240</v>
      </c>
      <c r="G484" s="185" t="s">
        <v>304</v>
      </c>
      <c r="H484" s="178" t="s">
        <v>43</v>
      </c>
      <c r="I484" s="178" t="s">
        <v>452</v>
      </c>
      <c r="J484" s="178"/>
      <c r="K484" s="178"/>
      <c r="L484" s="178" t="s">
        <v>60</v>
      </c>
      <c r="M484" s="178">
        <v>90</v>
      </c>
      <c r="N484" s="178">
        <v>3300</v>
      </c>
      <c r="O484" s="178"/>
      <c r="P484" s="178"/>
      <c r="Q484" s="178"/>
      <c r="R484" s="178" t="s">
        <v>19</v>
      </c>
      <c r="S484" s="181"/>
      <c r="T484" s="181"/>
      <c r="U484" s="182"/>
      <c r="V484" s="182" t="s">
        <v>35</v>
      </c>
      <c r="W484" s="183"/>
      <c r="X484" s="182" t="s">
        <v>267</v>
      </c>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3"/>
      <c r="BB484" s="203"/>
      <c r="BC484" s="203"/>
      <c r="BD484" s="203"/>
      <c r="BE484" s="203"/>
      <c r="BF484" s="203"/>
      <c r="BG484" s="203"/>
      <c r="BH484" s="203"/>
      <c r="BI484" s="184">
        <v>11500</v>
      </c>
      <c r="BJ484" s="184">
        <v>11500</v>
      </c>
      <c r="BK484" s="184">
        <v>11500</v>
      </c>
      <c r="BL484" s="184">
        <v>11500</v>
      </c>
      <c r="BM484" s="184">
        <v>11500</v>
      </c>
      <c r="BN484" s="184">
        <v>11500</v>
      </c>
      <c r="BO484" s="203"/>
      <c r="BP484" s="203"/>
      <c r="BQ484" s="203"/>
      <c r="BR484" s="203"/>
      <c r="BS484" s="203"/>
      <c r="BT484" s="203"/>
      <c r="BU484" s="146" cm="1">
        <f t="array" ref="BU484">LOOKUP(2,1/(Y484:BT484&lt;&gt;""),Y484:BH484)</f>
        <v>11500</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46174</v>
      </c>
      <c r="BW484" s="211" cm="1">
        <f t="array" ref="BW484">(LOOKUP(2,1/(BH484:BT484&lt;&gt;""),BH484:BT484))/(INDEX(BH484:BT484,MATCH(TRUE,INDEX((BH484:BT484&lt;&gt;0),0),0)))-1</f>
        <v>0</v>
      </c>
      <c r="BX484" s="212">
        <f t="shared" si="258"/>
        <v>11.5</v>
      </c>
      <c r="BY484" s="212">
        <f t="shared" si="220"/>
        <v>8.625</v>
      </c>
      <c r="BZ484" s="212">
        <f ca="1">IF(L484="BR",'Impostos e Frete'!$F$6,IF(L484="EU",'Impostos e Frete'!$I$3,IF(L484="CN",'Impostos e Frete'!$I$4,IF(L484="JP",'Impostos e Frete'!$I$5,IF(L484="RU",'Impostos e Frete'!$I$7,"ERRO")))))</f>
        <v>1.11958</v>
      </c>
      <c r="CA484" s="212">
        <f>VLOOKUP(L484,'Impostos e Frete'!$A$3:$B$7,2,0)*'Preços e Condições'!BY484</f>
        <v>1.2075</v>
      </c>
      <c r="CB484" s="147">
        <f t="shared" si="259"/>
        <v>0</v>
      </c>
      <c r="CC484" s="147">
        <f>IF(X484="BRL",'Impostos e Frete'!$B$11,'Impostos e Frete'!$B$12)</f>
        <v>9.1999999999999998E-2</v>
      </c>
      <c r="CD484" s="213">
        <f t="shared" ca="1" si="260"/>
        <v>11.044079999999999</v>
      </c>
      <c r="CE484" s="214">
        <f t="shared" ca="1" si="261"/>
        <v>0.71786519999999998</v>
      </c>
      <c r="CF484" s="215">
        <f>VLOOKUP(L484,'Impostos e Frete'!$A$3:$C$7,3,0)</f>
        <v>120</v>
      </c>
      <c r="CG484" s="215">
        <f t="shared" si="262"/>
        <v>90</v>
      </c>
      <c r="CH484" s="215">
        <f t="shared" si="263"/>
        <v>-30</v>
      </c>
      <c r="CI484" s="216">
        <f t="shared" ca="1" si="264"/>
        <v>0.16566119999999884</v>
      </c>
      <c r="CJ484" s="217">
        <f t="shared" ca="1" si="265"/>
        <v>11.209741199999998</v>
      </c>
      <c r="CK484" s="218">
        <f t="shared" ca="1" si="266"/>
        <v>0.72863317799999983</v>
      </c>
    </row>
    <row r="485" spans="1:89">
      <c r="A485" s="176">
        <v>7004737</v>
      </c>
      <c r="B485" s="177" t="s">
        <v>123</v>
      </c>
      <c r="C485" s="178">
        <v>50</v>
      </c>
      <c r="D485" s="178"/>
      <c r="E485" s="178"/>
      <c r="F485" s="179" t="s">
        <v>67</v>
      </c>
      <c r="G485" s="189" t="s">
        <v>467</v>
      </c>
      <c r="H485" s="178" t="s">
        <v>61</v>
      </c>
      <c r="I485" s="178"/>
      <c r="J485" s="178"/>
      <c r="K485" s="178"/>
      <c r="L485" s="178" t="s">
        <v>59</v>
      </c>
      <c r="M485" s="178">
        <v>90</v>
      </c>
      <c r="N485" s="178"/>
      <c r="O485" s="178"/>
      <c r="P485" s="178"/>
      <c r="Q485" s="178"/>
      <c r="R485" s="178" t="s">
        <v>19</v>
      </c>
      <c r="S485" s="181"/>
      <c r="T485" s="181"/>
      <c r="U485" s="182"/>
      <c r="V485" s="182" t="s">
        <v>35</v>
      </c>
      <c r="W485" s="183">
        <v>100</v>
      </c>
      <c r="X485" s="182" t="s">
        <v>51</v>
      </c>
      <c r="Y485" s="184"/>
      <c r="Z485" s="184"/>
      <c r="AA485" s="184"/>
      <c r="AB485" s="184"/>
      <c r="AC485" s="184"/>
      <c r="AD485" s="184"/>
      <c r="AE485" s="184"/>
      <c r="AF485" s="184"/>
      <c r="AG485" s="184"/>
      <c r="AH485" s="184"/>
      <c r="AI485" s="184"/>
      <c r="AJ485" s="184"/>
      <c r="AK485" s="184"/>
      <c r="AL485" s="184"/>
      <c r="AM485" s="184"/>
      <c r="AN485" s="184"/>
      <c r="AO485" s="184"/>
      <c r="AP485" s="184"/>
      <c r="AQ485" s="184"/>
      <c r="AR485" s="184"/>
      <c r="AS485" s="184"/>
      <c r="AT485" s="184"/>
      <c r="AU485" s="184"/>
      <c r="AV485" s="184"/>
      <c r="AW485" s="184"/>
      <c r="AX485" s="184"/>
      <c r="AY485" s="184"/>
      <c r="AZ485" s="184"/>
      <c r="BA485" s="184"/>
      <c r="BB485" s="184"/>
      <c r="BC485" s="184"/>
      <c r="BD485" s="184"/>
      <c r="BE485" s="184"/>
      <c r="BF485" s="184"/>
      <c r="BG485" s="184"/>
      <c r="BH485" s="184"/>
      <c r="BI485" s="184"/>
      <c r="BJ485" s="184"/>
      <c r="BK485" s="184"/>
      <c r="BL485" s="184"/>
      <c r="BM485" s="184">
        <v>1100</v>
      </c>
      <c r="BN485" s="184"/>
      <c r="BO485" s="184"/>
      <c r="BP485" s="184"/>
      <c r="BQ485" s="184"/>
      <c r="BR485" s="184"/>
      <c r="BS485" s="184"/>
      <c r="BT485" s="184"/>
      <c r="BU485" s="146" cm="1">
        <f t="array" ref="BU485">LOOKUP(2,1/(Y485:BT485&lt;&gt;""),Y485:BH485)</f>
        <v>1100</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46143</v>
      </c>
      <c r="BW485" s="211" cm="1">
        <f t="array" ref="BW485">(LOOKUP(2,1/(BH485:BT485&lt;&gt;""),BH485:BT485))/(INDEX(BH485:BT485,MATCH(TRUE,INDEX((BH485:BT485&lt;&gt;0),0),0)))-1</f>
        <v>0</v>
      </c>
      <c r="BX485" s="212">
        <f t="shared" ref="BX485:BX486" si="267">BU485/1000</f>
        <v>1.1000000000000001</v>
      </c>
      <c r="BY485" s="212">
        <f t="shared" ref="BY485:BY486" si="268">IF(X485="BRL",BX485,IF(X485="EUR",BX485*$CK$2,IF(X485="USD",BX485*$CK$1,IF(X485="CNY",BX485*$CM$1,IF(X485="RUB",BX485*$CM$2,"CRRY#")))))</f>
        <v>6.4900000000000011</v>
      </c>
      <c r="BZ485" s="212">
        <f ca="1">IF(L485="BR",'Impostos e Frete'!$F$6,IF(L485="EU",'Impostos e Frete'!$I$3,IF(L485="CN",'Impostos e Frete'!$I$4,IF(L485="JP",'Impostos e Frete'!$I$5,IF(L485="RU",'Impostos e Frete'!$I$7,"ERRO")))))</f>
        <v>0.14176320000000001</v>
      </c>
      <c r="CA485" s="212">
        <f>VLOOKUP(L485,'Impostos e Frete'!$A$3:$B$7,2,0)*'Preços e Condições'!BY485</f>
        <v>0.84370000000000012</v>
      </c>
      <c r="CB485" s="147">
        <f t="shared" ref="CB485:CB486" si="269">IF(R485="CFR",$CB$2,IF(R485="FOB",0,IF(R485="EXW",$CB$1,"ERRO")))</f>
        <v>0</v>
      </c>
      <c r="CC485" s="147">
        <f>IF(X485="BRL",'Impostos e Frete'!$B$11,'Impostos e Frete'!$B$12)</f>
        <v>9.1999999999999998E-2</v>
      </c>
      <c r="CD485" s="213">
        <f t="shared" ref="CD485:CD486" ca="1" si="270">SUM(BY485:CC485)</f>
        <v>7.5674632000000006</v>
      </c>
      <c r="CE485" s="214">
        <f t="shared" ref="CE485:CE486" ca="1" si="271">IF(C485="","erro",(CD485/1000)*C485)</f>
        <v>0.37837316000000004</v>
      </c>
      <c r="CF485" s="215">
        <f>VLOOKUP(L485,'Impostos e Frete'!$A$3:$C$7,3,0)</f>
        <v>105</v>
      </c>
      <c r="CG485" s="215">
        <f t="shared" ref="CG485:CG486" si="272">M485</f>
        <v>90</v>
      </c>
      <c r="CH485" s="215">
        <f t="shared" ref="CH485:CH486" si="273">CG485-CF485</f>
        <v>-15</v>
      </c>
      <c r="CI485" s="216">
        <f t="shared" ref="CI485:CI486" ca="1" si="274">CD485*(1+VALUE($CI$2))^((CH485*-1)/30)-CD485</f>
        <v>5.6544720549699612E-2</v>
      </c>
      <c r="CJ485" s="217">
        <f t="shared" ref="CJ485:CJ486" ca="1" si="275">CD485+CI485</f>
        <v>7.6240079205497002</v>
      </c>
      <c r="CK485" s="218">
        <f t="shared" ref="CK485:CK486" ca="1" si="276">IF(C485="","erro",(CJ485/1000)*C485)</f>
        <v>0.38120039602748501</v>
      </c>
    </row>
    <row r="486" spans="1:89">
      <c r="A486" s="176">
        <v>7004738</v>
      </c>
      <c r="B486" s="177" t="s">
        <v>123</v>
      </c>
      <c r="C486" s="178">
        <v>60</v>
      </c>
      <c r="D486" s="178"/>
      <c r="E486" s="178"/>
      <c r="F486" s="179" t="s">
        <v>67</v>
      </c>
      <c r="G486" s="189" t="s">
        <v>467</v>
      </c>
      <c r="H486" s="178" t="s">
        <v>61</v>
      </c>
      <c r="I486" s="178"/>
      <c r="J486" s="178"/>
      <c r="K486" s="178"/>
      <c r="L486" s="178" t="s">
        <v>59</v>
      </c>
      <c r="M486" s="178">
        <v>90</v>
      </c>
      <c r="N486" s="178"/>
      <c r="O486" s="178"/>
      <c r="P486" s="178"/>
      <c r="Q486" s="178"/>
      <c r="R486" s="178" t="s">
        <v>19</v>
      </c>
      <c r="S486" s="181"/>
      <c r="T486" s="181"/>
      <c r="U486" s="182"/>
      <c r="V486" s="182" t="s">
        <v>35</v>
      </c>
      <c r="W486" s="183">
        <v>100</v>
      </c>
      <c r="X486" s="182" t="s">
        <v>51</v>
      </c>
      <c r="Y486" s="184"/>
      <c r="Z486" s="184"/>
      <c r="AA486" s="184"/>
      <c r="AB486" s="184"/>
      <c r="AC486" s="184"/>
      <c r="AD486" s="184"/>
      <c r="AE486" s="184"/>
      <c r="AF486" s="184"/>
      <c r="AG486" s="184"/>
      <c r="AH486" s="184"/>
      <c r="AI486" s="184"/>
      <c r="AJ486" s="184"/>
      <c r="AK486" s="184"/>
      <c r="AL486" s="184"/>
      <c r="AM486" s="184"/>
      <c r="AN486" s="184"/>
      <c r="AO486" s="184"/>
      <c r="AP486" s="184"/>
      <c r="AQ486" s="184"/>
      <c r="AR486" s="184"/>
      <c r="AS486" s="184"/>
      <c r="AT486" s="184"/>
      <c r="AU486" s="184"/>
      <c r="AV486" s="184"/>
      <c r="AW486" s="184"/>
      <c r="AX486" s="184"/>
      <c r="AY486" s="184"/>
      <c r="AZ486" s="184"/>
      <c r="BA486" s="184"/>
      <c r="BB486" s="184"/>
      <c r="BC486" s="184"/>
      <c r="BD486" s="184"/>
      <c r="BE486" s="184"/>
      <c r="BF486" s="184"/>
      <c r="BG486" s="184"/>
      <c r="BH486" s="184"/>
      <c r="BI486" s="184"/>
      <c r="BJ486" s="184"/>
      <c r="BK486" s="184"/>
      <c r="BL486" s="184">
        <v>1100</v>
      </c>
      <c r="BM486" s="184">
        <v>1100</v>
      </c>
      <c r="BN486" s="184">
        <v>1100</v>
      </c>
      <c r="BO486" s="184"/>
      <c r="BP486" s="184"/>
      <c r="BQ486" s="184"/>
      <c r="BR486" s="184"/>
      <c r="BS486" s="184"/>
      <c r="BT486" s="184"/>
      <c r="BU486" s="146" cm="1">
        <f t="array" ref="BU486">LOOKUP(2,1/(Y486:BT486&lt;&gt;""),Y486:BH486)</f>
        <v>1100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46174</v>
      </c>
      <c r="BW486" s="211" cm="1">
        <f t="array" ref="BW486">(LOOKUP(2,1/(BH486:BT486&lt;&gt;""),BH486:BT486))/(INDEX(BH486:BT486,MATCH(TRUE,INDEX((BH486:BT486&lt;&gt;0),0),0)))-1</f>
        <v>0</v>
      </c>
      <c r="BX486" s="212">
        <f t="shared" si="267"/>
        <v>1.1000000000000001</v>
      </c>
      <c r="BY486" s="212">
        <f t="shared" si="268"/>
        <v>6.4900000000000011</v>
      </c>
      <c r="BZ486" s="212">
        <f ca="1">IF(L486="BR",'Impostos e Frete'!$F$6,IF(L486="EU",'Impostos e Frete'!$I$3,IF(L486="CN",'Impostos e Frete'!$I$4,IF(L486="JP",'Impostos e Frete'!$I$5,IF(L486="RU",'Impostos e Frete'!$I$7,"ERRO")))))</f>
        <v>0.14176320000000001</v>
      </c>
      <c r="CA486" s="212">
        <f>VLOOKUP(L486,'Impostos e Frete'!$A$3:$B$7,2,0)*'Preços e Condições'!BY486</f>
        <v>0.84370000000000012</v>
      </c>
      <c r="CB486" s="147">
        <f t="shared" si="269"/>
        <v>0</v>
      </c>
      <c r="CC486" s="147">
        <f>IF(X486="BRL",'Impostos e Frete'!$B$11,'Impostos e Frete'!$B$12)</f>
        <v>9.1999999999999998E-2</v>
      </c>
      <c r="CD486" s="213">
        <f t="shared" ca="1" si="270"/>
        <v>7.5674632000000006</v>
      </c>
      <c r="CE486" s="214">
        <f t="shared" ca="1" si="271"/>
        <v>0.45404779200000006</v>
      </c>
      <c r="CF486" s="215">
        <f>VLOOKUP(L486,'Impostos e Frete'!$A$3:$C$7,3,0)</f>
        <v>105</v>
      </c>
      <c r="CG486" s="215">
        <f t="shared" si="272"/>
        <v>90</v>
      </c>
      <c r="CH486" s="215">
        <f t="shared" si="273"/>
        <v>-15</v>
      </c>
      <c r="CI486" s="216">
        <f t="shared" ca="1" si="274"/>
        <v>5.6544720549699612E-2</v>
      </c>
      <c r="CJ486" s="217">
        <f t="shared" ca="1" si="275"/>
        <v>7.6240079205497002</v>
      </c>
      <c r="CK486" s="218">
        <f t="shared" ca="1" si="276"/>
        <v>0.45744047523298204</v>
      </c>
    </row>
    <row r="487" spans="1:89">
      <c r="A487" s="219">
        <v>7004777</v>
      </c>
      <c r="B487" s="177">
        <v>128</v>
      </c>
      <c r="C487" s="178">
        <v>65</v>
      </c>
      <c r="D487" s="178"/>
      <c r="E487" s="197" t="s">
        <v>50</v>
      </c>
      <c r="F487" s="179" t="s">
        <v>272</v>
      </c>
      <c r="G487" s="185" t="s">
        <v>454</v>
      </c>
      <c r="H487" s="178" t="s">
        <v>43</v>
      </c>
      <c r="I487" s="178">
        <v>128</v>
      </c>
      <c r="J487" s="178"/>
      <c r="K487" s="178"/>
      <c r="L487" s="183" t="s">
        <v>457</v>
      </c>
      <c r="M487" s="183">
        <v>45</v>
      </c>
      <c r="N487" s="183"/>
      <c r="O487" s="178"/>
      <c r="P487" s="178"/>
      <c r="Q487" s="178"/>
      <c r="R487" s="178" t="s">
        <v>126</v>
      </c>
      <c r="S487" s="181"/>
      <c r="T487" s="181"/>
      <c r="U487" s="182"/>
      <c r="V487" s="182" t="s">
        <v>35</v>
      </c>
      <c r="W487" s="183"/>
      <c r="X487" s="182" t="s">
        <v>455</v>
      </c>
      <c r="Y487" s="184"/>
      <c r="Z487" s="184"/>
      <c r="AA487" s="184"/>
      <c r="AB487" s="184"/>
      <c r="AC487" s="184"/>
      <c r="AD487" s="184"/>
      <c r="AE487" s="184"/>
      <c r="AF487" s="184"/>
      <c r="AG487" s="184"/>
      <c r="AH487" s="184"/>
      <c r="AI487" s="184"/>
      <c r="AJ487" s="184"/>
      <c r="AK487" s="184"/>
      <c r="AL487" s="184"/>
      <c r="AM487" s="184"/>
      <c r="AN487" s="184"/>
      <c r="AO487" s="184"/>
      <c r="AP487" s="184"/>
      <c r="AQ487" s="184"/>
      <c r="AR487" s="184"/>
      <c r="AS487" s="184"/>
      <c r="AT487" s="184"/>
      <c r="AU487" s="184"/>
      <c r="AV487" s="184"/>
      <c r="AW487" s="184"/>
      <c r="AX487" s="184"/>
      <c r="AY487" s="184"/>
      <c r="AZ487" s="184"/>
      <c r="BA487" s="184"/>
      <c r="BB487" s="184"/>
      <c r="BC487" s="184"/>
      <c r="BD487" s="184"/>
      <c r="BE487" s="184"/>
      <c r="BF487" s="184"/>
      <c r="BG487" s="184"/>
      <c r="BH487" s="184"/>
      <c r="BI487" s="184">
        <v>210000</v>
      </c>
      <c r="BJ487" s="184">
        <v>210000</v>
      </c>
      <c r="BK487" s="184">
        <v>210000</v>
      </c>
      <c r="BL487" s="184"/>
      <c r="BM487" s="184"/>
      <c r="BN487" s="184"/>
      <c r="BO487" s="184"/>
      <c r="BP487" s="184"/>
      <c r="BQ487" s="184"/>
      <c r="BR487" s="184"/>
      <c r="BS487" s="184"/>
      <c r="BT487" s="184"/>
      <c r="BU487" s="146" cm="1">
        <f t="array" ref="BU487">LOOKUP(2,1/(Y487:BT487&lt;&gt;""),Y487:BH487)</f>
        <v>210000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46082</v>
      </c>
      <c r="BW487" s="211" cm="1">
        <f t="array" ref="BW487">(LOOKUP(2,1/(BH487:BT487&lt;&gt;""),BH487:BT487))/(INDEX(BH487:BT487,MATCH(TRUE,INDEX((BH487:BT487&lt;&gt;0),0),0)))-1</f>
        <v>0</v>
      </c>
      <c r="BX487" s="212">
        <f t="shared" ref="BX487:BX488" si="277">BU487/1000</f>
        <v>210</v>
      </c>
      <c r="BY487" s="212">
        <f t="shared" si="220"/>
        <v>13.9377</v>
      </c>
      <c r="BZ487" s="212">
        <f>IF(L487="BR",'Impostos e Frete'!$F$6,IF(L487="EU",'Impostos e Frete'!$I$3,IF(L487="CN",'Impostos e Frete'!$I$4,IF(L487="JP",'Impostos e Frete'!$I$5,IF(L487="RU",'Impostos e Frete'!$I$7,"ERRO")))))</f>
        <v>0</v>
      </c>
      <c r="CA487" s="212">
        <f>VLOOKUP(L487,'Impostos e Frete'!$A$3:$B$7,2,0)*'Preços e Condições'!BY487</f>
        <v>1.811901</v>
      </c>
      <c r="CB487" s="147">
        <f t="shared" ref="CB487:CB488" si="278">IF(R487="CFR",$CB$2,IF(R487="FOB",0,IF(R487="EXW",$CB$1,"ERRO")))</f>
        <v>-0.17699999999999999</v>
      </c>
      <c r="CC487" s="147">
        <f>IF(X487="BRL",'Impostos e Frete'!$B$11,'Impostos e Frete'!$B$12)</f>
        <v>9.1999999999999998E-2</v>
      </c>
      <c r="CD487" s="213">
        <f t="shared" ref="CD487:CD488" si="279">SUM(BY487:CC487)</f>
        <v>15.664601000000001</v>
      </c>
      <c r="CE487" s="214">
        <f t="shared" ref="CE487:CE488" si="280">IF(C487="","erro",(CD487/1000)*C487)</f>
        <v>1.0181990650000001</v>
      </c>
      <c r="CF487" s="215">
        <f>VLOOKUP(L487,'Impostos e Frete'!$A$3:$C$7,3,0)</f>
        <v>105</v>
      </c>
      <c r="CG487" s="215">
        <f t="shared" ref="CG487:CG488" si="281">M487</f>
        <v>45</v>
      </c>
      <c r="CH487" s="215">
        <f t="shared" ref="CH487:CH488" si="282">CG487-CF487</f>
        <v>-60</v>
      </c>
      <c r="CI487" s="216">
        <f t="shared" ref="CI487:CI488" si="283">CD487*(1+VALUE($CI$2))^((CH487*-1)/30)-CD487</f>
        <v>0.4734625652249953</v>
      </c>
      <c r="CJ487" s="217">
        <f t="shared" ref="CJ487:CJ488" si="284">CD487+CI487</f>
        <v>16.138063565224996</v>
      </c>
      <c r="CK487" s="218">
        <f t="shared" ref="CK487:CK488" si="285">IF(C487="","erro",(CJ487/1000)*C487)</f>
        <v>1.0489741317396248</v>
      </c>
    </row>
    <row r="488" spans="1:89">
      <c r="A488" s="176">
        <v>7004990</v>
      </c>
      <c r="B488" s="177">
        <v>9370</v>
      </c>
      <c r="C488" s="178">
        <v>70</v>
      </c>
      <c r="D488" s="178"/>
      <c r="E488" s="178" t="s">
        <v>209</v>
      </c>
      <c r="F488" s="179" t="s">
        <v>459</v>
      </c>
      <c r="G488" s="189" t="s">
        <v>460</v>
      </c>
      <c r="H488" s="178" t="s">
        <v>43</v>
      </c>
      <c r="I488" s="178" t="s">
        <v>461</v>
      </c>
      <c r="J488" s="178"/>
      <c r="K488" s="178"/>
      <c r="L488" s="178" t="s">
        <v>60</v>
      </c>
      <c r="M488" s="178">
        <v>90</v>
      </c>
      <c r="N488" s="178">
        <v>3300</v>
      </c>
      <c r="O488" s="178"/>
      <c r="P488" s="178"/>
      <c r="Q488" s="178"/>
      <c r="R488" s="178" t="s">
        <v>19</v>
      </c>
      <c r="S488" s="181"/>
      <c r="T488" s="181"/>
      <c r="U488" s="182"/>
      <c r="V488" s="182" t="s">
        <v>35</v>
      </c>
      <c r="W488" s="183">
        <v>100</v>
      </c>
      <c r="X488" s="182" t="s">
        <v>267</v>
      </c>
      <c r="Y488" s="184"/>
      <c r="Z488" s="184"/>
      <c r="AA488" s="184"/>
      <c r="AB488" s="184"/>
      <c r="AC488" s="184"/>
      <c r="AD488" s="184"/>
      <c r="AE488" s="184"/>
      <c r="AF488" s="184"/>
      <c r="AG488" s="184"/>
      <c r="AH488" s="184"/>
      <c r="AI488" s="184"/>
      <c r="AJ488" s="184"/>
      <c r="AK488" s="184"/>
      <c r="AL488" s="184"/>
      <c r="AM488" s="184"/>
      <c r="AN488" s="184"/>
      <c r="AO488" s="184"/>
      <c r="AP488" s="184"/>
      <c r="AQ488" s="184"/>
      <c r="AR488" s="184"/>
      <c r="AS488" s="184"/>
      <c r="AT488" s="184"/>
      <c r="AU488" s="184"/>
      <c r="AV488" s="184"/>
      <c r="AW488" s="184"/>
      <c r="AX488" s="184"/>
      <c r="AY488" s="184"/>
      <c r="AZ488" s="184"/>
      <c r="BA488" s="184"/>
      <c r="BB488" s="184"/>
      <c r="BC488" s="184"/>
      <c r="BD488" s="184"/>
      <c r="BE488" s="184"/>
      <c r="BF488" s="184"/>
      <c r="BG488" s="184"/>
      <c r="BH488" s="184"/>
      <c r="BI488" s="184"/>
      <c r="BJ488" s="184"/>
      <c r="BK488" s="184"/>
      <c r="BL488" s="184"/>
      <c r="BM488" s="184">
        <v>19500</v>
      </c>
      <c r="BN488" s="184">
        <v>19500</v>
      </c>
      <c r="BO488" s="184"/>
      <c r="BP488" s="184"/>
      <c r="BQ488" s="184"/>
      <c r="BR488" s="184"/>
      <c r="BS488" s="184"/>
      <c r="BT488" s="184"/>
      <c r="BU488" s="146" cm="1">
        <f t="array" ref="BU488">LOOKUP(2,1/(Y488:BT488&lt;&gt;""),Y488:BH488)</f>
        <v>19500</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46174</v>
      </c>
      <c r="BW488" s="211" cm="1">
        <f t="array" ref="BW488">(LOOKUP(2,1/(BH488:BT488&lt;&gt;""),BH488:BT488))/(INDEX(BH488:BT488,MATCH(TRUE,INDEX((BH488:BT488&lt;&gt;0),0),0)))-1</f>
        <v>0</v>
      </c>
      <c r="BX488" s="212">
        <f t="shared" si="277"/>
        <v>19.5</v>
      </c>
      <c r="BY488" s="212">
        <f t="shared" si="220"/>
        <v>14.625</v>
      </c>
      <c r="BZ488" s="212">
        <f ca="1">IF(L488="BR",'Impostos e Frete'!$F$6,IF(L488="EU",'Impostos e Frete'!$I$3,IF(L488="CN",'Impostos e Frete'!$I$4,IF(L488="JP",'Impostos e Frete'!$I$5,IF(L488="RU",'Impostos e Frete'!$I$7,"ERRO")))))</f>
        <v>1.11958</v>
      </c>
      <c r="CA488" s="212">
        <f>VLOOKUP(L488,'Impostos e Frete'!$A$3:$B$7,2,0)*'Preços e Condições'!BY488</f>
        <v>2.0475000000000003</v>
      </c>
      <c r="CB488" s="147">
        <f t="shared" si="278"/>
        <v>0</v>
      </c>
      <c r="CC488" s="147">
        <f>IF(X488="BRL",'Impostos e Frete'!$B$11,'Impostos e Frete'!$B$12)</f>
        <v>9.1999999999999998E-2</v>
      </c>
      <c r="CD488" s="213">
        <f t="shared" ca="1" si="279"/>
        <v>17.884079999999997</v>
      </c>
      <c r="CE488" s="214">
        <f t="shared" ca="1" si="280"/>
        <v>1.2518855999999998</v>
      </c>
      <c r="CF488" s="215">
        <f>VLOOKUP(L488,'Impostos e Frete'!$A$3:$C$7,3,0)</f>
        <v>120</v>
      </c>
      <c r="CG488" s="215">
        <f t="shared" si="281"/>
        <v>90</v>
      </c>
      <c r="CH488" s="215">
        <f t="shared" si="282"/>
        <v>-30</v>
      </c>
      <c r="CI488" s="216">
        <f t="shared" ca="1" si="283"/>
        <v>0.26826119999999776</v>
      </c>
      <c r="CJ488" s="217">
        <f t="shared" ca="1" si="284"/>
        <v>18.152341199999995</v>
      </c>
      <c r="CK488" s="218">
        <f t="shared" ca="1" si="285"/>
        <v>1.2706638839999995</v>
      </c>
    </row>
    <row r="489" spans="1:89">
      <c r="A489" s="219" t="s">
        <v>474</v>
      </c>
      <c r="B489" s="177">
        <v>1430</v>
      </c>
      <c r="C489" s="178">
        <v>68</v>
      </c>
      <c r="D489" s="178"/>
      <c r="E489" s="178" t="s">
        <v>50</v>
      </c>
      <c r="F489" s="179" t="s">
        <v>108</v>
      </c>
      <c r="G489" s="185" t="s">
        <v>130</v>
      </c>
      <c r="H489" s="178" t="s">
        <v>61</v>
      </c>
      <c r="I489" s="178"/>
      <c r="J489" s="178"/>
      <c r="K489" s="178"/>
      <c r="L489" s="178" t="s">
        <v>59</v>
      </c>
      <c r="M489" s="178">
        <v>30</v>
      </c>
      <c r="N489" s="183">
        <v>500</v>
      </c>
      <c r="O489" s="178"/>
      <c r="P489" s="178"/>
      <c r="Q489" s="178"/>
      <c r="R489" s="178" t="s">
        <v>19</v>
      </c>
      <c r="S489" s="181"/>
      <c r="T489" s="181"/>
      <c r="U489" s="182"/>
      <c r="V489" s="182" t="s">
        <v>35</v>
      </c>
      <c r="W489" s="183">
        <v>80</v>
      </c>
      <c r="X489" s="182" t="s">
        <v>51</v>
      </c>
      <c r="Y489" s="184"/>
      <c r="Z489" s="184"/>
      <c r="AA489" s="184"/>
      <c r="AB489" s="184"/>
      <c r="AC489" s="184"/>
      <c r="AD489" s="184"/>
      <c r="AE489" s="184"/>
      <c r="AF489" s="184"/>
      <c r="AG489" s="184"/>
      <c r="AH489" s="184"/>
      <c r="AI489" s="184"/>
      <c r="AJ489" s="184"/>
      <c r="AK489" s="184"/>
      <c r="AL489" s="184"/>
      <c r="AM489" s="184"/>
      <c r="AN489" s="184"/>
      <c r="AO489" s="184"/>
      <c r="AP489" s="184"/>
      <c r="AQ489" s="184"/>
      <c r="AR489" s="184"/>
      <c r="AS489" s="184"/>
      <c r="AT489" s="184"/>
      <c r="AU489" s="184"/>
      <c r="AV489" s="184"/>
      <c r="AW489" s="184"/>
      <c r="AX489" s="184"/>
      <c r="AY489" s="184"/>
      <c r="AZ489" s="184"/>
      <c r="BA489" s="184"/>
      <c r="BB489" s="184"/>
      <c r="BC489" s="184"/>
      <c r="BD489" s="184"/>
      <c r="BE489" s="184"/>
      <c r="BF489" s="184"/>
      <c r="BG489" s="184"/>
      <c r="BH489" s="184"/>
      <c r="BI489" s="184"/>
      <c r="BJ489" s="184"/>
      <c r="BK489" s="184"/>
      <c r="BL489" s="184"/>
      <c r="BM489" s="184"/>
      <c r="BN489" s="184">
        <v>1900</v>
      </c>
      <c r="BO489" s="184">
        <v>1900</v>
      </c>
      <c r="BP489" s="184">
        <v>1900</v>
      </c>
      <c r="BQ489" s="184">
        <v>1900</v>
      </c>
      <c r="BR489" s="184"/>
      <c r="BS489" s="184"/>
      <c r="BT489" s="184"/>
      <c r="BU489" s="248" cm="1">
        <f t="array" ref="BU489">LOOKUP(2,1/(Y489:BT489&lt;&gt;""),Y489:BH489)</f>
        <v>1900</v>
      </c>
      <c r="BV489" s="247"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46199</v>
      </c>
      <c r="BW489" s="211" cm="1">
        <f t="array" ref="BW489">(LOOKUP(2,1/(BH489:BT489&lt;&gt;""),BH489:BT489))/(INDEX(BH489:BT489,MATCH(TRUE,INDEX((BH489:BT489&lt;&gt;0),0),0)))-1</f>
        <v>0</v>
      </c>
      <c r="BX489" s="212">
        <f>BU489/1000</f>
        <v>1.9</v>
      </c>
      <c r="BY489" s="249">
        <f>IF(X489="BRL",BX489,IF(X489="EUR",BX489*$CK$2,IF(X489="USD",BX489*$CK$1,IF(X489="CNY",BX489*$CM$1,IF(X489="RUB",BX489*$CM$2,"CRRY#")))))</f>
        <v>11.21</v>
      </c>
      <c r="BZ489" s="249">
        <f ca="1">IF(L489="BR",'Impostos e Frete'!$F$6,IF(L489="EU",'Impostos e Frete'!$I$3,IF(L489="CN",'Impostos e Frete'!$I$4,IF(L489="JP",'Impostos e Frete'!$I$5,IF(L489="RU",'Impostos e Frete'!$I$7,"ERRO")))))</f>
        <v>0.14176320000000001</v>
      </c>
      <c r="CA489" s="249">
        <f>VLOOKUP(L489,'Impostos e Frete'!$A$3:$B$7,2,0)*'Preços e Condições'!BY489</f>
        <v>1.4573000000000003</v>
      </c>
      <c r="CB489" s="147">
        <f>IF(R489="CFR",$CB$2,IF(R489="FOB",0,IF(R489="EXW",$CB$1,"ERRO")))</f>
        <v>0</v>
      </c>
      <c r="CC489" s="147">
        <f>IF(X489="BRL",'Impostos e Frete'!$B$11,'Impostos e Frete'!$B$12)</f>
        <v>9.1999999999999998E-2</v>
      </c>
      <c r="CD489" s="213">
        <f ca="1">SUM(BY489:CC489)</f>
        <v>12.901063200000001</v>
      </c>
      <c r="CE489" s="258">
        <f ca="1">IF(C489="","erro",(CD489/1000)*C489)</f>
        <v>0.87727229760000014</v>
      </c>
      <c r="CF489" s="259">
        <f>VLOOKUP(L489,'Impostos e Frete'!$A$3:$C$7,3,0)</f>
        <v>105</v>
      </c>
      <c r="CG489" s="260">
        <f>M489</f>
        <v>30</v>
      </c>
      <c r="CH489" s="260">
        <f>CG489-CF489</f>
        <v>-75</v>
      </c>
      <c r="CI489" s="261">
        <f ca="1">CD489*(1+VALUE($CI$2))^((CH489*-1)/30)-CD489</f>
        <v>0.48924608722932739</v>
      </c>
      <c r="CJ489" s="262">
        <f ca="1">CD489+CI489</f>
        <v>13.390309287229329</v>
      </c>
      <c r="CK489" s="263">
        <f ca="1">IF(C489="","erro",(CJ489/1000)*C489)</f>
        <v>0.91054103153159438</v>
      </c>
    </row>
    <row r="490" spans="1:89">
      <c r="A490" s="219" t="s">
        <v>475</v>
      </c>
      <c r="B490" s="177">
        <v>1410</v>
      </c>
      <c r="C490" s="178">
        <v>68</v>
      </c>
      <c r="D490" s="178"/>
      <c r="E490" s="178" t="s">
        <v>50</v>
      </c>
      <c r="F490" s="179" t="s">
        <v>108</v>
      </c>
      <c r="G490" s="185" t="s">
        <v>129</v>
      </c>
      <c r="H490" s="178" t="s">
        <v>61</v>
      </c>
      <c r="I490" s="178"/>
      <c r="J490" s="178"/>
      <c r="K490" s="178"/>
      <c r="L490" s="178" t="s">
        <v>59</v>
      </c>
      <c r="M490" s="178">
        <v>30</v>
      </c>
      <c r="N490" s="183">
        <v>500</v>
      </c>
      <c r="O490" s="178"/>
      <c r="P490" s="178"/>
      <c r="Q490" s="178"/>
      <c r="R490" s="178" t="s">
        <v>19</v>
      </c>
      <c r="S490" s="181"/>
      <c r="T490" s="181"/>
      <c r="U490" s="182"/>
      <c r="V490" s="182" t="s">
        <v>35</v>
      </c>
      <c r="W490" s="183">
        <v>80</v>
      </c>
      <c r="X490" s="182" t="s">
        <v>51</v>
      </c>
      <c r="Y490" s="184"/>
      <c r="Z490" s="184"/>
      <c r="AA490" s="184"/>
      <c r="AB490" s="184"/>
      <c r="AC490" s="184"/>
      <c r="AD490" s="184"/>
      <c r="AE490" s="184"/>
      <c r="AF490" s="184"/>
      <c r="AG490" s="184"/>
      <c r="AH490" s="184"/>
      <c r="AI490" s="184"/>
      <c r="AJ490" s="184"/>
      <c r="AK490" s="184"/>
      <c r="AL490" s="184"/>
      <c r="AM490" s="184"/>
      <c r="AN490" s="184"/>
      <c r="AO490" s="184"/>
      <c r="AP490" s="184"/>
      <c r="AQ490" s="184"/>
      <c r="AR490" s="184"/>
      <c r="AS490" s="184"/>
      <c r="AT490" s="184"/>
      <c r="AU490" s="184"/>
      <c r="AV490" s="184"/>
      <c r="AW490" s="184"/>
      <c r="AX490" s="184"/>
      <c r="AY490" s="184"/>
      <c r="AZ490" s="184"/>
      <c r="BA490" s="184"/>
      <c r="BB490" s="184"/>
      <c r="BC490" s="184"/>
      <c r="BD490" s="184"/>
      <c r="BE490" s="184"/>
      <c r="BF490" s="184"/>
      <c r="BG490" s="184"/>
      <c r="BH490" s="184"/>
      <c r="BI490" s="184"/>
      <c r="BJ490" s="184"/>
      <c r="BK490" s="184"/>
      <c r="BL490" s="184"/>
      <c r="BM490" s="184"/>
      <c r="BN490" s="184">
        <v>1790</v>
      </c>
      <c r="BO490" s="184">
        <v>1790</v>
      </c>
      <c r="BP490" s="184">
        <v>1790</v>
      </c>
      <c r="BQ490" s="184">
        <v>1790</v>
      </c>
      <c r="BR490" s="184"/>
      <c r="BS490" s="184"/>
      <c r="BT490" s="184"/>
      <c r="BU490" s="248" cm="1">
        <f t="array" ref="BU490">LOOKUP(2,1/(Y490:BT490&lt;&gt;""),Y490:BH490)</f>
        <v>1790</v>
      </c>
      <c r="BV490" s="247"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46199</v>
      </c>
      <c r="BW490" s="211" cm="1">
        <f t="array" ref="BW490">(LOOKUP(2,1/(BH490:BT490&lt;&gt;""),BH490:BT490))/(INDEX(BH490:BT490,MATCH(TRUE,INDEX((BH490:BT490&lt;&gt;0),0),0)))-1</f>
        <v>0</v>
      </c>
      <c r="BX490" s="212">
        <f>BU490/1000</f>
        <v>1.79</v>
      </c>
      <c r="BY490" s="249">
        <f>IF(X490="BRL",BX490,IF(X490="EUR",BX490*$CK$2,IF(X490="USD",BX490*$CK$1,IF(X490="CNY",BX490*$CM$1,IF(X490="RUB",BX490*$CM$2,"CRRY#")))))</f>
        <v>10.561000000000002</v>
      </c>
      <c r="BZ490" s="249">
        <f ca="1">IF(L490="BR",'Impostos e Frete'!$F$6,IF(L490="EU",'Impostos e Frete'!$I$3,IF(L490="CN",'Impostos e Frete'!$I$4,IF(L490="JP",'Impostos e Frete'!$I$5,IF(L490="RU",'Impostos e Frete'!$I$7,"ERRO")))))</f>
        <v>0.14176320000000001</v>
      </c>
      <c r="CA490" s="249">
        <f>VLOOKUP(L490,'Impostos e Frete'!$A$3:$B$7,2,0)*'Preços e Condições'!BY490</f>
        <v>1.3729300000000002</v>
      </c>
      <c r="CB490" s="147">
        <f>IF(R490="CFR",$CB$2,IF(R490="FOB",0,IF(R490="EXW",$CB$1,"ERRO")))</f>
        <v>0</v>
      </c>
      <c r="CC490" s="147">
        <f>IF(X490="BRL",'Impostos e Frete'!$B$11,'Impostos e Frete'!$B$12)</f>
        <v>9.1999999999999998E-2</v>
      </c>
      <c r="CD490" s="213">
        <f ca="1">SUM(BY490:CC490)</f>
        <v>12.167693200000002</v>
      </c>
      <c r="CE490" s="258">
        <f ca="1">IF(C490="","erro",(CD490/1000)*C490)</f>
        <v>0.82740313760000017</v>
      </c>
      <c r="CF490" s="259">
        <f>VLOOKUP(L490,'Impostos e Frete'!$A$3:$C$7,3,0)</f>
        <v>105</v>
      </c>
      <c r="CG490" s="260">
        <f>M490</f>
        <v>30</v>
      </c>
      <c r="CH490" s="260">
        <f>CG490-CF490</f>
        <v>-75</v>
      </c>
      <c r="CI490" s="261">
        <f ca="1">CD490*(1+VALUE($CI$2))^((CH490*-1)/30)-CD490</f>
        <v>0.46143454972818887</v>
      </c>
      <c r="CJ490" s="262">
        <f ca="1">CD490+CI490</f>
        <v>12.629127749728191</v>
      </c>
      <c r="CK490" s="263">
        <f ca="1">IF(C490="","erro",(CJ490/1000)*C490)</f>
        <v>0.85878068698151699</v>
      </c>
    </row>
    <row r="491" spans="1:89">
      <c r="A491" s="219" t="s">
        <v>477</v>
      </c>
      <c r="B491" s="177">
        <v>2638</v>
      </c>
      <c r="C491" s="178">
        <v>68</v>
      </c>
      <c r="D491" s="178"/>
      <c r="E491" s="178" t="s">
        <v>50</v>
      </c>
      <c r="F491" s="179" t="s">
        <v>0</v>
      </c>
      <c r="G491" s="185" t="s">
        <v>478</v>
      </c>
      <c r="H491" s="178" t="s">
        <v>42</v>
      </c>
      <c r="I491" s="178">
        <v>2638</v>
      </c>
      <c r="J491" s="178"/>
      <c r="K491" s="178"/>
      <c r="L491" s="178" t="s">
        <v>60</v>
      </c>
      <c r="M491" s="178">
        <v>90</v>
      </c>
      <c r="N491" s="178">
        <v>3300</v>
      </c>
      <c r="O491" s="178"/>
      <c r="P491" s="178"/>
      <c r="Q491" s="178"/>
      <c r="R491" s="183" t="s">
        <v>19</v>
      </c>
      <c r="S491" s="181"/>
      <c r="T491" s="181"/>
      <c r="U491" s="182"/>
      <c r="V491" s="182" t="s">
        <v>35</v>
      </c>
      <c r="W491" s="183">
        <v>100</v>
      </c>
      <c r="X491" s="182" t="s">
        <v>267</v>
      </c>
      <c r="Y491" s="184"/>
      <c r="Z491" s="184"/>
      <c r="AA491" s="184"/>
      <c r="AB491" s="184"/>
      <c r="AC491" s="184"/>
      <c r="AD491" s="184"/>
      <c r="AE491" s="184"/>
      <c r="AF491" s="184"/>
      <c r="AG491" s="184"/>
      <c r="AH491" s="184"/>
      <c r="AI491" s="184"/>
      <c r="AJ491" s="184"/>
      <c r="AK491" s="184"/>
      <c r="AL491" s="184"/>
      <c r="AM491" s="184"/>
      <c r="AN491" s="184"/>
      <c r="AO491" s="184"/>
      <c r="AP491" s="184"/>
      <c r="AQ491" s="184"/>
      <c r="AR491" s="184"/>
      <c r="AS491" s="184"/>
      <c r="AT491" s="184"/>
      <c r="AU491" s="184"/>
      <c r="AV491" s="184"/>
      <c r="AW491" s="184"/>
      <c r="AX491" s="184"/>
      <c r="AY491" s="184"/>
      <c r="AZ491" s="184"/>
      <c r="BA491" s="184"/>
      <c r="BB491" s="184"/>
      <c r="BC491" s="184"/>
      <c r="BD491" s="184"/>
      <c r="BE491" s="184"/>
      <c r="BF491" s="184"/>
      <c r="BG491" s="184"/>
      <c r="BH491" s="184"/>
      <c r="BI491" s="184">
        <v>13900</v>
      </c>
      <c r="BJ491" s="184">
        <v>13900</v>
      </c>
      <c r="BK491" s="184">
        <v>13900</v>
      </c>
      <c r="BL491" s="184">
        <v>13900</v>
      </c>
      <c r="BM491" s="184">
        <v>13900</v>
      </c>
      <c r="BN491" s="184">
        <v>13900</v>
      </c>
      <c r="BO491" s="184"/>
      <c r="BP491" s="184"/>
      <c r="BQ491" s="184"/>
      <c r="BR491" s="184"/>
      <c r="BS491" s="184"/>
      <c r="BT491" s="184"/>
      <c r="BU491" s="248" cm="1">
        <f t="array" ref="BU491">LOOKUP(2,1/(Y491:BT491&lt;&gt;""),Y491:BH491)</f>
        <v>13900</v>
      </c>
      <c r="BV491" s="247" cm="1">
        <f t="array" aca="1" ref="BV491" ca="1">_xlfn.LET(
    _xlpm.last_col_idx, LOOKUP(2, 1/(Y491:BT491&lt;&gt;""), COLUMN(Y491:BT491) - COLUMN(Y491) + 1),
    _xlpm.header_val, INDEX($Y$3:$BT$3, 1, _xlpm.last_col_idx),
    _xlpm.header_date, IF(ISNUMBER(_xlpm.header_val), _xlpm.header_val, DATEVALUE(_xlpm.header_val)),
    IF(_xlpm.header_date &gt; TODAY(), TODAY(), _xlpm.header_date)
)</f>
        <v>46174</v>
      </c>
      <c r="BW491" s="211" cm="1">
        <f t="array" ref="BW491">(LOOKUP(2,1/(BH491:BT491&lt;&gt;""),BH491:BT491))/(INDEX(BH491:BT491,MATCH(TRUE,INDEX((BH491:BT491&lt;&gt;0),0),0)))-1</f>
        <v>0</v>
      </c>
      <c r="BX491" s="212">
        <f>BU491/1000</f>
        <v>13.9</v>
      </c>
      <c r="BY491" s="249">
        <f>IF(X491="BRL",BX491,IF(X491="EUR",BX491*$CK$2,IF(X491="USD",BX491*$CK$1,IF(X491="CNY",BX491*$CM$1,IF(X491="RUB",BX491*$CM$2,"CRRY#")))))</f>
        <v>10.425000000000001</v>
      </c>
      <c r="BZ491" s="249">
        <f ca="1">IF(L491="BR",'Impostos e Frete'!$F$6,IF(L491="EU",'Impostos e Frete'!$I$3,IF(L491="CN",'Impostos e Frete'!$I$4,IF(L491="JP",'Impostos e Frete'!$I$5,IF(L491="RU",'Impostos e Frete'!$I$7,"ERRO")))))</f>
        <v>1.11958</v>
      </c>
      <c r="CA491" s="249">
        <f>VLOOKUP(L491,'Impostos e Frete'!$A$3:$B$7,2,0)*'Preços e Condições'!BY491</f>
        <v>1.4595000000000002</v>
      </c>
      <c r="CB491" s="147">
        <f>IF(R491="CFR",$CB$2,IF(R491="FOB",0,IF(R491="EXW",$CB$1,"ERRO")))</f>
        <v>0</v>
      </c>
      <c r="CC491" s="147">
        <f>IF(X491="BRL",'Impostos e Frete'!$B$11,'Impostos e Frete'!$B$12)</f>
        <v>9.1999999999999998E-2</v>
      </c>
      <c r="CD491" s="213">
        <f ca="1">SUM(BY491:CC491)</f>
        <v>13.096080000000001</v>
      </c>
      <c r="CE491" s="258">
        <f ca="1">IF(C491="","erro",(CD491/1000)*C491)</f>
        <v>0.89053344000000012</v>
      </c>
      <c r="CF491" s="259">
        <f>VLOOKUP(L491,'Impostos e Frete'!$A$3:$C$7,3,0)</f>
        <v>120</v>
      </c>
      <c r="CG491" s="260">
        <f>M491</f>
        <v>90</v>
      </c>
      <c r="CH491" s="260">
        <f>CG491-CF491</f>
        <v>-30</v>
      </c>
      <c r="CI491" s="261">
        <f ca="1">CD491*(1+VALUE($CI$2))^((CH491*-1)/30)-CD491</f>
        <v>0.19644119999999887</v>
      </c>
      <c r="CJ491" s="262">
        <f ca="1">CD491+CI491</f>
        <v>13.292521199999999</v>
      </c>
      <c r="CK491" s="263">
        <f ca="1">IF(C491="","erro",(CJ491/1000)*C491)</f>
        <v>0.9038914415999999</v>
      </c>
    </row>
    <row r="492" spans="1:89">
      <c r="A492" s="219" t="s">
        <v>481</v>
      </c>
      <c r="B492" s="177">
        <v>483</v>
      </c>
      <c r="C492" s="178">
        <v>68</v>
      </c>
      <c r="D492" s="178"/>
      <c r="E492" s="178" t="s">
        <v>50</v>
      </c>
      <c r="F492" s="179" t="s">
        <v>2</v>
      </c>
      <c r="G492" s="185" t="s">
        <v>88</v>
      </c>
      <c r="H492" s="178" t="s">
        <v>63</v>
      </c>
      <c r="I492" s="178">
        <v>32165</v>
      </c>
      <c r="J492" s="178"/>
      <c r="K492" s="178"/>
      <c r="L492" s="178" t="s">
        <v>59</v>
      </c>
      <c r="M492" s="178">
        <v>120</v>
      </c>
      <c r="N492" s="183"/>
      <c r="O492" s="178"/>
      <c r="P492" s="178"/>
      <c r="Q492" s="178"/>
      <c r="R492" s="178" t="s">
        <v>126</v>
      </c>
      <c r="S492" s="181"/>
      <c r="T492" s="181"/>
      <c r="U492" s="182"/>
      <c r="V492" s="182" t="s">
        <v>35</v>
      </c>
      <c r="W492" s="183">
        <v>100</v>
      </c>
      <c r="X492" s="182" t="s">
        <v>51</v>
      </c>
      <c r="Y492" s="184"/>
      <c r="Z492" s="184"/>
      <c r="AA492" s="184"/>
      <c r="AB492" s="184"/>
      <c r="AC492" s="184"/>
      <c r="AD492" s="184"/>
      <c r="AE492" s="184"/>
      <c r="AF492" s="184"/>
      <c r="AG492" s="184"/>
      <c r="AH492" s="184"/>
      <c r="AI492" s="184"/>
      <c r="AJ492" s="184"/>
      <c r="AK492" s="184"/>
      <c r="AL492" s="184"/>
      <c r="AM492" s="184"/>
      <c r="AN492" s="184"/>
      <c r="AO492" s="184"/>
      <c r="AP492" s="184"/>
      <c r="AQ492" s="184"/>
      <c r="AR492" s="184"/>
      <c r="AS492" s="184"/>
      <c r="AT492" s="184"/>
      <c r="AU492" s="184"/>
      <c r="AV492" s="184"/>
      <c r="AW492" s="184"/>
      <c r="AX492" s="184"/>
      <c r="AY492" s="184"/>
      <c r="AZ492" s="184"/>
      <c r="BA492" s="184"/>
      <c r="BB492" s="184"/>
      <c r="BC492" s="184"/>
      <c r="BD492" s="184"/>
      <c r="BE492" s="184"/>
      <c r="BF492" s="184"/>
      <c r="BG492" s="184"/>
      <c r="BH492" s="184"/>
      <c r="BI492" s="184"/>
      <c r="BJ492" s="184"/>
      <c r="BK492" s="184"/>
      <c r="BL492" s="184"/>
      <c r="BM492" s="184"/>
      <c r="BN492" s="184"/>
      <c r="BO492" s="203">
        <v>1730</v>
      </c>
      <c r="BP492" s="203">
        <v>1730</v>
      </c>
      <c r="BQ492" s="203">
        <v>1730</v>
      </c>
      <c r="BR492" s="184"/>
      <c r="BS492" s="184"/>
      <c r="BT492" s="184"/>
      <c r="BU492" s="248" cm="1">
        <f t="array" ref="BU492">LOOKUP(2,1/(Y492:BT492&lt;&gt;""),Y492:BH492)</f>
        <v>1730</v>
      </c>
      <c r="BV492" s="247" cm="1">
        <f t="array" aca="1" ref="BV492" ca="1">_xlfn.LET(
    _xlpm.last_col_idx, LOOKUP(2, 1/(Y492:BT492&lt;&gt;""), COLUMN(Y492:BT492) - COLUMN(Y492) + 1),
    _xlpm.header_val, INDEX($Y$3:$BT$3, 1, _xlpm.last_col_idx),
    _xlpm.header_date, IF(ISNUMBER(_xlpm.header_val), _xlpm.header_val, DATEVALUE(_xlpm.header_val)),
    IF(_xlpm.header_date &gt; TODAY(), TODAY(), _xlpm.header_date)
)</f>
        <v>46199</v>
      </c>
      <c r="BW492" s="211" cm="1">
        <f t="array" ref="BW492">(LOOKUP(2,1/(BH492:BT492&lt;&gt;""),BH492:BT492))/(INDEX(BH492:BT492,MATCH(TRUE,INDEX((BH492:BT492&lt;&gt;0),0),0)))-1</f>
        <v>0</v>
      </c>
      <c r="BX492" s="212">
        <f>BU492/1000</f>
        <v>1.73</v>
      </c>
      <c r="BY492" s="249">
        <f>IF(X492="BRL",BX492,IF(X492="EUR",BX492*$CK$2,IF(X492="USD",BX492*$CK$1,IF(X492="CNY",BX492*$CM$1,IF(X492="RUB",BX492*$CM$2,"CRRY#")))))</f>
        <v>10.207000000000001</v>
      </c>
      <c r="BZ492" s="249">
        <f ca="1">IF(L492="BR",'Impostos e Frete'!$F$6,IF(L492="EU",'Impostos e Frete'!$I$3,IF(L492="CN",'Impostos e Frete'!$I$4,IF(L492="JP",'Impostos e Frete'!$I$5,IF(L492="RU",'Impostos e Frete'!$I$7,"ERRO")))))</f>
        <v>0.14176320000000001</v>
      </c>
      <c r="CA492" s="249">
        <f>VLOOKUP(L492,'Impostos e Frete'!$A$3:$B$7,2,0)*'Preços e Condições'!BY492</f>
        <v>1.32691</v>
      </c>
      <c r="CB492" s="147">
        <f>IF(R492="CFR",$CB$2,IF(R492="FOB",0,IF(R492="EXW",$CB$1,"ERRO")))</f>
        <v>-0.17699999999999999</v>
      </c>
      <c r="CC492" s="147">
        <f>IF(X492="BRL",'Impostos e Frete'!$B$11,'Impostos e Frete'!$B$12)</f>
        <v>9.1999999999999998E-2</v>
      </c>
      <c r="CD492" s="213">
        <f ca="1">SUM(BY492:CC492)</f>
        <v>11.590673200000001</v>
      </c>
      <c r="CE492" s="258">
        <f ca="1">IF(C492="","erro",(CD492/1000)*C492)</f>
        <v>0.78816577760000017</v>
      </c>
      <c r="CF492" s="259">
        <f>VLOOKUP(L492,'Impostos e Frete'!$A$3:$C$7,3,0)</f>
        <v>105</v>
      </c>
      <c r="CG492" s="260">
        <f>M492</f>
        <v>120</v>
      </c>
      <c r="CH492" s="260">
        <f>CG492-CF492</f>
        <v>15</v>
      </c>
      <c r="CI492" s="261">
        <f ca="1">CD492*(1+VALUE($CI$2))^((CH492*-1)/30)-CD492</f>
        <v>-8.5964152176488895E-2</v>
      </c>
      <c r="CJ492" s="262">
        <f ca="1">CD492+CI492</f>
        <v>11.504709047823512</v>
      </c>
      <c r="CK492" s="263">
        <f ca="1">IF(C492="","erro",(CJ492/1000)*C492)</f>
        <v>0.78232021525199891</v>
      </c>
    </row>
    <row r="493" spans="1:89">
      <c r="A493" s="219" t="s">
        <v>481</v>
      </c>
      <c r="B493" s="177">
        <v>483</v>
      </c>
      <c r="C493" s="178">
        <v>68</v>
      </c>
      <c r="D493" s="178"/>
      <c r="E493" s="178" t="s">
        <v>50</v>
      </c>
      <c r="F493" s="179" t="s">
        <v>2</v>
      </c>
      <c r="G493" s="185" t="s">
        <v>88</v>
      </c>
      <c r="H493" s="178" t="s">
        <v>63</v>
      </c>
      <c r="I493" s="178">
        <v>32165</v>
      </c>
      <c r="J493" s="178"/>
      <c r="K493" s="178"/>
      <c r="L493" s="178" t="s">
        <v>59</v>
      </c>
      <c r="M493" s="178">
        <v>120</v>
      </c>
      <c r="N493" s="183"/>
      <c r="O493" s="178"/>
      <c r="P493" s="178"/>
      <c r="Q493" s="178"/>
      <c r="R493" s="178" t="s">
        <v>126</v>
      </c>
      <c r="S493" s="181"/>
      <c r="T493" s="181"/>
      <c r="U493" s="182"/>
      <c r="V493" s="182" t="s">
        <v>35</v>
      </c>
      <c r="W493" s="183">
        <v>600</v>
      </c>
      <c r="X493" s="182" t="s">
        <v>51</v>
      </c>
      <c r="Y493" s="184"/>
      <c r="Z493" s="184"/>
      <c r="AA493" s="184"/>
      <c r="AB493" s="184"/>
      <c r="AC493" s="184"/>
      <c r="AD493" s="184"/>
      <c r="AE493" s="184"/>
      <c r="AF493" s="184"/>
      <c r="AG493" s="184"/>
      <c r="AH493" s="184"/>
      <c r="AI493" s="184"/>
      <c r="AJ493" s="184"/>
      <c r="AK493" s="184"/>
      <c r="AL493" s="184"/>
      <c r="AM493" s="184"/>
      <c r="AN493" s="184"/>
      <c r="AO493" s="184"/>
      <c r="AP493" s="184"/>
      <c r="AQ493" s="184"/>
      <c r="AR493" s="184"/>
      <c r="AS493" s="184"/>
      <c r="AT493" s="184"/>
      <c r="AU493" s="184"/>
      <c r="AV493" s="184"/>
      <c r="AW493" s="184"/>
      <c r="AX493" s="184"/>
      <c r="AY493" s="184"/>
      <c r="AZ493" s="184"/>
      <c r="BA493" s="184"/>
      <c r="BB493" s="184"/>
      <c r="BC493" s="184"/>
      <c r="BD493" s="184"/>
      <c r="BE493" s="184"/>
      <c r="BF493" s="184"/>
      <c r="BG493" s="184"/>
      <c r="BH493" s="184"/>
      <c r="BI493" s="184"/>
      <c r="BJ493" s="184"/>
      <c r="BK493" s="184"/>
      <c r="BL493" s="184"/>
      <c r="BM493" s="184"/>
      <c r="BN493" s="184"/>
      <c r="BO493" s="184">
        <v>1670</v>
      </c>
      <c r="BP493" s="184">
        <v>1670</v>
      </c>
      <c r="BQ493" s="184">
        <v>1670</v>
      </c>
      <c r="BR493" s="184"/>
      <c r="BS493" s="184"/>
      <c r="BT493" s="184"/>
      <c r="BU493" s="248" cm="1">
        <f t="array" ref="BU493">LOOKUP(2,1/(Y493:BT493&lt;&gt;""),Y493:BH493)</f>
        <v>1670</v>
      </c>
      <c r="BV493" s="247" cm="1">
        <f t="array" aca="1" ref="BV493" ca="1">_xlfn.LET(
    _xlpm.last_col_idx, LOOKUP(2, 1/(Y493:BT493&lt;&gt;""), COLUMN(Y493:BT493) - COLUMN(Y493) + 1),
    _xlpm.header_val, INDEX($Y$3:$BT$3, 1, _xlpm.last_col_idx),
    _xlpm.header_date, IF(ISNUMBER(_xlpm.header_val), _xlpm.header_val, DATEVALUE(_xlpm.header_val)),
    IF(_xlpm.header_date &gt; TODAY(), TODAY(), _xlpm.header_date)
)</f>
        <v>46199</v>
      </c>
      <c r="BW493" s="211" cm="1">
        <f t="array" ref="BW493">(LOOKUP(2,1/(BH493:BT493&lt;&gt;""),BH493:BT493))/(INDEX(BH493:BT493,MATCH(TRUE,INDEX((BH493:BT493&lt;&gt;0),0),0)))-1</f>
        <v>0</v>
      </c>
      <c r="BX493" s="212">
        <f>BU493/1000</f>
        <v>1.67</v>
      </c>
      <c r="BY493" s="249">
        <f>IF(X493="BRL",BX493,IF(X493="EUR",BX493*$CK$2,IF(X493="USD",BX493*$CK$1,IF(X493="CNY",BX493*$CM$1,IF(X493="RUB",BX493*$CM$2,"CRRY#")))))</f>
        <v>9.8529999999999998</v>
      </c>
      <c r="BZ493" s="249">
        <f ca="1">IF(L493="BR",'Impostos e Frete'!$F$6,IF(L493="EU",'Impostos e Frete'!$I$3,IF(L493="CN",'Impostos e Frete'!$I$4,IF(L493="JP",'Impostos e Frete'!$I$5,IF(L493="RU",'Impostos e Frete'!$I$7,"ERRO")))))</f>
        <v>0.14176320000000001</v>
      </c>
      <c r="CA493" s="249">
        <f>VLOOKUP(L493,'Impostos e Frete'!$A$3:$B$7,2,0)*'Preços e Condições'!BY493</f>
        <v>1.2808900000000001</v>
      </c>
      <c r="CB493" s="147">
        <f>IF(R493="CFR",$CB$2,IF(R493="FOB",0,IF(R493="EXW",$CB$1,"ERRO")))</f>
        <v>-0.17699999999999999</v>
      </c>
      <c r="CC493" s="147">
        <f>IF(X493="BRL",'Impostos e Frete'!$B$11,'Impostos e Frete'!$B$12)</f>
        <v>9.1999999999999998E-2</v>
      </c>
      <c r="CD493" s="213">
        <f ca="1">SUM(BY493:CC493)</f>
        <v>11.1906532</v>
      </c>
      <c r="CE493" s="258">
        <f ca="1">IF(C493="","erro",(CD493/1000)*C493)</f>
        <v>0.7609644176</v>
      </c>
      <c r="CF493" s="259">
        <f>VLOOKUP(L493,'Impostos e Frete'!$A$3:$C$7,3,0)</f>
        <v>105</v>
      </c>
      <c r="CG493" s="260">
        <f>M493</f>
        <v>120</v>
      </c>
      <c r="CH493" s="260">
        <f>CG493-CF493</f>
        <v>15</v>
      </c>
      <c r="CI493" s="261">
        <f ca="1">CD493*(1+VALUE($CI$2))^((CH493*-1)/30)-CD493</f>
        <v>-8.2997337431541141E-2</v>
      </c>
      <c r="CJ493" s="262">
        <f ca="1">CD493+CI493</f>
        <v>11.107655862568459</v>
      </c>
      <c r="CK493" s="263">
        <f ca="1">IF(C493="","erro",(CJ493/1000)*C493)</f>
        <v>0.75532059865465517</v>
      </c>
    </row>
    <row r="494" spans="1:89">
      <c r="A494" s="219" t="s">
        <v>481</v>
      </c>
      <c r="B494" s="177">
        <v>483</v>
      </c>
      <c r="C494" s="178">
        <v>68</v>
      </c>
      <c r="D494" s="178"/>
      <c r="E494" s="178" t="s">
        <v>50</v>
      </c>
      <c r="F494" s="179" t="s">
        <v>2</v>
      </c>
      <c r="G494" s="185" t="s">
        <v>88</v>
      </c>
      <c r="H494" s="178" t="s">
        <v>63</v>
      </c>
      <c r="I494" s="178">
        <v>32165</v>
      </c>
      <c r="J494" s="178"/>
      <c r="K494" s="178"/>
      <c r="L494" s="178" t="s">
        <v>59</v>
      </c>
      <c r="M494" s="178">
        <v>120</v>
      </c>
      <c r="N494" s="183"/>
      <c r="O494" s="178"/>
      <c r="P494" s="178"/>
      <c r="Q494" s="178"/>
      <c r="R494" s="178" t="s">
        <v>126</v>
      </c>
      <c r="S494" s="181"/>
      <c r="T494" s="181"/>
      <c r="U494" s="182"/>
      <c r="V494" s="182" t="s">
        <v>35</v>
      </c>
      <c r="W494" s="183">
        <v>500</v>
      </c>
      <c r="X494" s="182" t="s">
        <v>51</v>
      </c>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c r="AW494" s="184"/>
      <c r="AX494" s="184"/>
      <c r="AY494" s="184"/>
      <c r="AZ494" s="184"/>
      <c r="BA494" s="184"/>
      <c r="BB494" s="184"/>
      <c r="BC494" s="184"/>
      <c r="BD494" s="184"/>
      <c r="BE494" s="184"/>
      <c r="BF494" s="184"/>
      <c r="BG494" s="184"/>
      <c r="BH494" s="184"/>
      <c r="BI494" s="184"/>
      <c r="BJ494" s="184"/>
      <c r="BK494" s="184"/>
      <c r="BL494" s="184"/>
      <c r="BM494" s="184"/>
      <c r="BN494" s="184"/>
      <c r="BO494" s="184">
        <v>1680</v>
      </c>
      <c r="BP494" s="184">
        <v>1680</v>
      </c>
      <c r="BQ494" s="184">
        <v>1680</v>
      </c>
      <c r="BR494" s="184"/>
      <c r="BS494" s="184"/>
      <c r="BT494" s="184"/>
      <c r="BU494" s="248" cm="1">
        <f t="array" ref="BU494">LOOKUP(2,1/(Y494:BT494&lt;&gt;""),Y494:BH494)</f>
        <v>1680</v>
      </c>
      <c r="BV494" s="247" cm="1">
        <f t="array" aca="1" ref="BV494" ca="1">_xlfn.LET(
    _xlpm.last_col_idx, LOOKUP(2, 1/(Y494:BT494&lt;&gt;""), COLUMN(Y494:BT494) - COLUMN(Y494) + 1),
    _xlpm.header_val, INDEX($Y$3:$BT$3, 1, _xlpm.last_col_idx),
    _xlpm.header_date, IF(ISNUMBER(_xlpm.header_val), _xlpm.header_val, DATEVALUE(_xlpm.header_val)),
    IF(_xlpm.header_date &gt; TODAY(), TODAY(), _xlpm.header_date)
)</f>
        <v>46199</v>
      </c>
      <c r="BW494" s="211" cm="1">
        <f t="array" ref="BW494">(LOOKUP(2,1/(BH494:BT494&lt;&gt;""),BH494:BT494))/(INDEX(BH494:BT494,MATCH(TRUE,INDEX((BH494:BT494&lt;&gt;0),0),0)))-1</f>
        <v>0</v>
      </c>
      <c r="BX494" s="212">
        <f>BU494/1000</f>
        <v>1.68</v>
      </c>
      <c r="BY494" s="249">
        <f>IF(X494="BRL",BX494,IF(X494="EUR",BX494*$CK$2,IF(X494="USD",BX494*$CK$1,IF(X494="CNY",BX494*$CM$1,IF(X494="RUB",BX494*$CM$2,"CRRY#")))))</f>
        <v>9.9120000000000008</v>
      </c>
      <c r="BZ494" s="249">
        <f ca="1">IF(L494="BR",'Impostos e Frete'!$F$6,IF(L494="EU",'Impostos e Frete'!$I$3,IF(L494="CN",'Impostos e Frete'!$I$4,IF(L494="JP",'Impostos e Frete'!$I$5,IF(L494="RU",'Impostos e Frete'!$I$7,"ERRO")))))</f>
        <v>0.14176320000000001</v>
      </c>
      <c r="CA494" s="249">
        <f>VLOOKUP(L494,'Impostos e Frete'!$A$3:$B$7,2,0)*'Preços e Condições'!BY494</f>
        <v>1.2885600000000001</v>
      </c>
      <c r="CB494" s="147">
        <f>IF(R494="CFR",$CB$2,IF(R494="FOB",0,IF(R494="EXW",$CB$1,"ERRO")))</f>
        <v>-0.17699999999999999</v>
      </c>
      <c r="CC494" s="147">
        <f>IF(X494="BRL",'Impostos e Frete'!$B$11,'Impostos e Frete'!$B$12)</f>
        <v>9.1999999999999998E-2</v>
      </c>
      <c r="CD494" s="213">
        <f ca="1">SUM(BY494:CC494)</f>
        <v>11.257323200000002</v>
      </c>
      <c r="CE494" s="258">
        <f ca="1">IF(C494="","erro",(CD494/1000)*C494)</f>
        <v>0.76549797760000016</v>
      </c>
      <c r="CF494" s="259">
        <f>VLOOKUP(L494,'Impostos e Frete'!$A$3:$C$7,3,0)</f>
        <v>105</v>
      </c>
      <c r="CG494" s="260">
        <f>M494</f>
        <v>120</v>
      </c>
      <c r="CH494" s="260">
        <f>CG494-CF494</f>
        <v>15</v>
      </c>
      <c r="CI494" s="261">
        <f ca="1">CD494*(1+VALUE($CI$2))^((CH494*-1)/30)-CD494</f>
        <v>-8.34918065556991E-2</v>
      </c>
      <c r="CJ494" s="262">
        <f ca="1">CD494+CI494</f>
        <v>11.173831393444303</v>
      </c>
      <c r="CK494" s="263">
        <f ca="1">IF(C494="","erro",(CJ494/1000)*C494)</f>
        <v>0.75982053475421263</v>
      </c>
    </row>
    <row r="495" spans="1:89">
      <c r="A495" s="219" t="s">
        <v>481</v>
      </c>
      <c r="B495" s="177">
        <v>483</v>
      </c>
      <c r="C495" s="178">
        <v>68</v>
      </c>
      <c r="D495" s="178"/>
      <c r="E495" s="178" t="s">
        <v>50</v>
      </c>
      <c r="F495" s="179" t="s">
        <v>2</v>
      </c>
      <c r="G495" s="185" t="s">
        <v>88</v>
      </c>
      <c r="H495" s="178" t="s">
        <v>63</v>
      </c>
      <c r="I495" s="178">
        <v>32165</v>
      </c>
      <c r="J495" s="178"/>
      <c r="K495" s="178"/>
      <c r="L495" s="178" t="s">
        <v>59</v>
      </c>
      <c r="M495" s="178">
        <v>120</v>
      </c>
      <c r="N495" s="183"/>
      <c r="O495" s="178"/>
      <c r="P495" s="178"/>
      <c r="Q495" s="178"/>
      <c r="R495" s="178" t="s">
        <v>126</v>
      </c>
      <c r="S495" s="181"/>
      <c r="T495" s="181"/>
      <c r="U495" s="182"/>
      <c r="V495" s="182" t="s">
        <v>35</v>
      </c>
      <c r="W495" s="183">
        <v>200</v>
      </c>
      <c r="X495" s="182" t="s">
        <v>51</v>
      </c>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c r="AX495" s="184"/>
      <c r="AY495" s="184"/>
      <c r="AZ495" s="184"/>
      <c r="BA495" s="184"/>
      <c r="BB495" s="184"/>
      <c r="BC495" s="184"/>
      <c r="BD495" s="184"/>
      <c r="BE495" s="184"/>
      <c r="BF495" s="184"/>
      <c r="BG495" s="184"/>
      <c r="BH495" s="184"/>
      <c r="BI495" s="184"/>
      <c r="BJ495" s="184"/>
      <c r="BK495" s="184"/>
      <c r="BL495" s="184"/>
      <c r="BM495" s="184"/>
      <c r="BN495" s="184"/>
      <c r="BO495" s="184">
        <v>1690</v>
      </c>
      <c r="BP495" s="184">
        <v>1690</v>
      </c>
      <c r="BQ495" s="184">
        <v>1690</v>
      </c>
      <c r="BR495" s="184"/>
      <c r="BS495" s="184"/>
      <c r="BT495" s="184"/>
      <c r="BU495" s="248" cm="1">
        <f t="array" ref="BU495">LOOKUP(2,1/(Y495:BT495&lt;&gt;""),Y495:BH495)</f>
        <v>1690</v>
      </c>
      <c r="BV495" s="247" cm="1">
        <f t="array" aca="1" ref="BV495" ca="1">_xlfn.LET(
    _xlpm.last_col_idx, LOOKUP(2, 1/(Y495:BT495&lt;&gt;""), COLUMN(Y495:BT495) - COLUMN(Y495) + 1),
    _xlpm.header_val, INDEX($Y$3:$BT$3, 1, _xlpm.last_col_idx),
    _xlpm.header_date, IF(ISNUMBER(_xlpm.header_val), _xlpm.header_val, DATEVALUE(_xlpm.header_val)),
    IF(_xlpm.header_date &gt; TODAY(), TODAY(), _xlpm.header_date)
)</f>
        <v>46199</v>
      </c>
      <c r="BW495" s="211" cm="1">
        <f t="array" ref="BW495">(LOOKUP(2,1/(BH495:BT495&lt;&gt;""),BH495:BT495))/(INDEX(BH495:BT495,MATCH(TRUE,INDEX((BH495:BT495&lt;&gt;0),0),0)))-1</f>
        <v>0</v>
      </c>
      <c r="BX495" s="212">
        <f>BU495/1000</f>
        <v>1.69</v>
      </c>
      <c r="BY495" s="249">
        <f>IF(X495="BRL",BX495,IF(X495="EUR",BX495*$CK$2,IF(X495="USD",BX495*$CK$1,IF(X495="CNY",BX495*$CM$1,IF(X495="RUB",BX495*$CM$2,"CRRY#")))))</f>
        <v>9.9710000000000001</v>
      </c>
      <c r="BZ495" s="249">
        <f ca="1">IF(L495="BR",'Impostos e Frete'!$F$6,IF(L495="EU",'Impostos e Frete'!$I$3,IF(L495="CN",'Impostos e Frete'!$I$4,IF(L495="JP",'Impostos e Frete'!$I$5,IF(L495="RU",'Impostos e Frete'!$I$7,"ERRO")))))</f>
        <v>0.14176320000000001</v>
      </c>
      <c r="CA495" s="249">
        <f>VLOOKUP(L495,'Impostos e Frete'!$A$3:$B$7,2,0)*'Preços e Condições'!BY495</f>
        <v>1.29623</v>
      </c>
      <c r="CB495" s="147">
        <f>IF(R495="CFR",$CB$2,IF(R495="FOB",0,IF(R495="EXW",$CB$1,"ERRO")))</f>
        <v>-0.17699999999999999</v>
      </c>
      <c r="CC495" s="147">
        <f>IF(X495="BRL",'Impostos e Frete'!$B$11,'Impostos e Frete'!$B$12)</f>
        <v>9.1999999999999998E-2</v>
      </c>
      <c r="CD495" s="213">
        <f ca="1">SUM(BY495:CC495)</f>
        <v>11.3239932</v>
      </c>
      <c r="CE495" s="258">
        <f ca="1">IF(C495="","erro",(CD495/1000)*C495)</f>
        <v>0.77003153759999998</v>
      </c>
      <c r="CF495" s="259">
        <f>VLOOKUP(L495,'Impostos e Frete'!$A$3:$C$7,3,0)</f>
        <v>105</v>
      </c>
      <c r="CG495" s="260">
        <f>M495</f>
        <v>120</v>
      </c>
      <c r="CH495" s="260">
        <f>CG495-CF495</f>
        <v>15</v>
      </c>
      <c r="CI495" s="261">
        <f ca="1">CD495*(1+VALUE($CI$2))^((CH495*-1)/30)-CD495</f>
        <v>-8.3986275679857059E-2</v>
      </c>
      <c r="CJ495" s="262">
        <f ca="1">CD495+CI495</f>
        <v>11.240006924320143</v>
      </c>
      <c r="CK495" s="263">
        <f ca="1">IF(C495="","erro",(CJ495/1000)*C495)</f>
        <v>0.76432047085376975</v>
      </c>
    </row>
    <row r="496" spans="1:89">
      <c r="A496" s="219" t="s">
        <v>481</v>
      </c>
      <c r="B496" s="177">
        <v>483</v>
      </c>
      <c r="C496" s="178">
        <v>68</v>
      </c>
      <c r="D496" s="178"/>
      <c r="E496" s="178" t="s">
        <v>50</v>
      </c>
      <c r="F496" s="179" t="s">
        <v>2</v>
      </c>
      <c r="G496" s="185" t="s">
        <v>88</v>
      </c>
      <c r="H496" s="178" t="s">
        <v>63</v>
      </c>
      <c r="I496" s="178">
        <v>32165</v>
      </c>
      <c r="J496" s="178"/>
      <c r="K496" s="178"/>
      <c r="L496" s="178" t="s">
        <v>59</v>
      </c>
      <c r="M496" s="178">
        <v>120</v>
      </c>
      <c r="N496" s="183"/>
      <c r="O496" s="178"/>
      <c r="P496" s="178"/>
      <c r="Q496" s="178"/>
      <c r="R496" s="178" t="s">
        <v>126</v>
      </c>
      <c r="S496" s="181"/>
      <c r="T496" s="181"/>
      <c r="U496" s="182"/>
      <c r="V496" s="182" t="s">
        <v>35</v>
      </c>
      <c r="W496" s="183">
        <v>150</v>
      </c>
      <c r="X496" s="182" t="s">
        <v>51</v>
      </c>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c r="BH496" s="184"/>
      <c r="BI496" s="184"/>
      <c r="BJ496" s="184"/>
      <c r="BK496" s="184"/>
      <c r="BL496" s="184"/>
      <c r="BM496" s="184"/>
      <c r="BN496" s="184"/>
      <c r="BO496" s="184">
        <v>1710</v>
      </c>
      <c r="BP496" s="184">
        <v>1710</v>
      </c>
      <c r="BQ496" s="184">
        <v>1710</v>
      </c>
      <c r="BR496" s="184"/>
      <c r="BS496" s="184"/>
      <c r="BT496" s="184"/>
      <c r="BU496" s="248" cm="1">
        <f t="array" ref="BU496">LOOKUP(2,1/(Y496:BT496&lt;&gt;""),Y496:BH496)</f>
        <v>1710</v>
      </c>
      <c r="BV496" s="247" cm="1">
        <f t="array" aca="1" ref="BV496" ca="1">_xlfn.LET(
    _xlpm.last_col_idx, LOOKUP(2, 1/(Y496:BT496&lt;&gt;""), COLUMN(Y496:BT496) - COLUMN(Y496) + 1),
    _xlpm.header_val, INDEX($Y$3:$BT$3, 1, _xlpm.last_col_idx),
    _xlpm.header_date, IF(ISNUMBER(_xlpm.header_val), _xlpm.header_val, DATEVALUE(_xlpm.header_val)),
    IF(_xlpm.header_date &gt; TODAY(), TODAY(), _xlpm.header_date)
)</f>
        <v>46199</v>
      </c>
      <c r="BW496" s="211" cm="1">
        <f t="array" ref="BW496">(LOOKUP(2,1/(BH496:BT496&lt;&gt;""),BH496:BT496))/(INDEX(BH496:BT496,MATCH(TRUE,INDEX((BH496:BT496&lt;&gt;0),0),0)))-1</f>
        <v>0</v>
      </c>
      <c r="BX496" s="212">
        <f>BU496/1000</f>
        <v>1.71</v>
      </c>
      <c r="BY496" s="249">
        <f>IF(X496="BRL",BX496,IF(X496="EUR",BX496*$CK$2,IF(X496="USD",BX496*$CK$1,IF(X496="CNY",BX496*$CM$1,IF(X496="RUB",BX496*$CM$2,"CRRY#")))))</f>
        <v>10.089</v>
      </c>
      <c r="BZ496" s="249">
        <f ca="1">IF(L496="BR",'Impostos e Frete'!$F$6,IF(L496="EU",'Impostos e Frete'!$I$3,IF(L496="CN",'Impostos e Frete'!$I$4,IF(L496="JP",'Impostos e Frete'!$I$5,IF(L496="RU",'Impostos e Frete'!$I$7,"ERRO")))))</f>
        <v>0.14176320000000001</v>
      </c>
      <c r="CA496" s="249">
        <f>VLOOKUP(L496,'Impostos e Frete'!$A$3:$B$7,2,0)*'Preços e Condições'!BY496</f>
        <v>1.3115700000000001</v>
      </c>
      <c r="CB496" s="147">
        <f>IF(R496="CFR",$CB$2,IF(R496="FOB",0,IF(R496="EXW",$CB$1,"ERRO")))</f>
        <v>-0.17699999999999999</v>
      </c>
      <c r="CC496" s="147">
        <f>IF(X496="BRL",'Impostos e Frete'!$B$11,'Impostos e Frete'!$B$12)</f>
        <v>9.1999999999999998E-2</v>
      </c>
      <c r="CD496" s="213">
        <f ca="1">SUM(BY496:CC496)</f>
        <v>11.457333200000001</v>
      </c>
      <c r="CE496" s="258">
        <f ca="1">IF(C496="","erro",(CD496/1000)*C496)</f>
        <v>0.77909865760000008</v>
      </c>
      <c r="CF496" s="259">
        <f>VLOOKUP(L496,'Impostos e Frete'!$A$3:$C$7,3,0)</f>
        <v>105</v>
      </c>
      <c r="CG496" s="260">
        <f>M496</f>
        <v>120</v>
      </c>
      <c r="CH496" s="260">
        <f>CG496-CF496</f>
        <v>15</v>
      </c>
      <c r="CI496" s="261">
        <f ca="1">CD496*(1+VALUE($CI$2))^((CH496*-1)/30)-CD496</f>
        <v>-8.4975213928172977E-2</v>
      </c>
      <c r="CJ496" s="262">
        <f ca="1">CD496+CI496</f>
        <v>11.372357986071828</v>
      </c>
      <c r="CK496" s="263">
        <f ca="1">IF(C496="","erro",(CJ496/1000)*C496)</f>
        <v>0.77332034305288433</v>
      </c>
    </row>
    <row r="497" spans="1:89">
      <c r="A497" s="219" t="s">
        <v>481</v>
      </c>
      <c r="B497" s="177">
        <v>483</v>
      </c>
      <c r="C497" s="178">
        <v>68</v>
      </c>
      <c r="D497" s="178"/>
      <c r="E497" s="178" t="s">
        <v>50</v>
      </c>
      <c r="F497" s="179" t="s">
        <v>2</v>
      </c>
      <c r="G497" s="185" t="s">
        <v>88</v>
      </c>
      <c r="H497" s="178" t="s">
        <v>63</v>
      </c>
      <c r="I497" s="178">
        <v>32165</v>
      </c>
      <c r="J497" s="178"/>
      <c r="K497" s="178"/>
      <c r="L497" s="178" t="s">
        <v>59</v>
      </c>
      <c r="M497" s="178">
        <v>120</v>
      </c>
      <c r="N497" s="183"/>
      <c r="O497" s="178"/>
      <c r="P497" s="178"/>
      <c r="Q497" s="178"/>
      <c r="R497" s="178" t="s">
        <v>126</v>
      </c>
      <c r="S497" s="181"/>
      <c r="T497" s="181"/>
      <c r="U497" s="182"/>
      <c r="V497" s="182" t="s">
        <v>35</v>
      </c>
      <c r="W497" s="183">
        <v>70</v>
      </c>
      <c r="X497" s="182" t="s">
        <v>51</v>
      </c>
      <c r="Y497" s="184"/>
      <c r="Z497" s="184"/>
      <c r="AA497" s="184"/>
      <c r="AB497" s="184"/>
      <c r="AC497" s="184"/>
      <c r="AD497" s="184"/>
      <c r="AE497" s="184"/>
      <c r="AF497" s="184"/>
      <c r="AG497" s="184"/>
      <c r="AH497" s="184"/>
      <c r="AI497" s="184"/>
      <c r="AJ497" s="184"/>
      <c r="AK497" s="184"/>
      <c r="AL497" s="184"/>
      <c r="AM497" s="184"/>
      <c r="AN497" s="184"/>
      <c r="AO497" s="184"/>
      <c r="AP497" s="184"/>
      <c r="AQ497" s="184"/>
      <c r="AR497" s="184"/>
      <c r="AS497" s="184"/>
      <c r="AT497" s="184"/>
      <c r="AU497" s="184"/>
      <c r="AV497" s="184"/>
      <c r="AW497" s="184"/>
      <c r="AX497" s="184"/>
      <c r="AY497" s="184"/>
      <c r="AZ497" s="184"/>
      <c r="BA497" s="184"/>
      <c r="BB497" s="184"/>
      <c r="BC497" s="184"/>
      <c r="BD497" s="184"/>
      <c r="BE497" s="184"/>
      <c r="BF497" s="184"/>
      <c r="BG497" s="184"/>
      <c r="BH497" s="184"/>
      <c r="BI497" s="184"/>
      <c r="BJ497" s="184"/>
      <c r="BK497" s="184"/>
      <c r="BL497" s="184"/>
      <c r="BM497" s="184"/>
      <c r="BN497" s="184"/>
      <c r="BO497" s="184">
        <v>1750</v>
      </c>
      <c r="BP497" s="184">
        <v>1750</v>
      </c>
      <c r="BQ497" s="184">
        <v>1750</v>
      </c>
      <c r="BR497" s="184"/>
      <c r="BS497" s="184"/>
      <c r="BT497" s="184"/>
      <c r="BU497" s="248" cm="1">
        <f t="array" ref="BU497">LOOKUP(2,1/(Y497:BT497&lt;&gt;""),Y497:BH497)</f>
        <v>1750</v>
      </c>
      <c r="BV497" s="247" cm="1">
        <f t="array" aca="1" ref="BV497" ca="1">_xlfn.LET(
    _xlpm.last_col_idx, LOOKUP(2, 1/(Y497:BT497&lt;&gt;""), COLUMN(Y497:BT497) - COLUMN(Y497) + 1),
    _xlpm.header_val, INDEX($Y$3:$BT$3, 1, _xlpm.last_col_idx),
    _xlpm.header_date, IF(ISNUMBER(_xlpm.header_val), _xlpm.header_val, DATEVALUE(_xlpm.header_val)),
    IF(_xlpm.header_date &gt; TODAY(), TODAY(), _xlpm.header_date)
)</f>
        <v>46199</v>
      </c>
      <c r="BW497" s="211" cm="1">
        <f t="array" ref="BW497">(LOOKUP(2,1/(BH497:BT497&lt;&gt;""),BH497:BT497))/(INDEX(BH497:BT497,MATCH(TRUE,INDEX((BH497:BT497&lt;&gt;0),0),0)))-1</f>
        <v>0</v>
      </c>
      <c r="BX497" s="212">
        <f>BU497/1000</f>
        <v>1.75</v>
      </c>
      <c r="BY497" s="249">
        <f>IF(X497="BRL",BX497,IF(X497="EUR",BX497*$CK$2,IF(X497="USD",BX497*$CK$1,IF(X497="CNY",BX497*$CM$1,IF(X497="RUB",BX497*$CM$2,"CRRY#")))))</f>
        <v>10.325000000000001</v>
      </c>
      <c r="BZ497" s="249">
        <f ca="1">IF(L497="BR",'Impostos e Frete'!$F$6,IF(L497="EU",'Impostos e Frete'!$I$3,IF(L497="CN",'Impostos e Frete'!$I$4,IF(L497="JP",'Impostos e Frete'!$I$5,IF(L497="RU",'Impostos e Frete'!$I$7,"ERRO")))))</f>
        <v>0.14176320000000001</v>
      </c>
      <c r="CA497" s="249">
        <f>VLOOKUP(L497,'Impostos e Frete'!$A$3:$B$7,2,0)*'Preços e Condições'!BY497</f>
        <v>1.3422500000000002</v>
      </c>
      <c r="CB497" s="147">
        <f>IF(R497="CFR",$CB$2,IF(R497="FOB",0,IF(R497="EXW",$CB$1,"ERRO")))</f>
        <v>-0.17699999999999999</v>
      </c>
      <c r="CC497" s="147">
        <f>IF(X497="BRL",'Impostos e Frete'!$B$11,'Impostos e Frete'!$B$12)</f>
        <v>9.1999999999999998E-2</v>
      </c>
      <c r="CD497" s="213">
        <f ca="1">SUM(BY497:CC497)</f>
        <v>11.724013200000002</v>
      </c>
      <c r="CE497" s="258">
        <f ca="1">IF(C497="","erro",(CD497/1000)*C497)</f>
        <v>0.79723289760000005</v>
      </c>
      <c r="CF497" s="259">
        <f>VLOOKUP(L497,'Impostos e Frete'!$A$3:$C$7,3,0)</f>
        <v>105</v>
      </c>
      <c r="CG497" s="260">
        <f>M497</f>
        <v>120</v>
      </c>
      <c r="CH497" s="260">
        <f>CG497-CF497</f>
        <v>15</v>
      </c>
      <c r="CI497" s="261">
        <f ca="1">CD497*(1+VALUE($CI$2))^((CH497*-1)/30)-CD497</f>
        <v>-8.6953090424804813E-2</v>
      </c>
      <c r="CJ497" s="262">
        <f ca="1">CD497+CI497</f>
        <v>11.637060109575197</v>
      </c>
      <c r="CK497" s="263">
        <f ca="1">IF(C497="","erro",(CJ497/1000)*C497)</f>
        <v>0.79132008745111337</v>
      </c>
    </row>
    <row r="498" spans="1:89">
      <c r="A498" s="219" t="s">
        <v>481</v>
      </c>
      <c r="B498" s="177">
        <v>483</v>
      </c>
      <c r="C498" s="178">
        <v>68</v>
      </c>
      <c r="D498" s="178"/>
      <c r="E498" s="178" t="s">
        <v>50</v>
      </c>
      <c r="F498" s="179" t="s">
        <v>2</v>
      </c>
      <c r="G498" s="185" t="s">
        <v>88</v>
      </c>
      <c r="H498" s="178" t="s">
        <v>63</v>
      </c>
      <c r="I498" s="178">
        <v>32165</v>
      </c>
      <c r="J498" s="178"/>
      <c r="K498" s="178"/>
      <c r="L498" s="178" t="s">
        <v>59</v>
      </c>
      <c r="M498" s="178">
        <v>120</v>
      </c>
      <c r="N498" s="183"/>
      <c r="O498" s="178"/>
      <c r="P498" s="178"/>
      <c r="Q498" s="178"/>
      <c r="R498" s="178" t="s">
        <v>126</v>
      </c>
      <c r="S498" s="181"/>
      <c r="T498" s="181"/>
      <c r="U498" s="182"/>
      <c r="V498" s="182" t="s">
        <v>35</v>
      </c>
      <c r="W498" s="183">
        <v>50</v>
      </c>
      <c r="X498" s="182" t="s">
        <v>51</v>
      </c>
      <c r="Y498" s="184"/>
      <c r="Z498" s="184"/>
      <c r="AA498" s="184"/>
      <c r="AB498" s="184"/>
      <c r="AC498" s="184"/>
      <c r="AD498" s="184"/>
      <c r="AE498" s="184"/>
      <c r="AF498" s="184"/>
      <c r="AG498" s="184"/>
      <c r="AH498" s="184"/>
      <c r="AI498" s="184"/>
      <c r="AJ498" s="184"/>
      <c r="AK498" s="184"/>
      <c r="AL498" s="184"/>
      <c r="AM498" s="184"/>
      <c r="AN498" s="184"/>
      <c r="AO498" s="184"/>
      <c r="AP498" s="184"/>
      <c r="AQ498" s="184"/>
      <c r="AR498" s="184"/>
      <c r="AS498" s="184"/>
      <c r="AT498" s="184"/>
      <c r="AU498" s="184"/>
      <c r="AV498" s="184"/>
      <c r="AW498" s="184"/>
      <c r="AX498" s="184"/>
      <c r="AY498" s="184"/>
      <c r="AZ498" s="184"/>
      <c r="BA498" s="184"/>
      <c r="BB498" s="184"/>
      <c r="BC498" s="184"/>
      <c r="BD498" s="184"/>
      <c r="BE498" s="184"/>
      <c r="BF498" s="184"/>
      <c r="BG498" s="184"/>
      <c r="BH498" s="184"/>
      <c r="BI498" s="184"/>
      <c r="BJ498" s="184"/>
      <c r="BK498" s="184"/>
      <c r="BL498" s="184"/>
      <c r="BM498" s="184"/>
      <c r="BN498" s="184"/>
      <c r="BO498" s="184">
        <v>1780</v>
      </c>
      <c r="BP498" s="184">
        <v>1780</v>
      </c>
      <c r="BQ498" s="184">
        <v>1780</v>
      </c>
      <c r="BR498" s="184"/>
      <c r="BS498" s="184"/>
      <c r="BT498" s="184"/>
      <c r="BU498" s="248" cm="1">
        <f t="array" ref="BU498">LOOKUP(2,1/(Y498:BT498&lt;&gt;""),Y498:BH498)</f>
        <v>1780</v>
      </c>
      <c r="BV498" s="247" cm="1">
        <f t="array" aca="1" ref="BV498" ca="1">_xlfn.LET(
    _xlpm.last_col_idx, LOOKUP(2, 1/(Y498:BT498&lt;&gt;""), COLUMN(Y498:BT498) - COLUMN(Y498) + 1),
    _xlpm.header_val, INDEX($Y$3:$BT$3, 1, _xlpm.last_col_idx),
    _xlpm.header_date, IF(ISNUMBER(_xlpm.header_val), _xlpm.header_val, DATEVALUE(_xlpm.header_val)),
    IF(_xlpm.header_date &gt; TODAY(), TODAY(), _xlpm.header_date)
)</f>
        <v>46199</v>
      </c>
      <c r="BW498" s="211" cm="1">
        <f t="array" ref="BW498">(LOOKUP(2,1/(BH498:BT498&lt;&gt;""),BH498:BT498))/(INDEX(BH498:BT498,MATCH(TRUE,INDEX((BH498:BT498&lt;&gt;0),0),0)))-1</f>
        <v>0</v>
      </c>
      <c r="BX498" s="212">
        <f>BU498/1000</f>
        <v>1.78</v>
      </c>
      <c r="BY498" s="249">
        <f>IF(X498="BRL",BX498,IF(X498="EUR",BX498*$CK$2,IF(X498="USD",BX498*$CK$1,IF(X498="CNY",BX498*$CM$1,IF(X498="RUB",BX498*$CM$2,"CRRY#")))))</f>
        <v>10.502000000000001</v>
      </c>
      <c r="BZ498" s="249">
        <f ca="1">IF(L498="BR",'Impostos e Frete'!$F$6,IF(L498="EU",'Impostos e Frete'!$I$3,IF(L498="CN",'Impostos e Frete'!$I$4,IF(L498="JP",'Impostos e Frete'!$I$5,IF(L498="RU",'Impostos e Frete'!$I$7,"ERRO")))))</f>
        <v>0.14176320000000001</v>
      </c>
      <c r="CA498" s="249">
        <f>VLOOKUP(L498,'Impostos e Frete'!$A$3:$B$7,2,0)*'Preços e Condições'!BY498</f>
        <v>1.3652600000000001</v>
      </c>
      <c r="CB498" s="147">
        <f>IF(R498="CFR",$CB$2,IF(R498="FOB",0,IF(R498="EXW",$CB$1,"ERRO")))</f>
        <v>-0.17699999999999999</v>
      </c>
      <c r="CC498" s="147">
        <f>IF(X498="BRL",'Impostos e Frete'!$B$11,'Impostos e Frete'!$B$12)</f>
        <v>9.1999999999999998E-2</v>
      </c>
      <c r="CD498" s="213">
        <f ca="1">SUM(BY498:CC498)</f>
        <v>11.924023200000002</v>
      </c>
      <c r="CE498" s="258">
        <f ca="1">IF(C498="","erro",(CD498/1000)*C498)</f>
        <v>0.81083357760000008</v>
      </c>
      <c r="CF498" s="259">
        <f>VLOOKUP(L498,'Impostos e Frete'!$A$3:$C$7,3,0)</f>
        <v>105</v>
      </c>
      <c r="CG498" s="260">
        <f>M498</f>
        <v>120</v>
      </c>
      <c r="CH498" s="260">
        <f>CG498-CF498</f>
        <v>15</v>
      </c>
      <c r="CI498" s="261">
        <f ca="1">CD498*(1+VALUE($CI$2))^((CH498*-1)/30)-CD498</f>
        <v>-8.8436497797280467E-2</v>
      </c>
      <c r="CJ498" s="262">
        <f ca="1">CD498+CI498</f>
        <v>11.835586702202722</v>
      </c>
      <c r="CK498" s="263">
        <f ca="1">IF(C498="","erro",(CJ498/1000)*C498)</f>
        <v>0.80481989574978507</v>
      </c>
    </row>
    <row r="499" spans="1:89">
      <c r="A499" s="219" t="s">
        <v>481</v>
      </c>
      <c r="B499" s="177">
        <v>483</v>
      </c>
      <c r="C499" s="178">
        <v>68</v>
      </c>
      <c r="D499" s="178"/>
      <c r="E499" s="178" t="s">
        <v>50</v>
      </c>
      <c r="F499" s="179" t="s">
        <v>2</v>
      </c>
      <c r="G499" s="185" t="s">
        <v>88</v>
      </c>
      <c r="H499" s="178" t="s">
        <v>63</v>
      </c>
      <c r="I499" s="178">
        <v>32165</v>
      </c>
      <c r="J499" s="178"/>
      <c r="K499" s="178"/>
      <c r="L499" s="178" t="s">
        <v>59</v>
      </c>
      <c r="M499" s="178">
        <v>120</v>
      </c>
      <c r="N499" s="183"/>
      <c r="O499" s="178"/>
      <c r="P499" s="178"/>
      <c r="Q499" s="178"/>
      <c r="R499" s="178" t="s">
        <v>126</v>
      </c>
      <c r="S499" s="181"/>
      <c r="T499" s="181"/>
      <c r="U499" s="182"/>
      <c r="V499" s="182" t="s">
        <v>35</v>
      </c>
      <c r="W499" s="183">
        <v>30</v>
      </c>
      <c r="X499" s="182" t="s">
        <v>51</v>
      </c>
      <c r="Y499" s="184"/>
      <c r="Z499" s="184"/>
      <c r="AA499" s="184"/>
      <c r="AB499" s="184"/>
      <c r="AC499" s="184"/>
      <c r="AD499" s="184"/>
      <c r="AE499" s="184"/>
      <c r="AF499" s="184"/>
      <c r="AG499" s="184"/>
      <c r="AH499" s="184"/>
      <c r="AI499" s="184"/>
      <c r="AJ499" s="184"/>
      <c r="AK499" s="184"/>
      <c r="AL499" s="184"/>
      <c r="AM499" s="184"/>
      <c r="AN499" s="184"/>
      <c r="AO499" s="184"/>
      <c r="AP499" s="184"/>
      <c r="AQ499" s="184"/>
      <c r="AR499" s="184"/>
      <c r="AS499" s="184"/>
      <c r="AT499" s="184"/>
      <c r="AU499" s="184"/>
      <c r="AV499" s="184"/>
      <c r="AW499" s="184"/>
      <c r="AX499" s="184"/>
      <c r="AY499" s="184"/>
      <c r="AZ499" s="184"/>
      <c r="BA499" s="184"/>
      <c r="BB499" s="184"/>
      <c r="BC499" s="184"/>
      <c r="BD499" s="184"/>
      <c r="BE499" s="184"/>
      <c r="BF499" s="184"/>
      <c r="BG499" s="184"/>
      <c r="BH499" s="184"/>
      <c r="BI499" s="184"/>
      <c r="BJ499" s="184"/>
      <c r="BK499" s="184"/>
      <c r="BL499" s="184"/>
      <c r="BM499" s="184"/>
      <c r="BN499" s="184"/>
      <c r="BO499" s="184">
        <v>1830</v>
      </c>
      <c r="BP499" s="184">
        <v>1830</v>
      </c>
      <c r="BQ499" s="184">
        <v>1830</v>
      </c>
      <c r="BR499" s="184"/>
      <c r="BS499" s="184"/>
      <c r="BT499" s="184"/>
      <c r="BU499" s="248" cm="1">
        <f t="array" ref="BU499">LOOKUP(2,1/(Y499:BT499&lt;&gt;""),Y499:BH499)</f>
        <v>1830</v>
      </c>
      <c r="BV499" s="247" cm="1">
        <f t="array" aca="1" ref="BV499" ca="1">_xlfn.LET(
    _xlpm.last_col_idx, LOOKUP(2, 1/(Y499:BT499&lt;&gt;""), COLUMN(Y499:BT499) - COLUMN(Y499) + 1),
    _xlpm.header_val, INDEX($Y$3:$BT$3, 1, _xlpm.last_col_idx),
    _xlpm.header_date, IF(ISNUMBER(_xlpm.header_val), _xlpm.header_val, DATEVALUE(_xlpm.header_val)),
    IF(_xlpm.header_date &gt; TODAY(), TODAY(), _xlpm.header_date)
)</f>
        <v>46199</v>
      </c>
      <c r="BW499" s="211" cm="1">
        <f t="array" ref="BW499">(LOOKUP(2,1/(BH499:BT499&lt;&gt;""),BH499:BT499))/(INDEX(BH499:BT499,MATCH(TRUE,INDEX((BH499:BT499&lt;&gt;0),0),0)))-1</f>
        <v>0</v>
      </c>
      <c r="BX499" s="212">
        <f>BU499/1000</f>
        <v>1.83</v>
      </c>
      <c r="BY499" s="249">
        <f>IF(X499="BRL",BX499,IF(X499="EUR",BX499*$CK$2,IF(X499="USD",BX499*$CK$1,IF(X499="CNY",BX499*$CM$1,IF(X499="RUB",BX499*$CM$2,"CRRY#")))))</f>
        <v>10.797000000000001</v>
      </c>
      <c r="BZ499" s="249">
        <f ca="1">IF(L499="BR",'Impostos e Frete'!$F$6,IF(L499="EU",'Impostos e Frete'!$I$3,IF(L499="CN",'Impostos e Frete'!$I$4,IF(L499="JP",'Impostos e Frete'!$I$5,IF(L499="RU",'Impostos e Frete'!$I$7,"ERRO")))))</f>
        <v>0.14176320000000001</v>
      </c>
      <c r="CA499" s="249">
        <f>VLOOKUP(L499,'Impostos e Frete'!$A$3:$B$7,2,0)*'Preços e Condições'!BY499</f>
        <v>1.40361</v>
      </c>
      <c r="CB499" s="147">
        <f>IF(R499="CFR",$CB$2,IF(R499="FOB",0,IF(R499="EXW",$CB$1,"ERRO")))</f>
        <v>-0.17699999999999999</v>
      </c>
      <c r="CC499" s="147">
        <f>IF(X499="BRL",'Impostos e Frete'!$B$11,'Impostos e Frete'!$B$12)</f>
        <v>9.1999999999999998E-2</v>
      </c>
      <c r="CD499" s="213">
        <f ca="1">SUM(BY499:CC499)</f>
        <v>12.257373200000002</v>
      </c>
      <c r="CE499" s="258">
        <f ca="1">IF(C499="","erro",(CD499/1000)*C499)</f>
        <v>0.83350137760000009</v>
      </c>
      <c r="CF499" s="259">
        <f>VLOOKUP(L499,'Impostos e Frete'!$A$3:$C$7,3,0)</f>
        <v>105</v>
      </c>
      <c r="CG499" s="260">
        <f>M499</f>
        <v>120</v>
      </c>
      <c r="CH499" s="260">
        <f>CG499-CF499</f>
        <v>15</v>
      </c>
      <c r="CI499" s="261">
        <f ca="1">CD499*(1+VALUE($CI$2))^((CH499*-1)/30)-CD499</f>
        <v>-9.0908843418070262E-2</v>
      </c>
      <c r="CJ499" s="262">
        <f ca="1">CD499+CI499</f>
        <v>12.166464356581931</v>
      </c>
      <c r="CK499" s="263">
        <f ca="1">IF(C499="","erro",(CJ499/1000)*C499)</f>
        <v>0.82731957624757124</v>
      </c>
    </row>
    <row r="500" spans="1:89">
      <c r="A500" s="219"/>
      <c r="B500" s="177"/>
      <c r="C500" s="178"/>
      <c r="D500" s="178"/>
      <c r="E500" s="178"/>
      <c r="F500" s="179"/>
      <c r="G500" s="185"/>
      <c r="H500" s="178"/>
      <c r="I500" s="178"/>
      <c r="J500" s="178"/>
      <c r="K500" s="178"/>
      <c r="L500" s="183"/>
      <c r="M500" s="183"/>
      <c r="N500" s="183"/>
      <c r="O500" s="178"/>
      <c r="P500" s="178"/>
      <c r="Q500" s="178"/>
      <c r="R500" s="178"/>
      <c r="S500" s="181"/>
      <c r="T500" s="181"/>
      <c r="U500" s="182"/>
      <c r="V500" s="182"/>
      <c r="W500" s="183"/>
      <c r="X500" s="182"/>
      <c r="Y500" s="184"/>
      <c r="Z500" s="184"/>
      <c r="AA500" s="184"/>
      <c r="AB500" s="184"/>
      <c r="AC500" s="184"/>
      <c r="AD500" s="184"/>
      <c r="AE500" s="184"/>
      <c r="AF500" s="184"/>
      <c r="AG500" s="184"/>
      <c r="AH500" s="184"/>
      <c r="AI500" s="184"/>
      <c r="AJ500" s="184"/>
      <c r="AK500" s="184"/>
      <c r="AL500" s="184"/>
      <c r="AM500" s="184"/>
      <c r="AN500" s="184"/>
      <c r="AO500" s="184"/>
      <c r="AP500" s="184"/>
      <c r="AQ500" s="184"/>
      <c r="AR500" s="184"/>
      <c r="AS500" s="184"/>
      <c r="AT500" s="184"/>
      <c r="AU500" s="184"/>
      <c r="AV500" s="184"/>
      <c r="AW500" s="184"/>
      <c r="AX500" s="184"/>
      <c r="AY500" s="184"/>
      <c r="AZ500" s="184"/>
      <c r="BA500" s="184"/>
      <c r="BB500" s="184"/>
      <c r="BC500" s="184"/>
      <c r="BD500" s="184"/>
      <c r="BE500" s="184"/>
      <c r="BF500" s="184"/>
      <c r="BG500" s="184"/>
      <c r="BH500" s="184"/>
      <c r="BI500" s="184"/>
      <c r="BJ500" s="184"/>
      <c r="BK500" s="184"/>
      <c r="BL500" s="184"/>
      <c r="BM500" s="184"/>
      <c r="BN500" s="184"/>
      <c r="BO500" s="184"/>
      <c r="BP500" s="184"/>
      <c r="BQ500" s="184"/>
      <c r="BR500" s="184"/>
      <c r="BS500" s="184"/>
      <c r="BT500" s="184"/>
      <c r="BU500" s="248" t="e" cm="1">
        <f t="array" ref="BU500">LOOKUP(2,1/(Y500:BT500&lt;&gt;""),Y500:BH500)</f>
        <v>#N/A</v>
      </c>
      <c r="BV500" s="247" t="e" cm="1">
        <f t="array" aca="1" ref="BV500" ca="1">_xlfn.LET(
    _xlpm.last_col_idx, LOOKUP(2, 1/(Y500:BT500&lt;&gt;""), COLUMN(Y500:BT500) - COLUMN(Y500) + 1),
    _xlpm.header_val, INDEX($Y$3:$BT$3, 1, _xlpm.last_col_idx),
    _xlpm.header_date, IF(ISNUMBER(_xlpm.header_val), _xlpm.header_val, DATEVALUE(_xlpm.header_val)),
    IF(_xlpm.header_date &gt; TODAY(), TODAY(), _xlpm.header_date)
)</f>
        <v>#N/A</v>
      </c>
      <c r="BW500" s="211" t="e" cm="1">
        <f t="array" ref="BW500">(LOOKUP(2,1/(BH500:BT500&lt;&gt;""),BH500:BT500))/(INDEX(BH500:BT500,MATCH(TRUE,INDEX((BH500:BT500&lt;&gt;0),0),0)))-1</f>
        <v>#N/A</v>
      </c>
      <c r="BX500" s="212" t="e">
        <f>BU500/1000</f>
        <v>#N/A</v>
      </c>
      <c r="BY500" s="249" t="str">
        <f>IF(X500="BRL",BX500,IF(X500="EUR",BX500*$CK$2,IF(X500="USD",BX500*$CK$1,IF(X500="CNY",BX500*$CM$1,IF(X500="RUB",BX500*$CM$2,"CRRY#")))))</f>
        <v>CRRY#</v>
      </c>
      <c r="BZ500" s="249" t="str">
        <f>IF(L500="BR",'Impostos e Frete'!$F$6,IF(L500="EU",'Impostos e Frete'!$I$3,IF(L500="CN",'Impostos e Frete'!$I$4,IF(L500="JP",'Impostos e Frete'!$I$5,IF(L500="RU",'Impostos e Frete'!$I$7,"ERRO")))))</f>
        <v>ERRO</v>
      </c>
      <c r="CA500" s="249" t="e">
        <f>VLOOKUP(L500,'Impostos e Frete'!$A$3:$B$7,2,0)*'Preços e Condições'!BY500</f>
        <v>#N/A</v>
      </c>
      <c r="CB500" s="147" t="str">
        <f>IF(R500="CFR",$CB$2,IF(R500="FOB",0,IF(R500="EXW",$CB$1,"ERRO")))</f>
        <v>ERRO</v>
      </c>
      <c r="CC500" s="147">
        <f>IF(X500="BRL",'Impostos e Frete'!$B$11,'Impostos e Frete'!$B$12)</f>
        <v>9.1999999999999998E-2</v>
      </c>
      <c r="CD500" s="213" t="e">
        <f>SUM(BY500:CC500)</f>
        <v>#N/A</v>
      </c>
      <c r="CE500" s="258" t="str">
        <f>IF(C500="","erro",(CD500/1000)*C500)</f>
        <v>erro</v>
      </c>
      <c r="CF500" s="259" t="e">
        <f>VLOOKUP(L500,'Impostos e Frete'!$A$3:$C$7,3,0)</f>
        <v>#N/A</v>
      </c>
      <c r="CG500" s="260">
        <f>M500</f>
        <v>0</v>
      </c>
      <c r="CH500" s="260" t="e">
        <f>CG500-CF500</f>
        <v>#N/A</v>
      </c>
      <c r="CI500" s="261" t="e">
        <f>CD500*(1+VALUE($CI$2))^((CH500*-1)/30)-CD500</f>
        <v>#N/A</v>
      </c>
      <c r="CJ500" s="262" t="e">
        <f>CD500+CI500</f>
        <v>#N/A</v>
      </c>
      <c r="CK500" s="263" t="str">
        <f>IF(C500="","erro",(CJ500/1000)*C500)</f>
        <v>erro</v>
      </c>
    </row>
    <row r="501" spans="1:89">
      <c r="A501" s="219"/>
      <c r="B501" s="177"/>
      <c r="C501" s="178"/>
      <c r="D501" s="178"/>
      <c r="E501" s="178"/>
      <c r="F501" s="179"/>
      <c r="G501" s="185"/>
      <c r="H501" s="178"/>
      <c r="I501" s="178"/>
      <c r="J501" s="178"/>
      <c r="K501" s="178"/>
      <c r="L501" s="183"/>
      <c r="M501" s="183"/>
      <c r="N501" s="183"/>
      <c r="O501" s="178"/>
      <c r="P501" s="178"/>
      <c r="Q501" s="178"/>
      <c r="R501" s="178"/>
      <c r="S501" s="181"/>
      <c r="T501" s="181"/>
      <c r="U501" s="182"/>
      <c r="V501" s="182"/>
      <c r="W501" s="183"/>
      <c r="X501" s="182"/>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c r="BB501" s="184"/>
      <c r="BC501" s="184"/>
      <c r="BD501" s="184"/>
      <c r="BE501" s="184"/>
      <c r="BF501" s="184"/>
      <c r="BG501" s="184"/>
      <c r="BH501" s="184"/>
      <c r="BI501" s="184"/>
      <c r="BJ501" s="184"/>
      <c r="BK501" s="184"/>
      <c r="BL501" s="184"/>
      <c r="BM501" s="184"/>
      <c r="BN501" s="184"/>
      <c r="BO501" s="184"/>
      <c r="BP501" s="184"/>
      <c r="BQ501" s="184"/>
      <c r="BR501" s="184"/>
      <c r="BS501" s="184"/>
      <c r="BT501" s="184"/>
      <c r="BU501" s="248" t="e" cm="1">
        <f t="array" ref="BU501">LOOKUP(2,1/(Y501:BT501&lt;&gt;""),Y501:BH501)</f>
        <v>#N/A</v>
      </c>
      <c r="BV501" s="247" t="e" cm="1">
        <f t="array" aca="1" ref="BV501" ca="1">_xlfn.LET(
    _xlpm.last_col_idx, LOOKUP(2, 1/(Y501:BT501&lt;&gt;""), COLUMN(Y501:BT501) - COLUMN(Y501) + 1),
    _xlpm.header_val, INDEX($Y$3:$BT$3, 1, _xlpm.last_col_idx),
    _xlpm.header_date, IF(ISNUMBER(_xlpm.header_val), _xlpm.header_val, DATEVALUE(_xlpm.header_val)),
    IF(_xlpm.header_date &gt; TODAY(), TODAY(), _xlpm.header_date)
)</f>
        <v>#N/A</v>
      </c>
      <c r="BW501" s="211" t="e" cm="1">
        <f t="array" ref="BW501">(LOOKUP(2,1/(BH501:BT501&lt;&gt;""),BH501:BT501))/(INDEX(BH501:BT501,MATCH(TRUE,INDEX((BH501:BT501&lt;&gt;0),0),0)))-1</f>
        <v>#N/A</v>
      </c>
      <c r="BX501" s="212" t="e">
        <f>BU501/1000</f>
        <v>#N/A</v>
      </c>
      <c r="BY501" s="249" t="str">
        <f>IF(X501="BRL",BX501,IF(X501="EUR",BX501*$CK$2,IF(X501="USD",BX501*$CK$1,IF(X501="CNY",BX501*$CM$1,IF(X501="RUB",BX501*$CM$2,"CRRY#")))))</f>
        <v>CRRY#</v>
      </c>
      <c r="BZ501" s="249" t="str">
        <f>IF(L501="BR",'Impostos e Frete'!$F$6,IF(L501="EU",'Impostos e Frete'!$I$3,IF(L501="CN",'Impostos e Frete'!$I$4,IF(L501="JP",'Impostos e Frete'!$I$5,IF(L501="RU",'Impostos e Frete'!$I$7,"ERRO")))))</f>
        <v>ERRO</v>
      </c>
      <c r="CA501" s="249" t="e">
        <f>VLOOKUP(L501,'Impostos e Frete'!$A$3:$B$7,2,0)*'Preços e Condições'!BY501</f>
        <v>#N/A</v>
      </c>
      <c r="CB501" s="147" t="str">
        <f>IF(R501="CFR",$CB$2,IF(R501="FOB",0,IF(R501="EXW",$CB$1,"ERRO")))</f>
        <v>ERRO</v>
      </c>
      <c r="CC501" s="147">
        <f>IF(X501="BRL",'Impostos e Frete'!$B$11,'Impostos e Frete'!$B$12)</f>
        <v>9.1999999999999998E-2</v>
      </c>
      <c r="CD501" s="213" t="e">
        <f>SUM(BY501:CC501)</f>
        <v>#N/A</v>
      </c>
      <c r="CE501" s="258" t="str">
        <f>IF(C501="","erro",(CD501/1000)*C501)</f>
        <v>erro</v>
      </c>
      <c r="CF501" s="259" t="e">
        <f>VLOOKUP(L501,'Impostos e Frete'!$A$3:$C$7,3,0)</f>
        <v>#N/A</v>
      </c>
      <c r="CG501" s="260">
        <f>M501</f>
        <v>0</v>
      </c>
      <c r="CH501" s="260" t="e">
        <f>CG501-CF501</f>
        <v>#N/A</v>
      </c>
      <c r="CI501" s="261" t="e">
        <f>CD501*(1+VALUE($CI$2))^((CH501*-1)/30)-CD501</f>
        <v>#N/A</v>
      </c>
      <c r="CJ501" s="262" t="e">
        <f>CD501+CI501</f>
        <v>#N/A</v>
      </c>
      <c r="CK501" s="263" t="str">
        <f>IF(C501="","erro",(CJ501/1000)*C501)</f>
        <v>erro</v>
      </c>
    </row>
    <row r="502" spans="1:89">
      <c r="A502" s="219"/>
      <c r="B502" s="177"/>
      <c r="C502" s="178"/>
      <c r="D502" s="178"/>
      <c r="E502" s="178"/>
      <c r="F502" s="179"/>
      <c r="G502" s="185"/>
      <c r="H502" s="178"/>
      <c r="I502" s="178"/>
      <c r="J502" s="178"/>
      <c r="K502" s="178"/>
      <c r="L502" s="183"/>
      <c r="M502" s="183"/>
      <c r="N502" s="183"/>
      <c r="O502" s="178"/>
      <c r="P502" s="178"/>
      <c r="Q502" s="178"/>
      <c r="R502" s="178"/>
      <c r="S502" s="181"/>
      <c r="T502" s="181"/>
      <c r="U502" s="182"/>
      <c r="V502" s="182"/>
      <c r="W502" s="183"/>
      <c r="X502" s="182"/>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c r="BB502" s="184"/>
      <c r="BC502" s="184"/>
      <c r="BD502" s="184"/>
      <c r="BE502" s="184"/>
      <c r="BF502" s="184"/>
      <c r="BG502" s="184"/>
      <c r="BH502" s="184"/>
      <c r="BI502" s="184"/>
      <c r="BJ502" s="184"/>
      <c r="BK502" s="184"/>
      <c r="BL502" s="184"/>
      <c r="BM502" s="184"/>
      <c r="BN502" s="184"/>
      <c r="BO502" s="184"/>
      <c r="BP502" s="184"/>
      <c r="BQ502" s="184"/>
      <c r="BR502" s="184"/>
      <c r="BS502" s="184"/>
      <c r="BT502" s="184"/>
      <c r="BU502" s="248" t="e" cm="1">
        <f t="array" ref="BU502">LOOKUP(2,1/(Y502:BT502&lt;&gt;""),Y502:BH502)</f>
        <v>#N/A</v>
      </c>
      <c r="BV502" s="247" t="e" cm="1">
        <f t="array" aca="1" ref="BV502" ca="1">_xlfn.LET(
    _xlpm.last_col_idx, LOOKUP(2, 1/(Y502:BT502&lt;&gt;""), COLUMN(Y502:BT502) - COLUMN(Y502) + 1),
    _xlpm.header_val, INDEX($Y$3:$BT$3, 1, _xlpm.last_col_idx),
    _xlpm.header_date, IF(ISNUMBER(_xlpm.header_val), _xlpm.header_val, DATEVALUE(_xlpm.header_val)),
    IF(_xlpm.header_date &gt; TODAY(), TODAY(), _xlpm.header_date)
)</f>
        <v>#N/A</v>
      </c>
      <c r="BW502" s="211" t="e" cm="1">
        <f t="array" ref="BW502">(LOOKUP(2,1/(BH502:BT502&lt;&gt;""),BH502:BT502))/(INDEX(BH502:BT502,MATCH(TRUE,INDEX((BH502:BT502&lt;&gt;0),0),0)))-1</f>
        <v>#N/A</v>
      </c>
      <c r="BX502" s="212" t="e">
        <f>BU502/1000</f>
        <v>#N/A</v>
      </c>
      <c r="BY502" s="249" t="str">
        <f>IF(X502="BRL",BX502,IF(X502="EUR",BX502*$CK$2,IF(X502="USD",BX502*$CK$1,IF(X502="CNY",BX502*$CM$1,IF(X502="RUB",BX502*$CM$2,"CRRY#")))))</f>
        <v>CRRY#</v>
      </c>
      <c r="BZ502" s="249" t="str">
        <f>IF(L502="BR",'Impostos e Frete'!$F$6,IF(L502="EU",'Impostos e Frete'!$I$3,IF(L502="CN",'Impostos e Frete'!$I$4,IF(L502="JP",'Impostos e Frete'!$I$5,IF(L502="RU",'Impostos e Frete'!$I$7,"ERRO")))))</f>
        <v>ERRO</v>
      </c>
      <c r="CA502" s="249" t="e">
        <f>VLOOKUP(L502,'Impostos e Frete'!$A$3:$B$7,2,0)*'Preços e Condições'!BY502</f>
        <v>#N/A</v>
      </c>
      <c r="CB502" s="147" t="str">
        <f>IF(R502="CFR",$CB$2,IF(R502="FOB",0,IF(R502="EXW",$CB$1,"ERRO")))</f>
        <v>ERRO</v>
      </c>
      <c r="CC502" s="147">
        <f>IF(X502="BRL",'Impostos e Frete'!$B$11,'Impostos e Frete'!$B$12)</f>
        <v>9.1999999999999998E-2</v>
      </c>
      <c r="CD502" s="213" t="e">
        <f>SUM(BY502:CC502)</f>
        <v>#N/A</v>
      </c>
      <c r="CE502" s="258" t="str">
        <f>IF(C502="","erro",(CD502/1000)*C502)</f>
        <v>erro</v>
      </c>
      <c r="CF502" s="259" t="e">
        <f>VLOOKUP(L502,'Impostos e Frete'!$A$3:$C$7,3,0)</f>
        <v>#N/A</v>
      </c>
      <c r="CG502" s="260">
        <f>M502</f>
        <v>0</v>
      </c>
      <c r="CH502" s="260" t="e">
        <f>CG502-CF502</f>
        <v>#N/A</v>
      </c>
      <c r="CI502" s="261" t="e">
        <f>CD502*(1+VALUE($CI$2))^((CH502*-1)/30)-CD502</f>
        <v>#N/A</v>
      </c>
      <c r="CJ502" s="262" t="e">
        <f>CD502+CI502</f>
        <v>#N/A</v>
      </c>
      <c r="CK502" s="263" t="str">
        <f>IF(C502="","erro",(CJ502/1000)*C502)</f>
        <v>erro</v>
      </c>
    </row>
    <row r="503" spans="1:89">
      <c r="A503" s="219"/>
      <c r="B503" s="177"/>
      <c r="C503" s="178"/>
      <c r="D503" s="178"/>
      <c r="E503" s="178"/>
      <c r="F503" s="179"/>
      <c r="G503" s="185"/>
      <c r="H503" s="178"/>
      <c r="I503" s="178"/>
      <c r="J503" s="178"/>
      <c r="K503" s="178"/>
      <c r="L503" s="183"/>
      <c r="M503" s="183"/>
      <c r="N503" s="183"/>
      <c r="O503" s="178"/>
      <c r="P503" s="178"/>
      <c r="Q503" s="178"/>
      <c r="R503" s="178"/>
      <c r="S503" s="181"/>
      <c r="T503" s="181"/>
      <c r="U503" s="182"/>
      <c r="V503" s="182"/>
      <c r="W503" s="183"/>
      <c r="X503" s="182"/>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c r="BN503" s="184"/>
      <c r="BO503" s="184"/>
      <c r="BP503" s="184"/>
      <c r="BQ503" s="184"/>
      <c r="BR503" s="184"/>
      <c r="BS503" s="184"/>
      <c r="BT503" s="184"/>
      <c r="BU503" s="248" t="e" cm="1">
        <f t="array" ref="BU503">LOOKUP(2,1/(Y503:BT503&lt;&gt;""),Y503:BH503)</f>
        <v>#N/A</v>
      </c>
      <c r="BV503" s="247" t="e" cm="1">
        <f t="array" aca="1" ref="BV503" ca="1">_xlfn.LET(
    _xlpm.last_col_idx, LOOKUP(2, 1/(Y503:BT503&lt;&gt;""), COLUMN(Y503:BT503) - COLUMN(Y503) + 1),
    _xlpm.header_val, INDEX($Y$3:$BT$3, 1, _xlpm.last_col_idx),
    _xlpm.header_date, IF(ISNUMBER(_xlpm.header_val), _xlpm.header_val, DATEVALUE(_xlpm.header_val)),
    IF(_xlpm.header_date &gt; TODAY(), TODAY(), _xlpm.header_date)
)</f>
        <v>#N/A</v>
      </c>
      <c r="BW503" s="211" t="e" cm="1">
        <f t="array" ref="BW503">(LOOKUP(2,1/(BH503:BT503&lt;&gt;""),BH503:BT503))/(INDEX(BH503:BT503,MATCH(TRUE,INDEX((BH503:BT503&lt;&gt;0),0),0)))-1</f>
        <v>#N/A</v>
      </c>
      <c r="BX503" s="212" t="e">
        <f>BU503/1000</f>
        <v>#N/A</v>
      </c>
      <c r="BY503" s="249" t="str">
        <f>IF(X503="BRL",BX503,IF(X503="EUR",BX503*$CK$2,IF(X503="USD",BX503*$CK$1,IF(X503="CNY",BX503*$CM$1,IF(X503="RUB",BX503*$CM$2,"CRRY#")))))</f>
        <v>CRRY#</v>
      </c>
      <c r="BZ503" s="249" t="str">
        <f>IF(L503="BR",'Impostos e Frete'!$F$6,IF(L503="EU",'Impostos e Frete'!$I$3,IF(L503="CN",'Impostos e Frete'!$I$4,IF(L503="JP",'Impostos e Frete'!$I$5,IF(L503="RU",'Impostos e Frete'!$I$7,"ERRO")))))</f>
        <v>ERRO</v>
      </c>
      <c r="CA503" s="249" t="e">
        <f>VLOOKUP(L503,'Impostos e Frete'!$A$3:$B$7,2,0)*'Preços e Condições'!BY503</f>
        <v>#N/A</v>
      </c>
      <c r="CB503" s="147" t="str">
        <f>IF(R503="CFR",$CB$2,IF(R503="FOB",0,IF(R503="EXW",$CB$1,"ERRO")))</f>
        <v>ERRO</v>
      </c>
      <c r="CC503" s="147">
        <f>IF(X503="BRL",'Impostos e Frete'!$B$11,'Impostos e Frete'!$B$12)</f>
        <v>9.1999999999999998E-2</v>
      </c>
      <c r="CD503" s="213" t="e">
        <f>SUM(BY503:CC503)</f>
        <v>#N/A</v>
      </c>
      <c r="CE503" s="258" t="str">
        <f>IF(C503="","erro",(CD503/1000)*C503)</f>
        <v>erro</v>
      </c>
      <c r="CF503" s="259" t="e">
        <f>VLOOKUP(L503,'Impostos e Frete'!$A$3:$C$7,3,0)</f>
        <v>#N/A</v>
      </c>
      <c r="CG503" s="260">
        <f>M503</f>
        <v>0</v>
      </c>
      <c r="CH503" s="260" t="e">
        <f>CG503-CF503</f>
        <v>#N/A</v>
      </c>
      <c r="CI503" s="261" t="e">
        <f>CD503*(1+VALUE($CI$2))^((CH503*-1)/30)-CD503</f>
        <v>#N/A</v>
      </c>
      <c r="CJ503" s="262" t="e">
        <f>CD503+CI503</f>
        <v>#N/A</v>
      </c>
      <c r="CK503" s="263" t="str">
        <f>IF(C503="","erro",(CJ503/1000)*C503)</f>
        <v>erro</v>
      </c>
    </row>
    <row r="504" spans="1:89">
      <c r="A504" s="219"/>
      <c r="B504" s="177"/>
      <c r="C504" s="178"/>
      <c r="D504" s="178"/>
      <c r="E504" s="178"/>
      <c r="F504" s="179"/>
      <c r="G504" s="185"/>
      <c r="H504" s="178"/>
      <c r="I504" s="178"/>
      <c r="J504" s="178"/>
      <c r="K504" s="178"/>
      <c r="L504" s="183"/>
      <c r="M504" s="183"/>
      <c r="N504" s="183"/>
      <c r="O504" s="178"/>
      <c r="P504" s="178"/>
      <c r="Q504" s="178"/>
      <c r="R504" s="178"/>
      <c r="S504" s="181"/>
      <c r="T504" s="181"/>
      <c r="U504" s="182"/>
      <c r="V504" s="182"/>
      <c r="W504" s="183"/>
      <c r="X504" s="182"/>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c r="BN504" s="184"/>
      <c r="BO504" s="184"/>
      <c r="BP504" s="184"/>
      <c r="BQ504" s="184"/>
      <c r="BR504" s="184"/>
      <c r="BS504" s="184"/>
      <c r="BT504" s="184"/>
      <c r="BU504" s="248" t="e" cm="1">
        <f t="array" ref="BU504">LOOKUP(2,1/(Y504:BT504&lt;&gt;""),Y504:BH504)</f>
        <v>#N/A</v>
      </c>
      <c r="BV504" s="247" t="e" cm="1">
        <f t="array" aca="1" ref="BV504" ca="1">_xlfn.LET(
    _xlpm.last_col_idx, LOOKUP(2, 1/(Y504:BT504&lt;&gt;""), COLUMN(Y504:BT504) - COLUMN(Y504) + 1),
    _xlpm.header_val, INDEX($Y$3:$BT$3, 1, _xlpm.last_col_idx),
    _xlpm.header_date, IF(ISNUMBER(_xlpm.header_val), _xlpm.header_val, DATEVALUE(_xlpm.header_val)),
    IF(_xlpm.header_date &gt; TODAY(), TODAY(), _xlpm.header_date)
)</f>
        <v>#N/A</v>
      </c>
      <c r="BW504" s="211" t="e" cm="1">
        <f t="array" ref="BW504">(LOOKUP(2,1/(BH504:BT504&lt;&gt;""),BH504:BT504))/(INDEX(BH504:BT504,MATCH(TRUE,INDEX((BH504:BT504&lt;&gt;0),0),0)))-1</f>
        <v>#N/A</v>
      </c>
      <c r="BX504" s="212" t="e">
        <f>BU504/1000</f>
        <v>#N/A</v>
      </c>
      <c r="BY504" s="249" t="str">
        <f>IF(X504="BRL",BX504,IF(X504="EUR",BX504*$CK$2,IF(X504="USD",BX504*$CK$1,IF(X504="CNY",BX504*$CM$1,IF(X504="RUB",BX504*$CM$2,"CRRY#")))))</f>
        <v>CRRY#</v>
      </c>
      <c r="BZ504" s="249" t="str">
        <f>IF(L504="BR",'Impostos e Frete'!$F$6,IF(L504="EU",'Impostos e Frete'!$I$3,IF(L504="CN",'Impostos e Frete'!$I$4,IF(L504="JP",'Impostos e Frete'!$I$5,IF(L504="RU",'Impostos e Frete'!$I$7,"ERRO")))))</f>
        <v>ERRO</v>
      </c>
      <c r="CA504" s="249" t="e">
        <f>VLOOKUP(L504,'Impostos e Frete'!$A$3:$B$7,2,0)*'Preços e Condições'!BY504</f>
        <v>#N/A</v>
      </c>
      <c r="CB504" s="147" t="str">
        <f>IF(R504="CFR",$CB$2,IF(R504="FOB",0,IF(R504="EXW",$CB$1,"ERRO")))</f>
        <v>ERRO</v>
      </c>
      <c r="CC504" s="147">
        <f>IF(X504="BRL",'Impostos e Frete'!$B$11,'Impostos e Frete'!$B$12)</f>
        <v>9.1999999999999998E-2</v>
      </c>
      <c r="CD504" s="213" t="e">
        <f>SUM(BY504:CC504)</f>
        <v>#N/A</v>
      </c>
      <c r="CE504" s="258" t="str">
        <f>IF(C504="","erro",(CD504/1000)*C504)</f>
        <v>erro</v>
      </c>
      <c r="CF504" s="259" t="e">
        <f>VLOOKUP(L504,'Impostos e Frete'!$A$3:$C$7,3,0)</f>
        <v>#N/A</v>
      </c>
      <c r="CG504" s="260">
        <f>M504</f>
        <v>0</v>
      </c>
      <c r="CH504" s="260" t="e">
        <f>CG504-CF504</f>
        <v>#N/A</v>
      </c>
      <c r="CI504" s="261" t="e">
        <f>CD504*(1+VALUE($CI$2))^((CH504*-1)/30)-CD504</f>
        <v>#N/A</v>
      </c>
      <c r="CJ504" s="262" t="e">
        <f>CD504+CI504</f>
        <v>#N/A</v>
      </c>
      <c r="CK504" s="263" t="str">
        <f>IF(C504="","erro",(CJ504/1000)*C504)</f>
        <v>erro</v>
      </c>
    </row>
    <row r="505" spans="1:89">
      <c r="A505" s="219"/>
      <c r="B505" s="177"/>
      <c r="C505" s="178"/>
      <c r="D505" s="178"/>
      <c r="E505" s="178"/>
      <c r="F505" s="179"/>
      <c r="G505" s="185"/>
      <c r="H505" s="178"/>
      <c r="I505" s="178"/>
      <c r="J505" s="178"/>
      <c r="K505" s="178"/>
      <c r="L505" s="183"/>
      <c r="M505" s="183"/>
      <c r="N505" s="183"/>
      <c r="O505" s="178"/>
      <c r="P505" s="178"/>
      <c r="Q505" s="178"/>
      <c r="R505" s="178"/>
      <c r="S505" s="181"/>
      <c r="T505" s="181"/>
      <c r="U505" s="182"/>
      <c r="V505" s="182"/>
      <c r="W505" s="183"/>
      <c r="X505" s="182"/>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248" t="e" cm="1">
        <f t="array" ref="BU505">LOOKUP(2,1/(Y505:BT505&lt;&gt;""),Y505:BH505)</f>
        <v>#N/A</v>
      </c>
      <c r="BV505" s="247" t="e" cm="1">
        <f t="array" aca="1" ref="BV505" ca="1">_xlfn.LET(
    _xlpm.last_col_idx, LOOKUP(2, 1/(Y505:BT505&lt;&gt;""), COLUMN(Y505:BT505) - COLUMN(Y505) + 1),
    _xlpm.header_val, INDEX($Y$3:$BT$3, 1, _xlpm.last_col_idx),
    _xlpm.header_date, IF(ISNUMBER(_xlpm.header_val), _xlpm.header_val, DATEVALUE(_xlpm.header_val)),
    IF(_xlpm.header_date &gt; TODAY(), TODAY(), _xlpm.header_date)
)</f>
        <v>#N/A</v>
      </c>
      <c r="BW505" s="211" t="e" cm="1">
        <f t="array" ref="BW505">(LOOKUP(2,1/(BH505:BT505&lt;&gt;""),BH505:BT505))/(INDEX(BH505:BT505,MATCH(TRUE,INDEX((BH505:BT505&lt;&gt;0),0),0)))-1</f>
        <v>#N/A</v>
      </c>
      <c r="BX505" s="212" t="e">
        <f>BU505/1000</f>
        <v>#N/A</v>
      </c>
      <c r="BY505" s="249" t="str">
        <f>IF(X505="BRL",BX505,IF(X505="EUR",BX505*$CK$2,IF(X505="USD",BX505*$CK$1,IF(X505="CNY",BX505*$CM$1,IF(X505="RUB",BX505*$CM$2,"CRRY#")))))</f>
        <v>CRRY#</v>
      </c>
      <c r="BZ505" s="249" t="str">
        <f>IF(L505="BR",'Impostos e Frete'!$F$6,IF(L505="EU",'Impostos e Frete'!$I$3,IF(L505="CN",'Impostos e Frete'!$I$4,IF(L505="JP",'Impostos e Frete'!$I$5,IF(L505="RU",'Impostos e Frete'!$I$7,"ERRO")))))</f>
        <v>ERRO</v>
      </c>
      <c r="CA505" s="249" t="e">
        <f>VLOOKUP(L505,'Impostos e Frete'!$A$3:$B$7,2,0)*'Preços e Condições'!BY505</f>
        <v>#N/A</v>
      </c>
      <c r="CB505" s="147" t="str">
        <f>IF(R505="CFR",$CB$2,IF(R505="FOB",0,IF(R505="EXW",$CB$1,"ERRO")))</f>
        <v>ERRO</v>
      </c>
      <c r="CC505" s="147">
        <f>IF(X505="BRL",'Impostos e Frete'!$B$11,'Impostos e Frete'!$B$12)</f>
        <v>9.1999999999999998E-2</v>
      </c>
      <c r="CD505" s="213" t="e">
        <f>SUM(BY505:CC505)</f>
        <v>#N/A</v>
      </c>
      <c r="CE505" s="258" t="str">
        <f>IF(C505="","erro",(CD505/1000)*C505)</f>
        <v>erro</v>
      </c>
      <c r="CF505" s="259" t="e">
        <f>VLOOKUP(L505,'Impostos e Frete'!$A$3:$C$7,3,0)</f>
        <v>#N/A</v>
      </c>
      <c r="CG505" s="260">
        <f>M505</f>
        <v>0</v>
      </c>
      <c r="CH505" s="260" t="e">
        <f>CG505-CF505</f>
        <v>#N/A</v>
      </c>
      <c r="CI505" s="261" t="e">
        <f>CD505*(1+VALUE($CI$2))^((CH505*-1)/30)-CD505</f>
        <v>#N/A</v>
      </c>
      <c r="CJ505" s="262" t="e">
        <f>CD505+CI505</f>
        <v>#N/A</v>
      </c>
      <c r="CK505" s="263" t="str">
        <f>IF(C505="","erro",(CJ505/1000)*C505)</f>
        <v>erro</v>
      </c>
    </row>
    <row r="506" spans="1:89">
      <c r="A506" s="219"/>
      <c r="B506" s="177"/>
      <c r="C506" s="178"/>
      <c r="D506" s="178"/>
      <c r="E506" s="178"/>
      <c r="F506" s="179"/>
      <c r="G506" s="185"/>
      <c r="H506" s="178"/>
      <c r="I506" s="178"/>
      <c r="J506" s="178"/>
      <c r="K506" s="178"/>
      <c r="L506" s="183"/>
      <c r="M506" s="183"/>
      <c r="N506" s="183"/>
      <c r="O506" s="178"/>
      <c r="P506" s="178"/>
      <c r="Q506" s="178"/>
      <c r="R506" s="178"/>
      <c r="S506" s="181"/>
      <c r="T506" s="181"/>
      <c r="U506" s="182"/>
      <c r="V506" s="182"/>
      <c r="W506" s="183"/>
      <c r="X506" s="182"/>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248" t="e" cm="1">
        <f t="array" ref="BU506">LOOKUP(2,1/(Y506:BT506&lt;&gt;""),Y506:BH506)</f>
        <v>#N/A</v>
      </c>
      <c r="BV506" s="247" t="e" cm="1">
        <f t="array" aca="1" ref="BV506" ca="1">_xlfn.LET(
    _xlpm.last_col_idx, LOOKUP(2, 1/(Y506:BT506&lt;&gt;""), COLUMN(Y506:BT506) - COLUMN(Y506) + 1),
    _xlpm.header_val, INDEX($Y$3:$BT$3, 1, _xlpm.last_col_idx),
    _xlpm.header_date, IF(ISNUMBER(_xlpm.header_val), _xlpm.header_val, DATEVALUE(_xlpm.header_val)),
    IF(_xlpm.header_date &gt; TODAY(), TODAY(), _xlpm.header_date)
)</f>
        <v>#N/A</v>
      </c>
      <c r="BW506" s="211" t="e" cm="1">
        <f t="array" ref="BW506">(LOOKUP(2,1/(BH506:BT506&lt;&gt;""),BH506:BT506))/(INDEX(BH506:BT506,MATCH(TRUE,INDEX((BH506:BT506&lt;&gt;0),0),0)))-1</f>
        <v>#N/A</v>
      </c>
      <c r="BX506" s="212" t="e">
        <f>BU506/1000</f>
        <v>#N/A</v>
      </c>
      <c r="BY506" s="249" t="str">
        <f>IF(X506="BRL",BX506,IF(X506="EUR",BX506*$CK$2,IF(X506="USD",BX506*$CK$1,IF(X506="CNY",BX506*$CM$1,IF(X506="RUB",BX506*$CM$2,"CRRY#")))))</f>
        <v>CRRY#</v>
      </c>
      <c r="BZ506" s="249" t="str">
        <f>IF(L506="BR",'Impostos e Frete'!$F$6,IF(L506="EU",'Impostos e Frete'!$I$3,IF(L506="CN",'Impostos e Frete'!$I$4,IF(L506="JP",'Impostos e Frete'!$I$5,IF(L506="RU",'Impostos e Frete'!$I$7,"ERRO")))))</f>
        <v>ERRO</v>
      </c>
      <c r="CA506" s="249" t="e">
        <f>VLOOKUP(L506,'Impostos e Frete'!$A$3:$B$7,2,0)*'Preços e Condições'!BY506</f>
        <v>#N/A</v>
      </c>
      <c r="CB506" s="147" t="str">
        <f>IF(R506="CFR",$CB$2,IF(R506="FOB",0,IF(R506="EXW",$CB$1,"ERRO")))</f>
        <v>ERRO</v>
      </c>
      <c r="CC506" s="147">
        <f>IF(X506="BRL",'Impostos e Frete'!$B$11,'Impostos e Frete'!$B$12)</f>
        <v>9.1999999999999998E-2</v>
      </c>
      <c r="CD506" s="213" t="e">
        <f>SUM(BY506:CC506)</f>
        <v>#N/A</v>
      </c>
      <c r="CE506" s="258" t="str">
        <f>IF(C506="","erro",(CD506/1000)*C506)</f>
        <v>erro</v>
      </c>
      <c r="CF506" s="259" t="e">
        <f>VLOOKUP(L506,'Impostos e Frete'!$A$3:$C$7,3,0)</f>
        <v>#N/A</v>
      </c>
      <c r="CG506" s="260">
        <f>M506</f>
        <v>0</v>
      </c>
      <c r="CH506" s="260" t="e">
        <f>CG506-CF506</f>
        <v>#N/A</v>
      </c>
      <c r="CI506" s="261" t="e">
        <f>CD506*(1+VALUE($CI$2))^((CH506*-1)/30)-CD506</f>
        <v>#N/A</v>
      </c>
      <c r="CJ506" s="262" t="e">
        <f>CD506+CI506</f>
        <v>#N/A</v>
      </c>
      <c r="CK506" s="263" t="str">
        <f>IF(C506="","erro",(CJ506/1000)*C506)</f>
        <v>erro</v>
      </c>
    </row>
    <row r="507" spans="1:89">
      <c r="A507" s="176"/>
      <c r="B507" s="177"/>
      <c r="C507" s="178"/>
      <c r="D507" s="178"/>
      <c r="E507" s="178"/>
      <c r="F507" s="179"/>
      <c r="G507" s="185" t="s">
        <v>476</v>
      </c>
      <c r="H507" s="178"/>
      <c r="I507" s="178"/>
      <c r="J507" s="178"/>
      <c r="K507" s="178"/>
      <c r="L507" s="178"/>
      <c r="M507" s="178"/>
      <c r="N507" s="178"/>
      <c r="O507" s="178"/>
      <c r="P507" s="178"/>
      <c r="Q507" s="178"/>
      <c r="R507" s="178"/>
      <c r="S507" s="181"/>
      <c r="T507" s="181"/>
      <c r="U507" s="182"/>
      <c r="V507" s="182"/>
      <c r="W507" s="183"/>
      <c r="X507" s="182"/>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46" t="e" cm="1">
        <f t="array" ref="BU507">LOOKUP(2,1/(Y507:BT507&lt;&gt;""),Y507:BH507)</f>
        <v>#N/A</v>
      </c>
      <c r="BV507" s="145" t="e" cm="1">
        <f t="array" aca="1" ref="BV507" ca="1">_xlfn.LET(
    _xlpm.last_col_idx, LOOKUP(2, 1/(Y507:BT507&lt;&gt;""), COLUMN(Y507:BT507) - COLUMN(Y507) + 1),
    _xlpm.header_val, INDEX($Y$3:$BT$3, 1, _xlpm.last_col_idx),
    _xlpm.header_date, IF(ISNUMBER(_xlpm.header_val), _xlpm.header_val, DATEVALUE(_xlpm.header_val)),
    IF(_xlpm.header_date &gt; TODAY(), TODAY(), _xlpm.header_date)
)</f>
        <v>#N/A</v>
      </c>
      <c r="BW507" s="211" t="e" cm="1">
        <f t="array" ref="BW507">(LOOKUP(2,1/(BH507:BT507&lt;&gt;""),BH507:BT507))/(INDEX(BH507:BT507,MATCH(TRUE,INDEX((BH507:BT507&lt;&gt;0),0),0)))-1</f>
        <v>#N/A</v>
      </c>
      <c r="BX507" s="212" t="e">
        <f t="shared" ref="BX507" si="286">BU507/1000</f>
        <v>#N/A</v>
      </c>
      <c r="BY507" s="212" t="str">
        <f t="shared" ref="BY507" si="287">IF(X507="BRL",BX507,IF(X507="EUR",BX507*$CK$2,IF(X507="USD",BX507*$CK$1,IF(X507="CNY",BX507*$CM$1,IF(X507="RUB",BX507*$CM$2,"CRRY#")))))</f>
        <v>CRRY#</v>
      </c>
      <c r="BZ507" s="212" t="str">
        <f>IF(L507="BR",'Impostos e Frete'!$F$6,IF(L507="EU",'Impostos e Frete'!$I$3,IF(L507="CN",'Impostos e Frete'!$I$4,IF(L507="JP",'Impostos e Frete'!$I$5,IF(L507="RU",'Impostos e Frete'!$I$7,"ERRO")))))</f>
        <v>ERRO</v>
      </c>
      <c r="CA507" s="212" t="e">
        <f>VLOOKUP(L507,'Impostos e Frete'!$A$3:$B$7,2,0)*'Preços e Condições'!BY507</f>
        <v>#N/A</v>
      </c>
      <c r="CB507" s="147" t="str">
        <f t="shared" ref="CB507" si="288">IF(R507="CFR",$CB$2,IF(R507="FOB",0,IF(R507="EXW",$CB$1,"ERRO")))</f>
        <v>ERRO</v>
      </c>
      <c r="CC507" s="147">
        <f>IF(X507="BRL",'Impostos e Frete'!$B$11,'Impostos e Frete'!$B$12)</f>
        <v>9.1999999999999998E-2</v>
      </c>
      <c r="CD507" s="213" t="e">
        <f t="shared" ref="CD507" si="289">SUM(BY507:CC507)</f>
        <v>#N/A</v>
      </c>
      <c r="CE507" s="214" t="str">
        <f t="shared" ref="CE507" si="290">IF(C507="","erro",(CD507/1000)*C507)</f>
        <v>erro</v>
      </c>
      <c r="CF507" s="215" t="e">
        <f>VLOOKUP(L507,'Impostos e Frete'!$A$3:$C$7,3,0)</f>
        <v>#N/A</v>
      </c>
      <c r="CG507" s="215">
        <f t="shared" ref="CG507" si="291">M507</f>
        <v>0</v>
      </c>
      <c r="CH507" s="215" t="e">
        <f t="shared" ref="CH507" si="292">CG507-CF507</f>
        <v>#N/A</v>
      </c>
      <c r="CI507" s="216" t="e">
        <f t="shared" ref="CI507" si="293">CD507*(1+VALUE($CI$2))^((CH507*-1)/30)-CD507</f>
        <v>#N/A</v>
      </c>
      <c r="CJ507" s="217" t="e">
        <f t="shared" ref="CJ507" si="294">CD507+CI507</f>
        <v>#N/A</v>
      </c>
      <c r="CK507" s="218" t="str">
        <f t="shared" ref="CK507" si="295">IF(C507="","erro",(CJ507/1000)*C507)</f>
        <v>erro</v>
      </c>
    </row>
    <row r="508" spans="1:89">
      <c r="BB508" s="206"/>
      <c r="BH508" s="206"/>
    </row>
    <row r="509" spans="1:89">
      <c r="BB509" s="206"/>
    </row>
    <row r="510" spans="1:89">
      <c r="BB510" s="206"/>
    </row>
    <row r="511" spans="1:89">
      <c r="BB511" s="206"/>
    </row>
    <row r="512" spans="1:89">
      <c r="BB512" s="206"/>
    </row>
    <row r="513" spans="54:54">
      <c r="BB513" s="206"/>
    </row>
  </sheetData>
  <sheetProtection formatCells="0" formatColumns="0" formatRows="0" insertRows="0" deleteRows="0" sort="0" autoFilter="0" pivotTables="0"/>
  <mergeCells count="1">
    <mergeCell ref="S2:U2"/>
  </mergeCells>
  <phoneticPr fontId="8" type="noConversion"/>
  <conditionalFormatting sqref="BW4:BW507">
    <cfRule type="cellIs" dxfId="1" priority="299" operator="greaterThan">
      <formula>0</formula>
    </cfRule>
    <cfRule type="cellIs" dxfId="0"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4" customFormat="1">
      <c r="A2" s="4" t="s">
        <v>54</v>
      </c>
      <c r="B2" s="4" t="s">
        <v>55</v>
      </c>
      <c r="C2" s="4" t="s">
        <v>220</v>
      </c>
      <c r="E2" s="4" t="s">
        <v>243</v>
      </c>
      <c r="G2" s="4" t="s">
        <v>204</v>
      </c>
    </row>
    <row r="3" spans="1:9">
      <c r="A3" t="s">
        <v>59</v>
      </c>
      <c r="B3" s="3">
        <f>Premissas!C12</f>
        <v>0.13</v>
      </c>
      <c r="C3">
        <f>45+60</f>
        <v>105</v>
      </c>
      <c r="E3" t="s">
        <v>59</v>
      </c>
      <c r="F3" s="51">
        <f>Premissas!C5</f>
        <v>600</v>
      </c>
      <c r="G3">
        <v>25000</v>
      </c>
      <c r="H3" s="45">
        <f>F3/G3</f>
        <v>2.4E-2</v>
      </c>
      <c r="I3" s="34">
        <f ca="1">H3*Premissas!$E$25</f>
        <v>0.14176320000000001</v>
      </c>
    </row>
    <row r="4" spans="1:9">
      <c r="A4" t="s">
        <v>60</v>
      </c>
      <c r="B4" s="3">
        <f>Premissas!C13</f>
        <v>0.14000000000000001</v>
      </c>
      <c r="C4">
        <f>60+60</f>
        <v>120</v>
      </c>
      <c r="E4" t="s">
        <v>60</v>
      </c>
      <c r="F4" s="52">
        <f>Premissas!C6</f>
        <v>5500</v>
      </c>
      <c r="G4">
        <v>25000</v>
      </c>
      <c r="H4" s="46">
        <f>F4/G4</f>
        <v>0.22</v>
      </c>
      <c r="I4" s="47">
        <f ca="1">H4*Premissas!$E$24</f>
        <v>1.11958</v>
      </c>
    </row>
    <row r="5" spans="1:9">
      <c r="A5" t="s">
        <v>208</v>
      </c>
      <c r="B5" s="3">
        <f>Premissas!C14</f>
        <v>0.15</v>
      </c>
      <c r="C5" s="35">
        <f>60+60</f>
        <v>120</v>
      </c>
      <c r="E5" t="s">
        <v>208</v>
      </c>
      <c r="F5" s="52">
        <f>Premissas!C7</f>
        <v>6600</v>
      </c>
      <c r="G5">
        <v>18000</v>
      </c>
      <c r="H5" s="46">
        <f>F5/G5</f>
        <v>0.36666666666666664</v>
      </c>
      <c r="I5" s="47">
        <f ca="1">H5*Premissas!$E$24</f>
        <v>1.8659666666666668</v>
      </c>
    </row>
    <row r="6" spans="1:9">
      <c r="A6" t="s">
        <v>58</v>
      </c>
      <c r="B6" s="3">
        <f>Premissas!C15</f>
        <v>0</v>
      </c>
      <c r="C6">
        <f>45</f>
        <v>45</v>
      </c>
      <c r="E6" t="s">
        <v>58</v>
      </c>
      <c r="F6" s="53">
        <f>Premissas!C8</f>
        <v>0</v>
      </c>
    </row>
    <row r="7" spans="1:9">
      <c r="A7" t="s">
        <v>457</v>
      </c>
      <c r="B7" s="220">
        <v>0.13</v>
      </c>
      <c r="C7" s="34">
        <v>105</v>
      </c>
      <c r="F7" s="53"/>
    </row>
    <row r="11" spans="1:9">
      <c r="A11" t="s">
        <v>247</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134" zoomScaleNormal="100" workbookViewId="0">
      <selection activeCell="A462" sqref="A462"/>
    </sheetView>
  </sheetViews>
  <sheetFormatPr defaultRowHeight="15"/>
  <cols>
    <col min="1" max="1" width="52.140625" bestFit="1" customWidth="1"/>
    <col min="2" max="2" width="10" style="22" bestFit="1" customWidth="1"/>
    <col min="3" max="3" width="11.5703125" style="28"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226" t="s">
        <v>159</v>
      </c>
      <c r="B2" s="227"/>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8"/>
    </row>
    <row r="3" spans="1:31" hidden="1">
      <c r="A3" s="229"/>
      <c r="B3" s="230"/>
      <c r="C3" s="230"/>
      <c r="D3" s="230"/>
      <c r="E3" s="230"/>
      <c r="F3" s="230"/>
      <c r="G3" s="230"/>
      <c r="H3" s="230"/>
      <c r="I3" s="230"/>
      <c r="J3" s="230"/>
      <c r="K3" s="230"/>
      <c r="L3" s="230"/>
      <c r="M3" s="230"/>
      <c r="N3" s="230"/>
      <c r="O3" s="230"/>
      <c r="P3" s="230"/>
      <c r="Q3" s="230"/>
      <c r="R3" s="230"/>
      <c r="S3" s="230"/>
      <c r="T3" s="230"/>
      <c r="U3" s="230"/>
      <c r="V3" s="230"/>
      <c r="W3" s="230"/>
      <c r="X3" s="230"/>
      <c r="Y3" s="230"/>
      <c r="Z3" s="230"/>
      <c r="AA3" s="230"/>
      <c r="AB3" s="230"/>
      <c r="AC3" s="230"/>
      <c r="AD3" s="230"/>
      <c r="AE3" s="231"/>
    </row>
    <row r="4" spans="1:31" hidden="1">
      <c r="A4" s="232" t="s">
        <v>160</v>
      </c>
      <c r="B4" s="234" t="s">
        <v>161</v>
      </c>
      <c r="C4" s="235"/>
      <c r="D4" s="236" t="s">
        <v>162</v>
      </c>
      <c r="E4" s="234"/>
      <c r="F4" s="234"/>
      <c r="G4" s="235"/>
      <c r="H4" s="236" t="s">
        <v>163</v>
      </c>
      <c r="I4" s="235"/>
      <c r="J4" s="39"/>
      <c r="K4" s="39"/>
      <c r="L4" s="236" t="s">
        <v>164</v>
      </c>
      <c r="M4" s="235"/>
      <c r="N4" s="236" t="s">
        <v>165</v>
      </c>
      <c r="O4" s="235"/>
      <c r="P4" s="236" t="s">
        <v>166</v>
      </c>
      <c r="Q4" s="235"/>
      <c r="R4" s="236" t="s">
        <v>167</v>
      </c>
      <c r="S4" s="235"/>
      <c r="T4" s="236" t="s">
        <v>168</v>
      </c>
      <c r="U4" s="235"/>
      <c r="V4" s="236" t="s">
        <v>169</v>
      </c>
      <c r="W4" s="235"/>
      <c r="X4" s="236" t="s">
        <v>170</v>
      </c>
      <c r="Y4" s="235"/>
      <c r="Z4" s="236" t="s">
        <v>171</v>
      </c>
      <c r="AA4" s="235"/>
      <c r="AB4" s="236" t="s">
        <v>172</v>
      </c>
      <c r="AC4" s="235"/>
      <c r="AD4" s="236" t="s">
        <v>173</v>
      </c>
      <c r="AE4" s="237"/>
    </row>
    <row r="5" spans="1:31" hidden="1">
      <c r="A5" s="233"/>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26" t="s">
        <v>184</v>
      </c>
      <c r="B17" s="227"/>
      <c r="C17" s="227"/>
      <c r="D17" s="227"/>
      <c r="E17" s="227"/>
      <c r="F17" s="227"/>
      <c r="G17" s="227"/>
      <c r="H17" s="227"/>
      <c r="I17" s="227"/>
      <c r="J17" s="227"/>
      <c r="K17" s="227"/>
      <c r="L17" s="227"/>
      <c r="M17" s="227"/>
      <c r="N17" s="227"/>
      <c r="O17" s="227"/>
      <c r="P17" s="227"/>
      <c r="Q17" s="227"/>
      <c r="R17" s="227"/>
      <c r="S17" s="227"/>
      <c r="T17" s="227"/>
      <c r="U17" s="227"/>
      <c r="V17" s="227"/>
      <c r="W17" s="227"/>
      <c r="X17" s="227"/>
      <c r="Y17" s="227"/>
      <c r="Z17" s="227"/>
      <c r="AA17" s="227"/>
      <c r="AB17" s="227"/>
      <c r="AC17" s="227"/>
      <c r="AD17" s="227"/>
      <c r="AE17" s="228"/>
    </row>
    <row r="18" spans="1:31" hidden="1">
      <c r="A18" s="229"/>
      <c r="B18" s="230"/>
      <c r="C18" s="230"/>
      <c r="D18" s="230"/>
      <c r="E18" s="230"/>
      <c r="F18" s="230"/>
      <c r="G18" s="230"/>
      <c r="H18" s="230"/>
      <c r="I18" s="230"/>
      <c r="J18" s="230"/>
      <c r="K18" s="230"/>
      <c r="L18" s="230"/>
      <c r="M18" s="230"/>
      <c r="N18" s="230"/>
      <c r="O18" s="230"/>
      <c r="P18" s="230"/>
      <c r="Q18" s="230"/>
      <c r="R18" s="230"/>
      <c r="S18" s="230"/>
      <c r="T18" s="230"/>
      <c r="U18" s="230"/>
      <c r="V18" s="230"/>
      <c r="W18" s="230"/>
      <c r="X18" s="230"/>
      <c r="Y18" s="230"/>
      <c r="Z18" s="230"/>
      <c r="AA18" s="230"/>
      <c r="AB18" s="230"/>
      <c r="AC18" s="230"/>
      <c r="AD18" s="230"/>
      <c r="AE18" s="231"/>
    </row>
    <row r="19" spans="1:31" hidden="1">
      <c r="A19" s="232" t="s">
        <v>160</v>
      </c>
      <c r="B19" s="234" t="s">
        <v>161</v>
      </c>
      <c r="C19" s="235"/>
      <c r="D19" s="236" t="s">
        <v>162</v>
      </c>
      <c r="E19" s="234"/>
      <c r="F19" s="234"/>
      <c r="G19" s="235"/>
      <c r="H19" s="236" t="s">
        <v>163</v>
      </c>
      <c r="I19" s="234"/>
      <c r="J19" s="39"/>
      <c r="K19" s="39"/>
      <c r="L19" s="236" t="s">
        <v>164</v>
      </c>
      <c r="M19" s="235"/>
      <c r="N19" s="236" t="s">
        <v>165</v>
      </c>
      <c r="O19" s="235"/>
      <c r="P19" s="236" t="s">
        <v>166</v>
      </c>
      <c r="Q19" s="235"/>
      <c r="R19" s="236" t="s">
        <v>167</v>
      </c>
      <c r="S19" s="235"/>
      <c r="T19" s="236" t="s">
        <v>168</v>
      </c>
      <c r="U19" s="235"/>
      <c r="V19" s="236" t="s">
        <v>169</v>
      </c>
      <c r="W19" s="235"/>
      <c r="X19" s="236" t="s">
        <v>170</v>
      </c>
      <c r="Y19" s="235"/>
      <c r="Z19" s="236" t="s">
        <v>171</v>
      </c>
      <c r="AA19" s="235"/>
      <c r="AB19" s="236" t="s">
        <v>172</v>
      </c>
      <c r="AC19" s="235"/>
      <c r="AD19" s="234" t="s">
        <v>173</v>
      </c>
      <c r="AE19" s="237"/>
    </row>
    <row r="20" spans="1:31" hidden="1">
      <c r="A20" s="233"/>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75" thickBot="1"/>
    <row r="36" spans="1:31">
      <c r="A36" s="238" t="s">
        <v>188</v>
      </c>
      <c r="B36" s="239"/>
      <c r="C36" s="239"/>
      <c r="D36" s="239"/>
      <c r="E36" s="239"/>
      <c r="F36" s="239"/>
      <c r="G36" s="239"/>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40"/>
    </row>
    <row r="37" spans="1:31">
      <c r="A37" s="241"/>
      <c r="B37" s="242"/>
      <c r="C37" s="242"/>
      <c r="D37" s="242"/>
      <c r="E37" s="242"/>
      <c r="F37" s="242"/>
      <c r="G37" s="242"/>
      <c r="H37" s="242"/>
      <c r="I37" s="242"/>
      <c r="J37" s="242"/>
      <c r="K37" s="242"/>
      <c r="L37" s="242"/>
      <c r="M37" s="242"/>
      <c r="N37" s="242"/>
      <c r="O37" s="242"/>
      <c r="P37" s="242"/>
      <c r="Q37" s="242"/>
      <c r="R37" s="242"/>
      <c r="S37" s="242"/>
      <c r="T37" s="242"/>
      <c r="U37" s="242"/>
      <c r="V37" s="242"/>
      <c r="W37" s="242"/>
      <c r="X37" s="242"/>
      <c r="Y37" s="242"/>
      <c r="Z37" s="242"/>
      <c r="AA37" s="242"/>
      <c r="AB37" s="242"/>
      <c r="AC37" s="242"/>
      <c r="AD37" s="242"/>
      <c r="AE37" s="243"/>
    </row>
    <row r="38" spans="1:31" s="6" customFormat="1" ht="15.75">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380</v>
      </c>
      <c r="H39" t="s">
        <v>191</v>
      </c>
      <c r="I39" t="s">
        <v>221</v>
      </c>
      <c r="K39" t="s">
        <v>384</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382</v>
      </c>
      <c r="S41" s="33" t="s">
        <v>438</v>
      </c>
      <c r="U41" s="10" t="s">
        <v>189</v>
      </c>
      <c r="V41" t="s">
        <v>382</v>
      </c>
      <c r="W41" s="33" t="s">
        <v>438</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380</v>
      </c>
      <c r="N43" s="6" t="s">
        <v>383</v>
      </c>
      <c r="O43" s="6" t="s">
        <v>205</v>
      </c>
      <c r="Q43" s="10" t="s">
        <v>380</v>
      </c>
      <c r="R43" s="6" t="s">
        <v>383</v>
      </c>
      <c r="S43" s="6" t="s">
        <v>205</v>
      </c>
      <c r="U43" s="10" t="s">
        <v>380</v>
      </c>
      <c r="V43" s="6" t="s">
        <v>383</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239</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233</v>
      </c>
      <c r="AB45" t="s">
        <v>232</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381</v>
      </c>
      <c r="V47" s="28">
        <v>3115767</v>
      </c>
      <c r="W47" s="3">
        <v>1</v>
      </c>
      <c r="AA47" s="10" t="s">
        <v>237</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381</v>
      </c>
      <c r="N54" s="28">
        <v>1148638</v>
      </c>
      <c r="O54" s="3">
        <v>1</v>
      </c>
      <c r="Q54" s="27" t="s">
        <v>381</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238</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231</v>
      </c>
    </row>
    <row r="63" spans="1:28">
      <c r="A63" t="s">
        <v>177</v>
      </c>
      <c r="B63" s="26">
        <v>44986</v>
      </c>
      <c r="C63" s="28">
        <v>240</v>
      </c>
      <c r="D63" s="6" t="str">
        <f t="shared" si="0"/>
        <v>CN</v>
      </c>
      <c r="F63" s="44" t="s">
        <v>203</v>
      </c>
      <c r="G63" s="31">
        <v>45627</v>
      </c>
      <c r="H63" s="28">
        <v>921791</v>
      </c>
      <c r="J63" s="28">
        <f>AVERAGE(H52:H63)</f>
        <v>994332.08333333337</v>
      </c>
      <c r="K63" s="28"/>
      <c r="W63" t="s">
        <v>437</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436</v>
      </c>
    </row>
    <row r="77" spans="1:12">
      <c r="A77" t="s">
        <v>178</v>
      </c>
      <c r="B77" s="26">
        <v>45017</v>
      </c>
      <c r="C77" s="28">
        <v>98604</v>
      </c>
      <c r="D77" s="6" t="str">
        <f t="shared" si="0"/>
        <v>EU</v>
      </c>
      <c r="F77" s="44" t="s">
        <v>193</v>
      </c>
      <c r="G77" s="31">
        <v>46054</v>
      </c>
      <c r="H77" s="28">
        <v>394209</v>
      </c>
      <c r="J77" s="28">
        <f>AVERAGE($H$76:H77)</f>
        <v>428561.5</v>
      </c>
      <c r="K77" s="7">
        <v>2.27</v>
      </c>
      <c r="L77" t="s">
        <v>436</v>
      </c>
    </row>
    <row r="78" spans="1:12">
      <c r="A78" t="s">
        <v>179</v>
      </c>
      <c r="B78" s="26">
        <v>45017</v>
      </c>
      <c r="C78" s="28">
        <v>0</v>
      </c>
      <c r="D78" s="6" t="str">
        <f t="shared" si="0"/>
        <v>EU</v>
      </c>
      <c r="F78" s="44" t="s">
        <v>194</v>
      </c>
      <c r="G78" s="31">
        <v>46082</v>
      </c>
      <c r="H78" s="28">
        <v>1110006</v>
      </c>
      <c r="J78" s="28">
        <f>AVERAGE($H$76:H78)</f>
        <v>655709.66666666663</v>
      </c>
      <c r="K78" s="7">
        <v>2.34</v>
      </c>
      <c r="L78" t="s">
        <v>436</v>
      </c>
    </row>
    <row r="79" spans="1:12">
      <c r="A79" t="s">
        <v>180</v>
      </c>
      <c r="B79" s="26">
        <v>45017</v>
      </c>
      <c r="C79" s="28">
        <v>71065</v>
      </c>
      <c r="D79" s="6" t="str">
        <f t="shared" si="0"/>
        <v>EU</v>
      </c>
      <c r="F79" t="s">
        <v>195</v>
      </c>
      <c r="G79" s="31">
        <v>46113</v>
      </c>
      <c r="H79" s="28">
        <v>1148638</v>
      </c>
      <c r="J79" s="28">
        <f>AVERAGE($H$76:H79)</f>
        <v>778941.75</v>
      </c>
      <c r="K79" s="7">
        <v>2.37</v>
      </c>
      <c r="L79" t="s">
        <v>436</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2">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6"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4" t="s">
        <v>356</v>
      </c>
    </row>
    <row r="2" spans="2:11" ht="5.25" customHeight="1"/>
    <row r="3" spans="2:11">
      <c r="B3" s="57"/>
      <c r="C3" s="116" t="s">
        <v>362</v>
      </c>
      <c r="D3" s="117" t="s">
        <v>363</v>
      </c>
      <c r="E3" s="131" t="s">
        <v>368</v>
      </c>
      <c r="F3" s="118" t="s">
        <v>364</v>
      </c>
      <c r="G3" s="118" t="s">
        <v>365</v>
      </c>
      <c r="H3" s="118" t="s">
        <v>369</v>
      </c>
      <c r="I3" s="119" t="s">
        <v>366</v>
      </c>
      <c r="J3" s="119" t="s">
        <v>367</v>
      </c>
      <c r="K3" s="119" t="s">
        <v>369</v>
      </c>
    </row>
    <row r="4" spans="2:11">
      <c r="B4" s="57" t="s">
        <v>261</v>
      </c>
      <c r="C4" s="114">
        <v>12800</v>
      </c>
      <c r="D4" s="114">
        <v>11650</v>
      </c>
      <c r="E4" s="133">
        <f>D4/C4-1</f>
        <v>-8.984375E-2</v>
      </c>
      <c r="F4" s="114"/>
      <c r="G4" s="114"/>
      <c r="H4" s="124"/>
      <c r="I4" s="114">
        <v>12500</v>
      </c>
      <c r="J4" s="114">
        <v>12000</v>
      </c>
      <c r="K4" s="133">
        <f>J4/I4-1</f>
        <v>-4.0000000000000036E-2</v>
      </c>
    </row>
    <row r="5" spans="2:11">
      <c r="B5" s="57" t="s">
        <v>262</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263</v>
      </c>
      <c r="C6" s="114">
        <v>11900</v>
      </c>
      <c r="D6" s="114">
        <v>10950</v>
      </c>
      <c r="E6" s="133">
        <f t="shared" si="0"/>
        <v>-7.9831932773109293E-2</v>
      </c>
      <c r="F6" s="114"/>
      <c r="G6" s="114"/>
      <c r="H6" s="124"/>
      <c r="I6" s="114">
        <v>12000</v>
      </c>
      <c r="J6" s="114">
        <v>11500</v>
      </c>
      <c r="K6" s="133">
        <f t="shared" si="1"/>
        <v>-4.166666666666663E-2</v>
      </c>
    </row>
    <row r="7" spans="2:11">
      <c r="B7" s="57" t="s">
        <v>357</v>
      </c>
      <c r="C7" s="114">
        <v>14500</v>
      </c>
      <c r="D7" s="114">
        <v>14500</v>
      </c>
      <c r="E7" s="124">
        <f t="shared" si="0"/>
        <v>0</v>
      </c>
      <c r="F7" s="114"/>
      <c r="G7" s="114"/>
      <c r="H7" s="124"/>
      <c r="I7" s="114"/>
      <c r="J7" s="114"/>
      <c r="K7" s="124"/>
    </row>
    <row r="8" spans="2:11">
      <c r="B8" s="57" t="s">
        <v>350</v>
      </c>
      <c r="C8" s="114">
        <v>11600</v>
      </c>
      <c r="D8" s="114">
        <v>11600</v>
      </c>
      <c r="E8" s="124">
        <f t="shared" si="0"/>
        <v>0</v>
      </c>
      <c r="F8" s="114"/>
      <c r="G8" s="114"/>
      <c r="H8" s="124"/>
      <c r="I8" s="114"/>
      <c r="J8" s="114"/>
      <c r="K8" s="124"/>
    </row>
    <row r="9" spans="2:11">
      <c r="B9" s="57" t="s">
        <v>359</v>
      </c>
      <c r="C9" s="114">
        <v>13900</v>
      </c>
      <c r="D9" s="114">
        <v>13900</v>
      </c>
      <c r="E9" s="124">
        <f t="shared" si="0"/>
        <v>0</v>
      </c>
      <c r="F9" s="114"/>
      <c r="G9" s="114"/>
      <c r="H9" s="124"/>
      <c r="I9" s="114"/>
      <c r="J9" s="114"/>
      <c r="K9" s="124"/>
    </row>
    <row r="10" spans="2:11">
      <c r="B10" s="57" t="s">
        <v>351</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352</v>
      </c>
      <c r="C11" s="114">
        <v>12400</v>
      </c>
      <c r="D11" s="114">
        <v>11900</v>
      </c>
      <c r="E11" s="133">
        <f t="shared" si="0"/>
        <v>-4.0322580645161255E-2</v>
      </c>
      <c r="F11" s="114">
        <v>12600</v>
      </c>
      <c r="G11" s="114">
        <v>12000</v>
      </c>
      <c r="H11" s="133">
        <f t="shared" si="2"/>
        <v>-4.7619047619047672E-2</v>
      </c>
      <c r="I11" s="114"/>
      <c r="J11" s="114"/>
      <c r="K11" s="124"/>
    </row>
    <row r="12" spans="2:11">
      <c r="B12" s="57" t="s">
        <v>358</v>
      </c>
      <c r="C12" s="114"/>
      <c r="D12" s="132" t="s">
        <v>370</v>
      </c>
      <c r="E12" s="125"/>
      <c r="F12" s="114"/>
      <c r="G12" s="114"/>
      <c r="H12" s="125"/>
      <c r="I12" s="114"/>
      <c r="J12" s="114"/>
      <c r="K12" s="125"/>
    </row>
    <row r="13" spans="2:11">
      <c r="B13" s="57" t="s">
        <v>353</v>
      </c>
      <c r="C13" s="114"/>
      <c r="D13" s="114"/>
      <c r="E13" s="125"/>
      <c r="F13" s="114">
        <v>12300</v>
      </c>
      <c r="G13" s="114">
        <v>12300</v>
      </c>
      <c r="H13" s="124">
        <f t="shared" si="2"/>
        <v>0</v>
      </c>
      <c r="I13" s="114"/>
      <c r="J13" s="114"/>
      <c r="K13" s="125"/>
    </row>
    <row r="14" spans="2:11">
      <c r="B14" s="57" t="s">
        <v>360</v>
      </c>
      <c r="C14" s="114"/>
      <c r="D14" s="114"/>
      <c r="E14" s="125"/>
      <c r="F14" s="114"/>
      <c r="G14" s="114"/>
      <c r="H14" s="125"/>
      <c r="I14" s="114">
        <v>9000</v>
      </c>
      <c r="J14" s="114">
        <v>9000</v>
      </c>
      <c r="K14" s="124">
        <f t="shared" ref="K14:K15" si="3">J14/I14-1</f>
        <v>0</v>
      </c>
    </row>
    <row r="15" spans="2:11">
      <c r="B15" s="57" t="s">
        <v>361</v>
      </c>
      <c r="C15" s="114"/>
      <c r="D15" s="114"/>
      <c r="E15" s="125"/>
      <c r="F15" s="114"/>
      <c r="G15" s="114"/>
      <c r="H15" s="125"/>
      <c r="I15" s="114">
        <v>19500</v>
      </c>
      <c r="J15" s="114">
        <v>19500</v>
      </c>
      <c r="K15" s="124">
        <f t="shared" si="3"/>
        <v>0</v>
      </c>
    </row>
    <row r="16" spans="2:11">
      <c r="C16" s="115"/>
      <c r="D16" s="115"/>
      <c r="E16" s="126"/>
      <c r="F16" s="115"/>
    </row>
    <row r="34" spans="1:11" ht="18.75">
      <c r="A34" s="72" t="s">
        <v>294</v>
      </c>
    </row>
    <row r="35" spans="1:11" ht="20.100000000000001" customHeight="1">
      <c r="G35" s="4" t="s">
        <v>292</v>
      </c>
      <c r="H35" s="4"/>
    </row>
    <row r="36" spans="1:11">
      <c r="C36" s="4" t="s">
        <v>290</v>
      </c>
      <c r="D36" t="e" vm="5">
        <v>#VALUE!</v>
      </c>
      <c r="F36" s="58" cm="1">
        <f t="array" aca="1" ref="F36" ca="1">_FV(D36,"Fechamento anterior",TRUE)</f>
        <v>7.8418999999999999</v>
      </c>
      <c r="G36" s="34">
        <v>8.3000000000000007</v>
      </c>
      <c r="H36" s="34"/>
    </row>
    <row r="38" spans="1:11">
      <c r="D38" s="6" t="s">
        <v>51</v>
      </c>
      <c r="F38" s="6" t="s">
        <v>267</v>
      </c>
      <c r="G38" s="59" t="s">
        <v>293</v>
      </c>
      <c r="H38" s="59"/>
      <c r="I38" t="s">
        <v>291</v>
      </c>
      <c r="J38" s="44" t="s">
        <v>309</v>
      </c>
      <c r="K38" s="44"/>
    </row>
    <row r="39" spans="1:11" ht="17.100000000000001" customHeight="1">
      <c r="A39" t="s">
        <v>58</v>
      </c>
      <c r="B39" s="63" t="s">
        <v>0</v>
      </c>
      <c r="C39" s="64" t="s">
        <v>261</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262</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263</v>
      </c>
      <c r="D41" s="65">
        <v>1620</v>
      </c>
      <c r="E41" s="127"/>
      <c r="F41" s="65">
        <v>12500</v>
      </c>
      <c r="G41" s="66">
        <f t="shared" si="4"/>
        <v>1506.024096385542</v>
      </c>
      <c r="H41" s="120"/>
      <c r="I41" s="37">
        <f t="shared" si="5"/>
        <v>-7.0355496058307487E-2</v>
      </c>
    </row>
    <row r="42" spans="1:11" ht="17.100000000000001" customHeight="1">
      <c r="A42" t="s">
        <v>58</v>
      </c>
      <c r="B42" s="63" t="s">
        <v>0</v>
      </c>
      <c r="C42" s="64" t="s">
        <v>264</v>
      </c>
      <c r="D42" s="65">
        <v>1950</v>
      </c>
      <c r="E42" s="127"/>
      <c r="F42" s="65">
        <v>15100</v>
      </c>
      <c r="G42" s="66">
        <f t="shared" si="4"/>
        <v>1819.2771084337348</v>
      </c>
      <c r="H42" s="120"/>
      <c r="I42" s="37">
        <f t="shared" si="5"/>
        <v>-6.7037380290392412E-2</v>
      </c>
    </row>
    <row r="43" spans="1:11" ht="17.100000000000001" customHeight="1">
      <c r="A43" t="s">
        <v>58</v>
      </c>
      <c r="B43" s="57" t="s">
        <v>0</v>
      </c>
      <c r="C43" s="56" t="s">
        <v>258</v>
      </c>
      <c r="D43" s="60">
        <v>1337</v>
      </c>
      <c r="E43" s="128"/>
      <c r="F43" s="60">
        <v>10300</v>
      </c>
      <c r="G43" s="61">
        <f t="shared" si="4"/>
        <v>1240.9638554216867</v>
      </c>
      <c r="H43" s="121"/>
      <c r="I43" s="37">
        <f t="shared" si="5"/>
        <v>-7.1829577096718999E-2</v>
      </c>
    </row>
    <row r="44" spans="1:11" ht="17.100000000000001" customHeight="1">
      <c r="A44" t="s">
        <v>58</v>
      </c>
      <c r="B44" s="63" t="s">
        <v>0</v>
      </c>
      <c r="C44" s="64" t="s">
        <v>265</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276</v>
      </c>
      <c r="D47" s="69">
        <v>1650</v>
      </c>
      <c r="E47" s="129"/>
      <c r="F47" s="70">
        <v>12600</v>
      </c>
      <c r="G47" s="71">
        <f t="shared" si="4"/>
        <v>1518.0722891566263</v>
      </c>
      <c r="H47" s="122"/>
      <c r="I47" s="37">
        <f t="shared" si="5"/>
        <v>-7.9956188389923466E-2</v>
      </c>
    </row>
    <row r="48" spans="1:11" ht="17.100000000000001" customHeight="1">
      <c r="A48" t="s">
        <v>58</v>
      </c>
      <c r="B48" s="67" t="s">
        <v>3</v>
      </c>
      <c r="C48" s="68" t="s">
        <v>277</v>
      </c>
      <c r="D48" s="69">
        <v>1650</v>
      </c>
      <c r="E48" s="129"/>
      <c r="F48" s="70">
        <v>12600</v>
      </c>
      <c r="G48" s="71">
        <f t="shared" si="4"/>
        <v>1518.0722891566263</v>
      </c>
      <c r="H48" s="122"/>
      <c r="I48" s="37">
        <f t="shared" si="5"/>
        <v>-7.9956188389923466E-2</v>
      </c>
    </row>
    <row r="49" spans="1:9" ht="17.100000000000001" customHeight="1">
      <c r="A49" t="s">
        <v>58</v>
      </c>
      <c r="B49" s="57" t="s">
        <v>3</v>
      </c>
      <c r="C49" s="56" t="s">
        <v>275</v>
      </c>
      <c r="D49" s="62">
        <v>1800</v>
      </c>
      <c r="E49" s="130"/>
      <c r="F49" s="60">
        <v>13700</v>
      </c>
      <c r="G49" s="61">
        <f t="shared" si="4"/>
        <v>1650.602409638554</v>
      </c>
      <c r="H49" s="121"/>
      <c r="I49" s="37">
        <f t="shared" si="5"/>
        <v>-8.2998661311914468E-2</v>
      </c>
    </row>
    <row r="50" spans="1:9" ht="17.100000000000001" customHeight="1">
      <c r="A50" t="s">
        <v>58</v>
      </c>
      <c r="B50" s="57" t="s">
        <v>3</v>
      </c>
      <c r="C50" s="56" t="s">
        <v>278</v>
      </c>
      <c r="D50" s="62">
        <v>1600</v>
      </c>
      <c r="E50" s="130"/>
      <c r="F50" s="60">
        <v>12100</v>
      </c>
      <c r="G50" s="61">
        <f t="shared" si="4"/>
        <v>1457.8313253012047</v>
      </c>
      <c r="H50" s="121"/>
      <c r="I50" s="37">
        <f t="shared" si="5"/>
        <v>-8.8855421686746983E-2</v>
      </c>
    </row>
    <row r="51" spans="1:9" ht="17.100000000000001" hidden="1" customHeight="1">
      <c r="B51" s="57" t="s">
        <v>3</v>
      </c>
      <c r="C51" s="56" t="s">
        <v>279</v>
      </c>
      <c r="D51" s="62"/>
      <c r="E51" s="62"/>
      <c r="F51" s="60">
        <v>13800</v>
      </c>
      <c r="G51" s="61">
        <f t="shared" si="4"/>
        <v>1662.6506024096384</v>
      </c>
      <c r="H51" s="121"/>
      <c r="I51" s="37" t="e">
        <f t="shared" si="5"/>
        <v>#DIV/0!</v>
      </c>
    </row>
    <row r="52" spans="1:9" ht="17.100000000000001" hidden="1" customHeight="1">
      <c r="B52" s="57" t="s">
        <v>3</v>
      </c>
      <c r="C52" s="56" t="s">
        <v>280</v>
      </c>
      <c r="D52" s="62"/>
      <c r="E52" s="62"/>
      <c r="F52" s="60">
        <v>13500</v>
      </c>
      <c r="G52" s="61">
        <f t="shared" si="4"/>
        <v>1626.5060240963853</v>
      </c>
      <c r="H52" s="121"/>
      <c r="I52" s="37" t="e">
        <f t="shared" si="5"/>
        <v>#DIV/0!</v>
      </c>
    </row>
    <row r="53" spans="1:9" ht="17.100000000000001" hidden="1" customHeight="1">
      <c r="B53" s="57" t="s">
        <v>3</v>
      </c>
      <c r="C53" s="56" t="s">
        <v>281</v>
      </c>
      <c r="D53" s="62">
        <v>1450</v>
      </c>
      <c r="E53" s="62"/>
      <c r="F53" s="60">
        <v>12300</v>
      </c>
      <c r="G53" s="61">
        <f t="shared" si="4"/>
        <v>1481.9277108433735</v>
      </c>
      <c r="H53" s="121"/>
      <c r="I53" s="37">
        <f t="shared" si="5"/>
        <v>2.2019110926464469E-2</v>
      </c>
    </row>
    <row r="54" spans="1:9" ht="17.100000000000001" customHeight="1">
      <c r="A54" t="s">
        <v>58</v>
      </c>
      <c r="B54" s="57" t="s">
        <v>3</v>
      </c>
      <c r="C54" s="56" t="s">
        <v>282</v>
      </c>
      <c r="D54" s="62">
        <v>1800</v>
      </c>
      <c r="E54" s="130"/>
      <c r="F54" s="60">
        <v>13500</v>
      </c>
      <c r="G54" s="61">
        <f t="shared" si="4"/>
        <v>1626.5060240963853</v>
      </c>
      <c r="H54" s="121"/>
      <c r="I54" s="37">
        <f t="shared" si="5"/>
        <v>-9.6385542168674787E-2</v>
      </c>
    </row>
    <row r="55" spans="1:9" ht="17.100000000000001" customHeight="1">
      <c r="A55" t="s">
        <v>58</v>
      </c>
      <c r="B55" s="57" t="s">
        <v>3</v>
      </c>
      <c r="C55" s="56" t="s">
        <v>283</v>
      </c>
      <c r="D55" s="62"/>
      <c r="E55" s="130"/>
      <c r="F55" s="60">
        <v>13000</v>
      </c>
      <c r="G55" s="61">
        <f t="shared" si="4"/>
        <v>1566.2650602409637</v>
      </c>
      <c r="H55" s="121"/>
      <c r="I55" s="37" t="e">
        <f t="shared" si="5"/>
        <v>#DIV/0!</v>
      </c>
    </row>
    <row r="56" spans="1:9" ht="17.100000000000001" customHeight="1">
      <c r="A56" t="s">
        <v>58</v>
      </c>
      <c r="B56" s="57" t="s">
        <v>3</v>
      </c>
      <c r="C56" s="56" t="s">
        <v>284</v>
      </c>
      <c r="D56" s="62"/>
      <c r="E56" s="130"/>
      <c r="F56" s="60">
        <v>12000</v>
      </c>
      <c r="G56" s="61">
        <f t="shared" si="4"/>
        <v>1445.7831325301204</v>
      </c>
      <c r="H56" s="121"/>
      <c r="I56" s="37" t="e">
        <f t="shared" si="5"/>
        <v>#DIV/0!</v>
      </c>
    </row>
    <row r="57" spans="1:9" ht="17.100000000000001" customHeight="1">
      <c r="A57" t="s">
        <v>58</v>
      </c>
      <c r="B57" s="57" t="s">
        <v>3</v>
      </c>
      <c r="C57" s="56" t="s">
        <v>285</v>
      </c>
      <c r="D57" s="62">
        <v>1800</v>
      </c>
      <c r="E57" s="130"/>
      <c r="F57" s="60">
        <v>13650</v>
      </c>
      <c r="G57" s="61">
        <f t="shared" si="4"/>
        <v>1644.5783132530119</v>
      </c>
      <c r="H57" s="121"/>
      <c r="I57" s="37">
        <f t="shared" si="5"/>
        <v>-8.6345381526104492E-2</v>
      </c>
    </row>
    <row r="58" spans="1:9" ht="17.100000000000001" hidden="1" customHeight="1">
      <c r="B58" s="57" t="s">
        <v>3</v>
      </c>
      <c r="C58" s="56" t="s">
        <v>286</v>
      </c>
      <c r="D58" s="62"/>
      <c r="E58" s="62"/>
      <c r="F58" s="60">
        <v>15000</v>
      </c>
      <c r="G58" s="61">
        <f t="shared" si="4"/>
        <v>1807.2289156626505</v>
      </c>
      <c r="H58" s="121"/>
      <c r="I58" s="37" t="e">
        <f t="shared" si="5"/>
        <v>#DIV/0!</v>
      </c>
    </row>
    <row r="59" spans="1:9" ht="17.100000000000001" customHeight="1">
      <c r="A59" t="s">
        <v>58</v>
      </c>
      <c r="B59" s="57" t="s">
        <v>3</v>
      </c>
      <c r="C59" s="56" t="s">
        <v>287</v>
      </c>
      <c r="D59" s="62">
        <v>1800</v>
      </c>
      <c r="E59" s="130"/>
      <c r="F59" s="60">
        <v>14500</v>
      </c>
      <c r="G59" s="61">
        <f t="shared" si="4"/>
        <v>1746.9879518072287</v>
      </c>
      <c r="H59" s="121"/>
      <c r="I59" s="37">
        <f t="shared" si="5"/>
        <v>-2.9451137884872969E-2</v>
      </c>
    </row>
    <row r="60" spans="1:9" ht="17.100000000000001" customHeight="1">
      <c r="A60" t="s">
        <v>58</v>
      </c>
      <c r="B60" s="67" t="s">
        <v>3</v>
      </c>
      <c r="C60" s="68" t="s">
        <v>288</v>
      </c>
      <c r="D60" s="69">
        <v>1080</v>
      </c>
      <c r="E60" s="129"/>
      <c r="F60" s="70">
        <v>8300</v>
      </c>
      <c r="G60" s="71">
        <f t="shared" si="4"/>
        <v>999.99999999999989</v>
      </c>
      <c r="H60" s="122"/>
      <c r="I60" s="37">
        <f t="shared" si="5"/>
        <v>-7.4074074074074181E-2</v>
      </c>
    </row>
    <row r="61" spans="1:9" ht="17.100000000000001" customHeight="1">
      <c r="A61" t="s">
        <v>58</v>
      </c>
      <c r="B61" s="67" t="s">
        <v>3</v>
      </c>
      <c r="C61" s="68" t="s">
        <v>289</v>
      </c>
      <c r="D61" s="69">
        <v>1080</v>
      </c>
      <c r="E61" s="129"/>
      <c r="F61" s="70">
        <v>8300</v>
      </c>
      <c r="G61" s="71">
        <f t="shared" si="4"/>
        <v>999.99999999999989</v>
      </c>
      <c r="H61" s="122"/>
      <c r="I61" s="37">
        <f t="shared" si="5"/>
        <v>-7.4074074074074181E-2</v>
      </c>
    </row>
    <row r="62" spans="1:9" ht="30">
      <c r="A62" t="s">
        <v>58</v>
      </c>
      <c r="B62" s="67" t="s">
        <v>3</v>
      </c>
      <c r="C62" s="68" t="s">
        <v>295</v>
      </c>
      <c r="D62" s="69">
        <v>1530</v>
      </c>
      <c r="E62" s="129"/>
      <c r="F62" s="70">
        <v>12300</v>
      </c>
      <c r="G62" s="71">
        <f t="shared" ref="G62" si="6">F62/$G$36</f>
        <v>1481.9277108433735</v>
      </c>
      <c r="H62" s="122"/>
      <c r="I62" s="73">
        <f t="shared" ref="I62" si="7">G62/D62-1</f>
        <v>-3.1419796834396441E-2</v>
      </c>
    </row>
    <row r="92" spans="14:19">
      <c r="N92" s="244" t="s">
        <v>252</v>
      </c>
      <c r="O92" s="244" t="s">
        <v>253</v>
      </c>
      <c r="P92" s="244" t="s">
        <v>254</v>
      </c>
      <c r="Q92" s="244" t="s">
        <v>255</v>
      </c>
      <c r="R92" s="244" t="s">
        <v>45</v>
      </c>
      <c r="S92" s="245" t="s">
        <v>256</v>
      </c>
    </row>
    <row r="93" spans="14:19">
      <c r="N93" s="244"/>
      <c r="O93" s="244"/>
      <c r="P93" s="244"/>
      <c r="Q93" s="244"/>
      <c r="R93" s="244"/>
      <c r="S93" s="245"/>
    </row>
    <row r="94" spans="14:19" ht="15.75">
      <c r="N94" s="246" t="s">
        <v>257</v>
      </c>
      <c r="O94" s="54" t="s">
        <v>258</v>
      </c>
      <c r="P94" s="54">
        <v>0</v>
      </c>
      <c r="Q94" s="54">
        <v>1337</v>
      </c>
      <c r="R94" s="54" t="s">
        <v>51</v>
      </c>
      <c r="S94" s="55">
        <v>10300</v>
      </c>
    </row>
    <row r="95" spans="14:19" ht="15.75">
      <c r="N95" s="246"/>
      <c r="O95" s="54" t="s">
        <v>259</v>
      </c>
      <c r="P95" s="54">
        <v>1000</v>
      </c>
      <c r="Q95" s="54">
        <v>1570</v>
      </c>
      <c r="R95" s="54" t="s">
        <v>51</v>
      </c>
      <c r="S95" s="55">
        <v>12100</v>
      </c>
    </row>
    <row r="96" spans="14:19" ht="15.75">
      <c r="N96" s="246" t="s">
        <v>260</v>
      </c>
      <c r="O96" s="54" t="s">
        <v>261</v>
      </c>
      <c r="P96" s="54">
        <v>1200</v>
      </c>
      <c r="Q96" s="54">
        <v>1760</v>
      </c>
      <c r="R96" s="54" t="s">
        <v>51</v>
      </c>
      <c r="S96" s="55">
        <v>13600</v>
      </c>
    </row>
    <row r="97" spans="14:19" ht="15.75">
      <c r="N97" s="246"/>
      <c r="O97" s="54" t="s">
        <v>262</v>
      </c>
      <c r="P97" s="54">
        <v>3500</v>
      </c>
      <c r="Q97" s="54">
        <v>1730</v>
      </c>
      <c r="R97" s="54" t="s">
        <v>51</v>
      </c>
      <c r="S97" s="55">
        <v>13400</v>
      </c>
    </row>
    <row r="98" spans="14:19" ht="15.75">
      <c r="N98" s="246"/>
      <c r="O98" s="54" t="s">
        <v>263</v>
      </c>
      <c r="P98" s="54">
        <v>350</v>
      </c>
      <c r="Q98" s="54">
        <v>1620</v>
      </c>
      <c r="R98" s="54" t="s">
        <v>51</v>
      </c>
      <c r="S98" s="55">
        <v>12500</v>
      </c>
    </row>
    <row r="99" spans="14:19" ht="15.75">
      <c r="N99" s="246"/>
      <c r="O99" s="54" t="s">
        <v>264</v>
      </c>
      <c r="P99" s="54">
        <v>250</v>
      </c>
      <c r="Q99" s="54">
        <v>1950</v>
      </c>
      <c r="R99" s="54" t="s">
        <v>51</v>
      </c>
      <c r="S99" s="55">
        <v>15100</v>
      </c>
    </row>
    <row r="100" spans="14:19" ht="15.75">
      <c r="N100" s="246"/>
      <c r="O100" s="54" t="s">
        <v>258</v>
      </c>
      <c r="P100" s="54">
        <v>250</v>
      </c>
      <c r="Q100" s="54">
        <v>1337</v>
      </c>
      <c r="R100" s="54" t="s">
        <v>51</v>
      </c>
      <c r="S100" s="55">
        <v>10300</v>
      </c>
    </row>
    <row r="101" spans="14:19" ht="15.75">
      <c r="N101" s="246"/>
      <c r="O101" s="54" t="s">
        <v>265</v>
      </c>
      <c r="P101" s="54">
        <v>300</v>
      </c>
      <c r="Q101" s="54">
        <v>1570</v>
      </c>
      <c r="R101" s="54" t="s">
        <v>51</v>
      </c>
      <c r="S101" s="55">
        <v>12100</v>
      </c>
    </row>
    <row r="102" spans="14:19" ht="15.75">
      <c r="N102" s="246"/>
      <c r="O102" s="54">
        <v>483</v>
      </c>
      <c r="P102" s="54">
        <v>100</v>
      </c>
      <c r="Q102" s="54">
        <v>1600</v>
      </c>
      <c r="R102" s="54" t="s">
        <v>51</v>
      </c>
      <c r="S102" s="55">
        <v>12400</v>
      </c>
    </row>
    <row r="103" spans="14:19" ht="15.75">
      <c r="N103" s="246"/>
      <c r="O103" s="54">
        <v>752</v>
      </c>
      <c r="P103" s="54">
        <v>150</v>
      </c>
      <c r="Q103" s="54">
        <v>1797</v>
      </c>
      <c r="R103" s="54" t="s">
        <v>51</v>
      </c>
      <c r="S103" s="55">
        <v>13900</v>
      </c>
    </row>
    <row r="104" spans="14:19" ht="15.75">
      <c r="N104" s="246" t="s">
        <v>266</v>
      </c>
      <c r="O104" s="54" t="s">
        <v>261</v>
      </c>
      <c r="P104" s="54">
        <v>500</v>
      </c>
      <c r="Q104" s="54">
        <v>13600</v>
      </c>
      <c r="R104" s="54" t="s">
        <v>267</v>
      </c>
      <c r="S104" s="54">
        <v>13600</v>
      </c>
    </row>
    <row r="105" spans="14:19" ht="31.5">
      <c r="N105" s="246"/>
      <c r="O105" s="54" t="s">
        <v>268</v>
      </c>
      <c r="P105" s="54">
        <v>1200</v>
      </c>
      <c r="Q105" s="54">
        <v>12100</v>
      </c>
      <c r="R105" s="54" t="s">
        <v>267</v>
      </c>
      <c r="S105" s="54">
        <v>12100</v>
      </c>
    </row>
    <row r="106" spans="14:19" ht="31.5">
      <c r="N106" s="246"/>
      <c r="O106" s="54" t="s">
        <v>269</v>
      </c>
      <c r="P106" s="54">
        <v>90</v>
      </c>
      <c r="Q106" s="54">
        <v>14800</v>
      </c>
      <c r="R106" s="54" t="s">
        <v>267</v>
      </c>
      <c r="S106" s="54">
        <v>14800</v>
      </c>
    </row>
    <row r="107" spans="14:19" ht="15.75">
      <c r="N107" s="246"/>
      <c r="O107" s="54" t="s">
        <v>270</v>
      </c>
      <c r="P107" s="54">
        <v>0</v>
      </c>
      <c r="Q107" s="54">
        <v>13800</v>
      </c>
      <c r="R107" s="54" t="s">
        <v>267</v>
      </c>
      <c r="S107" s="54">
        <v>13800</v>
      </c>
    </row>
    <row r="108" spans="14:19" ht="15.75">
      <c r="N108" s="246"/>
      <c r="O108" s="54">
        <v>7558</v>
      </c>
      <c r="P108" s="54">
        <v>300</v>
      </c>
      <c r="Q108" s="54">
        <v>13700</v>
      </c>
      <c r="R108" s="54" t="s">
        <v>267</v>
      </c>
      <c r="S108" s="54">
        <v>13700</v>
      </c>
    </row>
    <row r="109" spans="14:19" ht="15.75">
      <c r="N109" s="246"/>
      <c r="O109" s="54">
        <v>694</v>
      </c>
      <c r="P109" s="54">
        <v>200</v>
      </c>
      <c r="Q109" s="54">
        <v>12500</v>
      </c>
      <c r="R109" s="54" t="s">
        <v>267</v>
      </c>
      <c r="S109" s="54">
        <v>12500</v>
      </c>
    </row>
    <row r="110" spans="14:19" ht="15.75">
      <c r="N110" s="246"/>
      <c r="O110" s="54">
        <v>690</v>
      </c>
      <c r="P110" s="54">
        <v>150</v>
      </c>
      <c r="Q110" s="54">
        <v>13200</v>
      </c>
      <c r="R110" s="54" t="s">
        <v>267</v>
      </c>
      <c r="S110" s="54">
        <v>13200</v>
      </c>
    </row>
    <row r="111" spans="14:19" ht="31.5">
      <c r="N111" s="246"/>
      <c r="O111" s="54" t="s">
        <v>271</v>
      </c>
      <c r="P111" s="54">
        <v>500</v>
      </c>
      <c r="Q111" s="54">
        <v>13700</v>
      </c>
      <c r="R111" s="54" t="s">
        <v>267</v>
      </c>
      <c r="S111" s="54">
        <v>13700</v>
      </c>
    </row>
    <row r="112" spans="14:19" ht="31.5">
      <c r="N112" s="246" t="s">
        <v>272</v>
      </c>
      <c r="O112" s="54" t="s">
        <v>273</v>
      </c>
      <c r="P112" s="54">
        <v>500</v>
      </c>
      <c r="Q112" s="54">
        <v>14200</v>
      </c>
      <c r="R112" s="54" t="s">
        <v>267</v>
      </c>
      <c r="S112" s="54">
        <v>14200</v>
      </c>
    </row>
    <row r="113" spans="14:19" ht="31.5">
      <c r="N113" s="246"/>
      <c r="O113" s="54" t="s">
        <v>274</v>
      </c>
      <c r="P113" s="54">
        <v>750</v>
      </c>
      <c r="Q113" s="54">
        <v>13700</v>
      </c>
      <c r="R113" s="54" t="s">
        <v>267</v>
      </c>
      <c r="S113" s="54">
        <v>13700</v>
      </c>
    </row>
  </sheetData>
  <autoFilter ref="A38:G62" xr:uid="{E4744C9D-5691-47B2-85BD-A1ECD91ECE0E}">
    <filterColumn colId="0">
      <customFilters>
        <customFilter operator="notEqual" val=" "/>
      </customFilters>
    </filterColumn>
  </autoFilter>
  <mergeCells count="10">
    <mergeCell ref="N94:N95"/>
    <mergeCell ref="N96:N103"/>
    <mergeCell ref="N104:N111"/>
    <mergeCell ref="N112:N113"/>
    <mergeCell ref="N92:N93"/>
    <mergeCell ref="O92:O93"/>
    <mergeCell ref="P92:P93"/>
    <mergeCell ref="Q92:Q93"/>
    <mergeCell ref="R92:R93"/>
    <mergeCell ref="S92:S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Nathany Lima Gonçalves Wojcik</cp:lastModifiedBy>
  <dcterms:created xsi:type="dcterms:W3CDTF">2023-06-19T11:40:59Z</dcterms:created>
  <dcterms:modified xsi:type="dcterms:W3CDTF">2026-06-26T19:45:53Z</dcterms:modified>
</cp:coreProperties>
</file>