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 ContentType="image/tiff"/>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omments5.xml" ContentType="application/vnd.openxmlformats-officedocument.spreadsheetml.comments+xml"/>
  <Override PartName="/xl/threadedComments/threadedComment1.xml" ContentType="application/vnd.ms-excel.threadedcomments+xml"/>
  <Override PartName="/xl/comments6.xml" ContentType="application/vnd.openxmlformats-officedocument.spreadsheetml.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Z:\workspace\EquipTestingSpreadsheets\"/>
    </mc:Choice>
  </mc:AlternateContent>
  <xr:revisionPtr revIDLastSave="0" documentId="13_ncr:1_{443D5BC2-4BEB-4A67-997E-6D5241C5453F}" xr6:coauthVersionLast="47" xr6:coauthVersionMax="47" xr10:uidLastSave="{00000000-0000-0000-0000-000000000000}"/>
  <bookViews>
    <workbookView xWindow="-108" yWindow="-108" windowWidth="23256" windowHeight="13176" firstSheet="1" activeTab="5" xr2:uid="{41355C61-816C-48D3-867C-1A38DA9B966D}"/>
  </bookViews>
  <sheets>
    <sheet name="QC Test Summary-Hologic" sheetId="1" r:id="rId1"/>
    <sheet name="Tech QC Eval-Hologic" sheetId="2" r:id="rId2"/>
    <sheet name="SBB QC Test Summary" sheetId="3" r:id="rId3"/>
    <sheet name="SBB Tech QC Eval" sheetId="4" r:id="rId4"/>
    <sheet name="MQSA Requirements" sheetId="5" r:id="rId5"/>
    <sheet name="Sheet1" sheetId="6" r:id="rId6"/>
    <sheet name="Sheet2" sheetId="7" r:id="rId7"/>
    <sheet name="Tables" sheetId="8" r:id="rId8"/>
    <sheet name="DataPage" sheetId="9" r:id="rId9"/>
    <sheet name="Corrected kV" sheetId="10" r:id="rId10"/>
    <sheet name="dropdowns" sheetId="11" r:id="rId11"/>
  </sheets>
  <definedNames>
    <definedName name="AEC_ImgQual">Sheet1!$B$205:$M$272</definedName>
    <definedName name="Artifact_Coll">Sheet1!$B$137:$M$204</definedName>
    <definedName name="FiberList">dropdowns!$A$11:$A$22</definedName>
    <definedName name="Gen_HVL">Sheet1!$B$409:$M$476</definedName>
    <definedName name="MGD">Sheet1!$B$341:$M$408</definedName>
    <definedName name="Model">dropdowns!$A$24:$A$27</definedName>
    <definedName name="NA">dropdowns!$A$6:$A$8</definedName>
    <definedName name="Page1">Sheet1!$B$1:$M$68</definedName>
    <definedName name="Page2">Sheet1!$B$69:$M$136</definedName>
    <definedName name="PF">dropdowns!$A$2:$A$3</definedName>
    <definedName name="_xlnm.Print_Area" localSheetId="4">'MQSA Requirements'!$A$1:$E$40</definedName>
    <definedName name="_xlnm.Print_Area" localSheetId="0">'QC Test Summary-Hologic'!$A$1:$N$48</definedName>
    <definedName name="_xlnm.Print_Area" localSheetId="2">'SBB QC Test Summary'!$A$1:$M$45</definedName>
    <definedName name="_xlnm.Print_Area" localSheetId="3">'SBB Tech QC Eval'!$A$1:$J$26</definedName>
    <definedName name="_xlnm.Print_Area" localSheetId="5">Sheet1!$B$1:$M$272,Sheet1!$B$341:$M$476</definedName>
    <definedName name="_xlnm.Print_Area" localSheetId="1">'Tech QC Eval-Hologic'!$A$1:$L$28</definedName>
    <definedName name="_xlnm.Print_Titles" localSheetId="4">'MQSA Requirements'!$9:$9</definedName>
    <definedName name="SBB">Sheet1!$B$273:$M$340</definedName>
    <definedName name="SpeckMassList">dropdowns!$A$13:$A$22</definedName>
    <definedName name="Z_667C12D2_B688_4218_94B0_4FC6FD6E2246_.wvu.PrintArea" localSheetId="4" hidden="1">'MQSA Requirements'!$A$1:$E$40</definedName>
    <definedName name="Z_667C12D2_B688_4218_94B0_4FC6FD6E2246_.wvu.PrintArea" localSheetId="0" hidden="1">'QC Test Summary-Hologic'!$A$1:$N$48</definedName>
    <definedName name="Z_667C12D2_B688_4218_94B0_4FC6FD6E2246_.wvu.PrintArea" localSheetId="2" hidden="1">'SBB QC Test Summary'!$A$1:$M$45</definedName>
    <definedName name="Z_667C12D2_B688_4218_94B0_4FC6FD6E2246_.wvu.PrintArea" localSheetId="3" hidden="1">'SBB Tech QC Eval'!$A$1:$J$26</definedName>
    <definedName name="Z_667C12D2_B688_4218_94B0_4FC6FD6E2246_.wvu.PrintArea" localSheetId="5" hidden="1">Sheet1!$B$1:$M$272,Sheet1!$B$341:$M$476</definedName>
    <definedName name="Z_667C12D2_B688_4218_94B0_4FC6FD6E2246_.wvu.PrintArea" localSheetId="1" hidden="1">'Tech QC Eval-Hologic'!$A$1:$L$28</definedName>
    <definedName name="Z_667C12D2_B688_4218_94B0_4FC6FD6E2246_.wvu.PrintTitles" localSheetId="4" hidden="1">'MQSA Requirements'!$9:$9</definedName>
  </definedNames>
  <calcPr calcId="191029"/>
  <customWorkbookViews>
    <customWorkbookView name="Eugene Mah - Personal View" guid="{667C12D2-B688-4218-94B0-4FC6FD6E2246}" mergeInterval="0" personalView="1" maximized="1" xWindow="-8" yWindow="-8" windowWidth="1382" windowHeight="784"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69" i="6" l="1"/>
  <c r="R169" i="6"/>
  <c r="Q169" i="6"/>
  <c r="P169" i="6"/>
  <c r="U169" i="6" s="1"/>
  <c r="V482" i="6"/>
  <c r="V481" i="6"/>
  <c r="U482" i="6"/>
  <c r="U481" i="6"/>
  <c r="T482" i="6"/>
  <c r="T481" i="6"/>
  <c r="S482" i="6"/>
  <c r="S481" i="6"/>
  <c r="R482" i="6"/>
  <c r="R481" i="6"/>
  <c r="Q482" i="6"/>
  <c r="Q481" i="6"/>
  <c r="X470" i="6"/>
  <c r="W470" i="6"/>
  <c r="V470" i="6"/>
  <c r="V469" i="6"/>
  <c r="U470" i="6"/>
  <c r="U469" i="6"/>
  <c r="T470" i="6"/>
  <c r="T469" i="6"/>
  <c r="S469" i="6"/>
  <c r="S470" i="6"/>
  <c r="Q470" i="6"/>
  <c r="Q473" i="6" s="1"/>
  <c r="R470" i="6"/>
  <c r="R469" i="6"/>
  <c r="Q469" i="6"/>
  <c r="X469" i="6"/>
  <c r="W469" i="6"/>
  <c r="V461" i="6"/>
  <c r="U461" i="6"/>
  <c r="V460" i="6"/>
  <c r="U460" i="6"/>
  <c r="V459" i="6"/>
  <c r="U459" i="6"/>
  <c r="T461" i="6"/>
  <c r="T460" i="6"/>
  <c r="T459" i="6"/>
  <c r="V458" i="6"/>
  <c r="U458" i="6"/>
  <c r="V457" i="6"/>
  <c r="U457" i="6"/>
  <c r="T458" i="6"/>
  <c r="T457" i="6"/>
  <c r="V446" i="6"/>
  <c r="U446" i="6"/>
  <c r="T446" i="6"/>
  <c r="V445" i="6"/>
  <c r="U445" i="6"/>
  <c r="T445" i="6"/>
  <c r="V444" i="6"/>
  <c r="U444" i="6"/>
  <c r="T444" i="6"/>
  <c r="V443" i="6"/>
  <c r="U443" i="6"/>
  <c r="T443" i="6"/>
  <c r="V405" i="6"/>
  <c r="U405" i="6"/>
  <c r="T405" i="6"/>
  <c r="V428" i="6"/>
  <c r="U428" i="6"/>
  <c r="T428" i="6"/>
  <c r="V427" i="6"/>
  <c r="U427" i="6"/>
  <c r="T427" i="6"/>
  <c r="V426" i="6"/>
  <c r="U426" i="6"/>
  <c r="T426" i="6"/>
  <c r="V425" i="6"/>
  <c r="U425" i="6"/>
  <c r="T425" i="6"/>
  <c r="V424" i="6"/>
  <c r="U424" i="6"/>
  <c r="T424" i="6"/>
  <c r="V423" i="6"/>
  <c r="U423" i="6"/>
  <c r="T423" i="6"/>
  <c r="V419" i="6"/>
  <c r="U419" i="6"/>
  <c r="T419" i="6"/>
  <c r="V418" i="6"/>
  <c r="U418" i="6"/>
  <c r="T418" i="6"/>
  <c r="V417" i="6"/>
  <c r="U417" i="6"/>
  <c r="T417" i="6"/>
  <c r="V416" i="6"/>
  <c r="U416" i="6"/>
  <c r="T416" i="6"/>
  <c r="V415" i="6"/>
  <c r="U415" i="6"/>
  <c r="T415" i="6"/>
  <c r="V414" i="6"/>
  <c r="U414" i="6"/>
  <c r="T414" i="6"/>
  <c r="V410" i="6"/>
  <c r="U410" i="6"/>
  <c r="T410" i="6"/>
  <c r="V409" i="6"/>
  <c r="U409" i="6"/>
  <c r="T409" i="6"/>
  <c r="V408" i="6"/>
  <c r="U408" i="6"/>
  <c r="T408" i="6"/>
  <c r="V407" i="6"/>
  <c r="U407" i="6"/>
  <c r="T407" i="6"/>
  <c r="V406" i="6"/>
  <c r="U406" i="6"/>
  <c r="T406" i="6"/>
  <c r="V404" i="6"/>
  <c r="U404" i="6"/>
  <c r="T404" i="6"/>
  <c r="V403" i="6"/>
  <c r="U403" i="6"/>
  <c r="T403" i="6"/>
  <c r="V402" i="6"/>
  <c r="U402" i="6"/>
  <c r="T402" i="6"/>
  <c r="X402" i="6"/>
  <c r="X359" i="6"/>
  <c r="X355" i="6"/>
  <c r="U359" i="6"/>
  <c r="U358" i="6"/>
  <c r="U357" i="6"/>
  <c r="U356" i="6"/>
  <c r="T359" i="6"/>
  <c r="T358" i="6"/>
  <c r="T357" i="6"/>
  <c r="T356" i="6"/>
  <c r="V492" i="6"/>
  <c r="V495" i="6" s="1"/>
  <c r="V491" i="6"/>
  <c r="V485" i="6"/>
  <c r="V479" i="6"/>
  <c r="V483" i="6" s="1"/>
  <c r="U492" i="6"/>
  <c r="U495" i="6" s="1"/>
  <c r="T492" i="6"/>
  <c r="T495" i="6" s="1"/>
  <c r="U491" i="6"/>
  <c r="T491" i="6"/>
  <c r="S492" i="6"/>
  <c r="S495" i="6" s="1"/>
  <c r="S491" i="6"/>
  <c r="R491" i="6"/>
  <c r="R492" i="6"/>
  <c r="R495" i="6" s="1"/>
  <c r="Q492" i="6"/>
  <c r="Q495" i="6" s="1"/>
  <c r="Q491" i="6"/>
  <c r="V489" i="6"/>
  <c r="V494" i="6" s="1"/>
  <c r="U489" i="6"/>
  <c r="U494" i="6" s="1"/>
  <c r="T489" i="6"/>
  <c r="T493" i="6" s="1"/>
  <c r="S489" i="6"/>
  <c r="S494" i="6" s="1"/>
  <c r="R489" i="6"/>
  <c r="R494" i="6" s="1"/>
  <c r="Q489" i="6"/>
  <c r="Q493" i="6" s="1"/>
  <c r="V437" i="6"/>
  <c r="U437" i="6"/>
  <c r="T437" i="6"/>
  <c r="S437" i="6"/>
  <c r="R437" i="6"/>
  <c r="Q437" i="6"/>
  <c r="P437" i="6"/>
  <c r="V436" i="6"/>
  <c r="U436" i="6"/>
  <c r="T436" i="6"/>
  <c r="S436" i="6"/>
  <c r="R436" i="6"/>
  <c r="Q436" i="6"/>
  <c r="P436" i="6"/>
  <c r="V435" i="6"/>
  <c r="W435" i="6" s="1"/>
  <c r="O101" i="8" s="1"/>
  <c r="U435" i="6"/>
  <c r="T435" i="6"/>
  <c r="S435" i="6"/>
  <c r="R435" i="6"/>
  <c r="Q435" i="6"/>
  <c r="P435" i="6"/>
  <c r="V434" i="6"/>
  <c r="U434" i="6"/>
  <c r="T434" i="6"/>
  <c r="S434" i="6"/>
  <c r="R434" i="6"/>
  <c r="Q434" i="6"/>
  <c r="P434" i="6"/>
  <c r="V433" i="6"/>
  <c r="U433" i="6"/>
  <c r="T433" i="6"/>
  <c r="S433" i="6"/>
  <c r="R433" i="6"/>
  <c r="Q433" i="6"/>
  <c r="P433" i="6"/>
  <c r="V432" i="6"/>
  <c r="U432" i="6"/>
  <c r="T432" i="6"/>
  <c r="S432" i="6"/>
  <c r="R432" i="6"/>
  <c r="Q432" i="6"/>
  <c r="M100" i="8" s="1"/>
  <c r="J114" i="8" s="1"/>
  <c r="P432" i="6"/>
  <c r="V27" i="6"/>
  <c r="S360" i="6"/>
  <c r="S361" i="6" s="1"/>
  <c r="R360" i="6"/>
  <c r="R361" i="6" s="1"/>
  <c r="Q360" i="6"/>
  <c r="Q361" i="6" s="1"/>
  <c r="X357" i="6"/>
  <c r="Q352" i="6"/>
  <c r="Q367" i="6"/>
  <c r="F116" i="8"/>
  <c r="C119" i="8"/>
  <c r="F117" i="8"/>
  <c r="X432" i="6" l="1"/>
  <c r="P98" i="8" s="1"/>
  <c r="V488" i="6"/>
  <c r="X434" i="6"/>
  <c r="P100" i="8" s="1"/>
  <c r="W432" i="6"/>
  <c r="O98" i="8" s="1"/>
  <c r="S488" i="6"/>
  <c r="X436" i="6"/>
  <c r="P102" i="8" s="1"/>
  <c r="M98" i="8"/>
  <c r="J112" i="8" s="1"/>
  <c r="Q488" i="6"/>
  <c r="U488" i="6"/>
  <c r="X433" i="6"/>
  <c r="P99" i="8" s="1"/>
  <c r="P107" i="8" s="1"/>
  <c r="X437" i="6"/>
  <c r="P103" i="8" s="1"/>
  <c r="T488" i="6"/>
  <c r="R488" i="6"/>
  <c r="L113" i="8"/>
  <c r="R493" i="6"/>
  <c r="L114" i="8"/>
  <c r="L115" i="8"/>
  <c r="L116" i="8"/>
  <c r="I117" i="8"/>
  <c r="M113" i="8"/>
  <c r="L112" i="8"/>
  <c r="T360" i="6"/>
  <c r="T361" i="6" s="1"/>
  <c r="L117" i="8"/>
  <c r="V484" i="6"/>
  <c r="V493" i="6"/>
  <c r="S493" i="6"/>
  <c r="Q494" i="6"/>
  <c r="T494" i="6"/>
  <c r="U493" i="6"/>
  <c r="W436" i="6"/>
  <c r="O102" i="8" s="1"/>
  <c r="X435" i="6"/>
  <c r="P101" i="8" s="1"/>
  <c r="W434" i="6"/>
  <c r="O100" i="8" s="1"/>
  <c r="W433" i="6"/>
  <c r="O99" i="8" s="1"/>
  <c r="W437" i="6"/>
  <c r="O103" i="8" s="1"/>
  <c r="AD43" i="6"/>
  <c r="AC43" i="6" s="1"/>
  <c r="U360" i="6"/>
  <c r="U479" i="6"/>
  <c r="T479" i="6"/>
  <c r="S479" i="6"/>
  <c r="R479" i="6"/>
  <c r="X467" i="6"/>
  <c r="W467" i="6"/>
  <c r="V467" i="6"/>
  <c r="U467" i="6"/>
  <c r="T467" i="6"/>
  <c r="R461" i="6"/>
  <c r="S461" i="6"/>
  <c r="C454" i="6" s="1"/>
  <c r="D454" i="6"/>
  <c r="W461" i="6"/>
  <c r="F454" i="6" s="1"/>
  <c r="R428" i="6"/>
  <c r="K424" i="6" s="1"/>
  <c r="S428" i="6"/>
  <c r="L424" i="6"/>
  <c r="W428" i="6"/>
  <c r="S427" i="6"/>
  <c r="R427" i="6"/>
  <c r="S426" i="6"/>
  <c r="R426" i="6"/>
  <c r="S425" i="6"/>
  <c r="R425" i="6"/>
  <c r="S424" i="6"/>
  <c r="R424" i="6"/>
  <c r="S419" i="6"/>
  <c r="R419" i="6"/>
  <c r="S418" i="6"/>
  <c r="R418" i="6"/>
  <c r="S417" i="6"/>
  <c r="R417" i="6"/>
  <c r="S416" i="6"/>
  <c r="R416" i="6"/>
  <c r="S415" i="6"/>
  <c r="R415" i="6"/>
  <c r="W409" i="6"/>
  <c r="D427" i="6"/>
  <c r="D426" i="6"/>
  <c r="S410" i="6"/>
  <c r="S409" i="6"/>
  <c r="R410" i="6"/>
  <c r="C427" i="6" s="1"/>
  <c r="R409" i="6"/>
  <c r="C426" i="6" s="1"/>
  <c r="O109" i="8" l="1"/>
  <c r="X419" i="6"/>
  <c r="P108" i="8"/>
  <c r="O108" i="8"/>
  <c r="P109" i="8"/>
  <c r="O107" i="8"/>
  <c r="X461" i="6"/>
  <c r="G454" i="6" s="1"/>
  <c r="L121" i="8"/>
  <c r="L122" i="8"/>
  <c r="L123" i="8"/>
  <c r="U361" i="6"/>
  <c r="X356" i="6"/>
  <c r="M424" i="6"/>
  <c r="E426" i="6"/>
  <c r="X409" i="6"/>
  <c r="X410" i="6"/>
  <c r="E454" i="6"/>
  <c r="E427" i="6"/>
  <c r="W419" i="6"/>
  <c r="W410" i="6"/>
  <c r="X428" i="6"/>
  <c r="T228" i="6"/>
  <c r="X358" i="6" l="1"/>
  <c r="X364" i="6" s="1"/>
  <c r="P172" i="6"/>
  <c r="AD94" i="6" l="1"/>
  <c r="AC94" i="6" s="1"/>
  <c r="X363" i="6"/>
  <c r="X360" i="6"/>
  <c r="T339" i="6"/>
  <c r="T338" i="6"/>
  <c r="T327" i="6"/>
  <c r="T326" i="6"/>
  <c r="X294" i="6"/>
  <c r="L50" i="6" l="1"/>
  <c r="M50" i="6" l="1"/>
  <c r="P44" i="6"/>
  <c r="E50" i="6" s="1"/>
  <c r="X387" i="6" l="1"/>
  <c r="X385" i="6"/>
  <c r="X296" i="6"/>
  <c r="X370" i="6"/>
  <c r="T386" i="6"/>
  <c r="U389" i="6"/>
  <c r="U388" i="6"/>
  <c r="U387" i="6"/>
  <c r="U386" i="6"/>
  <c r="U374" i="6"/>
  <c r="U373" i="6"/>
  <c r="U372" i="6"/>
  <c r="U371" i="6"/>
  <c r="U330" i="6"/>
  <c r="X341" i="6"/>
  <c r="X309" i="6"/>
  <c r="X329" i="6"/>
  <c r="U342" i="6" l="1"/>
  <c r="E131" i="8" l="1"/>
  <c r="D131" i="8"/>
  <c r="U345" i="6"/>
  <c r="U344" i="6"/>
  <c r="U343" i="6"/>
  <c r="U333" i="6"/>
  <c r="U332" i="6"/>
  <c r="U331" i="6"/>
  <c r="U310" i="6"/>
  <c r="U313" i="6"/>
  <c r="U312" i="6"/>
  <c r="U311" i="6"/>
  <c r="U298" i="6"/>
  <c r="U297" i="6"/>
  <c r="U296" i="6"/>
  <c r="U295" i="6"/>
  <c r="L37" i="3" l="1"/>
  <c r="J37" i="3"/>
  <c r="H37" i="3"/>
  <c r="Y265" i="6"/>
  <c r="X265" i="6"/>
  <c r="Y272" i="6"/>
  <c r="X272" i="6"/>
  <c r="Y271" i="6"/>
  <c r="X271" i="6"/>
  <c r="Y270" i="6"/>
  <c r="X270" i="6"/>
  <c r="Y269" i="6"/>
  <c r="X269" i="6"/>
  <c r="Y267" i="6"/>
  <c r="X267" i="6"/>
  <c r="Y266" i="6"/>
  <c r="X266" i="6"/>
  <c r="X263" i="6"/>
  <c r="K5" i="3"/>
  <c r="D329" i="6" l="1"/>
  <c r="D328" i="6"/>
  <c r="E327" i="6"/>
  <c r="E326" i="6"/>
  <c r="E325" i="6"/>
  <c r="E324" i="6"/>
  <c r="E323" i="6"/>
  <c r="E322" i="6"/>
  <c r="D327" i="6"/>
  <c r="D326" i="6"/>
  <c r="D325" i="6"/>
  <c r="D324" i="6"/>
  <c r="D323" i="6"/>
  <c r="D322" i="6"/>
  <c r="Y525" i="6"/>
  <c r="Y524" i="6"/>
  <c r="Y523" i="6"/>
  <c r="Y522" i="6"/>
  <c r="Y521" i="6"/>
  <c r="Y520" i="6"/>
  <c r="W525" i="6"/>
  <c r="W524" i="6"/>
  <c r="W523" i="6"/>
  <c r="W522" i="6"/>
  <c r="W521" i="6"/>
  <c r="W520" i="6"/>
  <c r="AD142" i="6"/>
  <c r="AC142" i="6" s="1"/>
  <c r="AD141" i="6"/>
  <c r="AC141" i="6" s="1"/>
  <c r="AD140" i="6"/>
  <c r="AD139" i="6"/>
  <c r="AC139" i="6" s="1"/>
  <c r="AD138" i="6"/>
  <c r="AC138" i="6" s="1"/>
  <c r="AD137" i="6"/>
  <c r="AC137" i="6" s="1"/>
  <c r="AD136" i="6"/>
  <c r="AC136" i="6" s="1"/>
  <c r="AD135" i="6"/>
  <c r="AC135" i="6" s="1"/>
  <c r="AD134" i="6"/>
  <c r="AC134" i="6" s="1"/>
  <c r="AD133" i="6"/>
  <c r="AC133" i="6" s="1"/>
  <c r="AD132" i="6"/>
  <c r="AC132" i="6" s="1"/>
  <c r="AD131" i="6"/>
  <c r="AC131" i="6" s="1"/>
  <c r="AD125" i="6"/>
  <c r="AC125" i="6" s="1"/>
  <c r="AC140" i="6"/>
  <c r="L295" i="6"/>
  <c r="E293" i="6"/>
  <c r="H307" i="6"/>
  <c r="H306" i="6"/>
  <c r="E307" i="6"/>
  <c r="Q338" i="6"/>
  <c r="Q382" i="6"/>
  <c r="E306" i="6" s="1"/>
  <c r="E292" i="6"/>
  <c r="Q326" i="6"/>
  <c r="X389" i="6"/>
  <c r="L313" i="6" s="1"/>
  <c r="X374" i="6"/>
  <c r="L299" i="6" s="1"/>
  <c r="X372" i="6"/>
  <c r="L297" i="6" s="1"/>
  <c r="G310" i="6"/>
  <c r="F310" i="6"/>
  <c r="G313" i="6"/>
  <c r="F313" i="6"/>
  <c r="E313" i="6"/>
  <c r="G312" i="6"/>
  <c r="F312" i="6"/>
  <c r="E312" i="6"/>
  <c r="G311" i="6"/>
  <c r="F311" i="6"/>
  <c r="E311" i="6"/>
  <c r="E310" i="6"/>
  <c r="H293" i="6"/>
  <c r="G296" i="6"/>
  <c r="F296" i="6"/>
  <c r="G299" i="6"/>
  <c r="F299" i="6"/>
  <c r="E299" i="6"/>
  <c r="G298" i="6"/>
  <c r="F298" i="6"/>
  <c r="E298" i="6"/>
  <c r="G297" i="6"/>
  <c r="F297" i="6"/>
  <c r="E297" i="6"/>
  <c r="E296" i="6"/>
  <c r="C305" i="6"/>
  <c r="C291" i="6"/>
  <c r="S390" i="6"/>
  <c r="S391" i="6" s="1"/>
  <c r="G315" i="6" s="1"/>
  <c r="R390" i="6"/>
  <c r="R391" i="6" s="1"/>
  <c r="F315" i="6" s="1"/>
  <c r="Q390" i="6"/>
  <c r="Q391" i="6" s="1"/>
  <c r="E315" i="6" s="1"/>
  <c r="I313" i="6"/>
  <c r="T389" i="6"/>
  <c r="H313" i="6" s="1"/>
  <c r="I312" i="6"/>
  <c r="T388" i="6"/>
  <c r="H312" i="6" s="1"/>
  <c r="I311" i="6"/>
  <c r="T387" i="6"/>
  <c r="H311" i="6" s="1"/>
  <c r="L309" i="6"/>
  <c r="S375" i="6"/>
  <c r="S376" i="6" s="1"/>
  <c r="G301" i="6" s="1"/>
  <c r="R375" i="6"/>
  <c r="F300" i="6" s="1"/>
  <c r="Q375" i="6"/>
  <c r="E300" i="6" s="1"/>
  <c r="I299" i="6"/>
  <c r="T374" i="6"/>
  <c r="H299" i="6" s="1"/>
  <c r="I298" i="6"/>
  <c r="T373" i="6"/>
  <c r="H298" i="6" s="1"/>
  <c r="I297" i="6"/>
  <c r="T372" i="6"/>
  <c r="I296" i="6"/>
  <c r="T371" i="6"/>
  <c r="H296" i="6" s="1"/>
  <c r="T390" i="6" l="1"/>
  <c r="T391" i="6" s="1"/>
  <c r="H315" i="6" s="1"/>
  <c r="T375" i="6"/>
  <c r="T376" i="6" s="1"/>
  <c r="H301" i="6" s="1"/>
  <c r="Q376" i="6"/>
  <c r="E301" i="6" s="1"/>
  <c r="H297" i="6"/>
  <c r="U390" i="6"/>
  <c r="R376" i="6"/>
  <c r="F301" i="6" s="1"/>
  <c r="H292" i="6"/>
  <c r="G314" i="6"/>
  <c r="F314" i="6"/>
  <c r="U375" i="6"/>
  <c r="G300" i="6"/>
  <c r="I310" i="6"/>
  <c r="E314" i="6"/>
  <c r="H310" i="6"/>
  <c r="L311" i="6"/>
  <c r="G281" i="6"/>
  <c r="J278" i="6"/>
  <c r="J223" i="6"/>
  <c r="J208" i="6"/>
  <c r="J207" i="6"/>
  <c r="I287" i="6"/>
  <c r="I286" i="6"/>
  <c r="I285" i="6"/>
  <c r="I284" i="6"/>
  <c r="I283" i="6"/>
  <c r="I282" i="6"/>
  <c r="I281" i="6"/>
  <c r="F281" i="6"/>
  <c r="E281" i="6"/>
  <c r="G287" i="6"/>
  <c r="F287" i="6"/>
  <c r="E287" i="6"/>
  <c r="D287" i="6"/>
  <c r="G286" i="6"/>
  <c r="F286" i="6"/>
  <c r="E286" i="6"/>
  <c r="D286" i="6"/>
  <c r="G285" i="6"/>
  <c r="D285" i="6"/>
  <c r="G284" i="6"/>
  <c r="D284" i="6"/>
  <c r="G283" i="6"/>
  <c r="D283" i="6"/>
  <c r="G282" i="6"/>
  <c r="F282" i="6"/>
  <c r="E282" i="6"/>
  <c r="D282" i="6"/>
  <c r="D281" i="6"/>
  <c r="G278" i="6"/>
  <c r="D278" i="6"/>
  <c r="U287" i="6"/>
  <c r="H287" i="6" s="1"/>
  <c r="U286" i="6"/>
  <c r="U285" i="6"/>
  <c r="H285" i="6" s="1"/>
  <c r="U284" i="6"/>
  <c r="U283" i="6"/>
  <c r="H283" i="6" s="1"/>
  <c r="U282" i="6"/>
  <c r="H282" i="6" s="1"/>
  <c r="U281" i="6"/>
  <c r="U251" i="6"/>
  <c r="H226" i="6" s="1"/>
  <c r="R283" i="6"/>
  <c r="R284" i="6" s="1"/>
  <c r="R285" i="6" s="1"/>
  <c r="F285" i="6" s="1"/>
  <c r="Q283" i="6"/>
  <c r="Q284" i="6" s="1"/>
  <c r="H300" i="6" l="1"/>
  <c r="H314" i="6"/>
  <c r="E283" i="6"/>
  <c r="U376" i="6"/>
  <c r="I301" i="6" s="1"/>
  <c r="X371" i="6"/>
  <c r="I314" i="6"/>
  <c r="X386" i="6"/>
  <c r="X388" i="6" s="1"/>
  <c r="X393" i="6" s="1"/>
  <c r="U391" i="6"/>
  <c r="I315" i="6" s="1"/>
  <c r="I300" i="6"/>
  <c r="U288" i="6"/>
  <c r="W285" i="6" s="1"/>
  <c r="J285" i="6" s="1"/>
  <c r="Q285" i="6"/>
  <c r="E285" i="6" s="1"/>
  <c r="E284" i="6"/>
  <c r="H284" i="6"/>
  <c r="H281" i="6"/>
  <c r="H286" i="6"/>
  <c r="F283" i="6"/>
  <c r="F284" i="6"/>
  <c r="G247" i="6"/>
  <c r="G246" i="6"/>
  <c r="G245" i="6"/>
  <c r="G244" i="6"/>
  <c r="G242" i="6"/>
  <c r="G241" i="6"/>
  <c r="G240" i="6"/>
  <c r="L310" i="6" l="1"/>
  <c r="L316" i="6"/>
  <c r="X390" i="6"/>
  <c r="L314" i="6" s="1"/>
  <c r="X394" i="6"/>
  <c r="L317" i="6" s="1"/>
  <c r="AD96" i="6"/>
  <c r="AC96" i="6" s="1"/>
  <c r="L312" i="6"/>
  <c r="L296" i="6"/>
  <c r="X373" i="6"/>
  <c r="H288" i="6"/>
  <c r="W284" i="6"/>
  <c r="J284" i="6" s="1"/>
  <c r="W282" i="6"/>
  <c r="J282" i="6" s="1"/>
  <c r="W287" i="6"/>
  <c r="J287" i="6" s="1"/>
  <c r="W281" i="6"/>
  <c r="W283" i="6"/>
  <c r="J283" i="6" s="1"/>
  <c r="W286" i="6"/>
  <c r="J286" i="6" s="1"/>
  <c r="U243" i="6"/>
  <c r="H218" i="6" s="1"/>
  <c r="K33" i="3" l="1"/>
  <c r="X378" i="6"/>
  <c r="L302" i="6" s="1"/>
  <c r="AD95" i="6"/>
  <c r="AC95" i="6" s="1"/>
  <c r="L298" i="6"/>
  <c r="X379" i="6"/>
  <c r="L303" i="6" s="1"/>
  <c r="X375" i="6"/>
  <c r="L300" i="6" s="1"/>
  <c r="W288" i="6"/>
  <c r="J288" i="6" s="1"/>
  <c r="J281" i="6"/>
  <c r="U272" i="6"/>
  <c r="F247" i="6" s="1"/>
  <c r="U271" i="6"/>
  <c r="F246" i="6" s="1"/>
  <c r="U270" i="6"/>
  <c r="F245" i="6" s="1"/>
  <c r="U269" i="6"/>
  <c r="F244" i="6" s="1"/>
  <c r="U267" i="6"/>
  <c r="F242" i="6" s="1"/>
  <c r="U266" i="6"/>
  <c r="F241" i="6" s="1"/>
  <c r="U265" i="6"/>
  <c r="F240" i="6" s="1"/>
  <c r="J165" i="6"/>
  <c r="I165" i="6"/>
  <c r="H165" i="6"/>
  <c r="G165" i="6"/>
  <c r="F165" i="6"/>
  <c r="E165" i="6"/>
  <c r="U257" i="6" l="1"/>
  <c r="H232" i="6" s="1"/>
  <c r="U256" i="6"/>
  <c r="H231" i="6" s="1"/>
  <c r="U255" i="6"/>
  <c r="H230" i="6" s="1"/>
  <c r="U254" i="6"/>
  <c r="H229" i="6" s="1"/>
  <c r="U253" i="6"/>
  <c r="H228" i="6" s="1"/>
  <c r="U252" i="6"/>
  <c r="H227" i="6" s="1"/>
  <c r="U242" i="6"/>
  <c r="H217" i="6" s="1"/>
  <c r="U241" i="6"/>
  <c r="H216" i="6" s="1"/>
  <c r="U240" i="6"/>
  <c r="H215" i="6" s="1"/>
  <c r="U239" i="6"/>
  <c r="H214" i="6" s="1"/>
  <c r="U238" i="6"/>
  <c r="H213" i="6" s="1"/>
  <c r="U237" i="6"/>
  <c r="H212" i="6" s="1"/>
  <c r="U236" i="6"/>
  <c r="H211" i="6" l="1"/>
  <c r="U244" i="6"/>
  <c r="U533" i="6"/>
  <c r="T533" i="6"/>
  <c r="U532" i="6"/>
  <c r="T532" i="6"/>
  <c r="AF298" i="6"/>
  <c r="AE298" i="6"/>
  <c r="AF297" i="6"/>
  <c r="AE297" i="6"/>
  <c r="AF296" i="6"/>
  <c r="AE296" i="6"/>
  <c r="AF295" i="6"/>
  <c r="AE295" i="6"/>
  <c r="Q479" i="6" l="1"/>
  <c r="S467" i="6"/>
  <c r="R467" i="6"/>
  <c r="Q467" i="6"/>
  <c r="C120" i="8" l="1"/>
  <c r="C106" i="8"/>
  <c r="D106" i="8"/>
  <c r="D105" i="8"/>
  <c r="C105" i="8"/>
  <c r="I35" i="1"/>
  <c r="H35" i="1"/>
  <c r="G35" i="1"/>
  <c r="I34" i="1"/>
  <c r="H34" i="1"/>
  <c r="G34" i="1"/>
  <c r="V153" i="6" l="1"/>
  <c r="U153" i="6"/>
  <c r="T153" i="6"/>
  <c r="S153" i="6"/>
  <c r="R153" i="6"/>
  <c r="Q153" i="6"/>
  <c r="V147" i="6"/>
  <c r="U147" i="6"/>
  <c r="T147" i="6"/>
  <c r="S147" i="6"/>
  <c r="R147" i="6"/>
  <c r="V146" i="6"/>
  <c r="U146" i="6"/>
  <c r="T146" i="6"/>
  <c r="S146" i="6"/>
  <c r="R146" i="6"/>
  <c r="Q147" i="6"/>
  <c r="Q146" i="6"/>
  <c r="V145" i="6"/>
  <c r="AL147" i="6" s="1"/>
  <c r="U145" i="6"/>
  <c r="AK147" i="6" s="1"/>
  <c r="T145" i="6"/>
  <c r="AJ147" i="6" s="1"/>
  <c r="S145" i="6"/>
  <c r="AI147" i="6" s="1"/>
  <c r="R145" i="6"/>
  <c r="AH147" i="6" s="1"/>
  <c r="Q145" i="6"/>
  <c r="AG147" i="6" s="1"/>
  <c r="D475" i="6"/>
  <c r="M410" i="6"/>
  <c r="M409" i="6"/>
  <c r="AH150" i="6" l="1"/>
  <c r="AH151" i="6"/>
  <c r="AH149" i="6"/>
  <c r="AH152" i="6"/>
  <c r="AH148" i="6"/>
  <c r="R154" i="6" s="1"/>
  <c r="AL150" i="6"/>
  <c r="AL151" i="6"/>
  <c r="AL148" i="6"/>
  <c r="V154" i="6" s="1"/>
  <c r="AL149" i="6"/>
  <c r="AL152" i="6"/>
  <c r="AI148" i="6"/>
  <c r="S154" i="6" s="1"/>
  <c r="AI149" i="6"/>
  <c r="AI150" i="6"/>
  <c r="AI152" i="6"/>
  <c r="AI151" i="6"/>
  <c r="AJ150" i="6"/>
  <c r="AJ151" i="6"/>
  <c r="AJ152" i="6"/>
  <c r="AJ148" i="6"/>
  <c r="AJ149" i="6"/>
  <c r="AG150" i="6"/>
  <c r="AG149" i="6"/>
  <c r="AG148" i="6"/>
  <c r="Q154" i="6" s="1"/>
  <c r="AG151" i="6"/>
  <c r="AG152" i="6"/>
  <c r="AK152" i="6"/>
  <c r="AK150" i="6"/>
  <c r="AK151" i="6"/>
  <c r="AK148" i="6"/>
  <c r="U154" i="6" s="1"/>
  <c r="AK149" i="6"/>
  <c r="T154" i="6"/>
  <c r="G166" i="6" l="1"/>
  <c r="S155" i="6"/>
  <c r="G167" i="6" s="1"/>
  <c r="R155" i="6"/>
  <c r="F167" i="6" s="1"/>
  <c r="F166" i="6"/>
  <c r="U155" i="6"/>
  <c r="I167" i="6" s="1"/>
  <c r="I166" i="6"/>
  <c r="V155" i="6"/>
  <c r="J167" i="6" s="1"/>
  <c r="J166" i="6"/>
  <c r="Q155" i="6"/>
  <c r="E167" i="6" s="1"/>
  <c r="E166" i="6"/>
  <c r="H166" i="6"/>
  <c r="T155" i="6"/>
  <c r="H167" i="6" s="1"/>
  <c r="E7" i="5" l="1"/>
  <c r="B3" i="5"/>
  <c r="K5" i="1" l="1"/>
  <c r="E4" i="9" l="1"/>
  <c r="E5" i="9"/>
  <c r="E6" i="9"/>
  <c r="E37" i="9"/>
  <c r="C112" i="8"/>
  <c r="C113" i="8"/>
  <c r="F115" i="8"/>
  <c r="F114" i="8"/>
  <c r="F113" i="8"/>
  <c r="F112" i="8"/>
  <c r="C117" i="8"/>
  <c r="C115" i="8"/>
  <c r="H251" i="6"/>
  <c r="H252" i="6"/>
  <c r="H253" i="6"/>
  <c r="H254" i="6"/>
  <c r="H255" i="6"/>
  <c r="T227" i="6"/>
  <c r="B40" i="9"/>
  <c r="B4" i="9"/>
  <c r="B5" i="9"/>
  <c r="B6" i="9"/>
  <c r="I15" i="9"/>
  <c r="I14" i="9"/>
  <c r="I13" i="9"/>
  <c r="I12" i="9"/>
  <c r="F15" i="9"/>
  <c r="I11" i="9"/>
  <c r="F121" i="8" l="1"/>
  <c r="F122" i="8"/>
  <c r="F123" i="8"/>
  <c r="C118" i="8"/>
  <c r="C116" i="8"/>
  <c r="C114" i="8"/>
  <c r="F14" i="9"/>
  <c r="C17" i="9"/>
  <c r="C15" i="9"/>
  <c r="C16" i="9"/>
  <c r="C14" i="9"/>
  <c r="C13" i="9"/>
  <c r="C12" i="9"/>
  <c r="C11" i="9"/>
  <c r="C121" i="8" l="1"/>
  <c r="C123" i="8"/>
  <c r="C122" i="8"/>
  <c r="G131" i="8" l="1"/>
  <c r="X331" i="6" s="1"/>
  <c r="H131" i="8" l="1"/>
  <c r="C18" i="10"/>
  <c r="C12" i="10"/>
  <c r="C35" i="9"/>
  <c r="K460" i="6"/>
  <c r="F468" i="6"/>
  <c r="C29" i="9"/>
  <c r="C25" i="9"/>
  <c r="R483" i="6"/>
  <c r="E470" i="6" s="1"/>
  <c r="C24" i="9"/>
  <c r="C31" i="9"/>
  <c r="H460" i="6"/>
  <c r="D460" i="6"/>
  <c r="C4" i="9"/>
  <c r="D4" i="9"/>
  <c r="C5" i="9"/>
  <c r="D5" i="9"/>
  <c r="C6" i="9"/>
  <c r="D6" i="9"/>
  <c r="B36" i="9"/>
  <c r="C36" i="9"/>
  <c r="D36" i="9"/>
  <c r="B37" i="9"/>
  <c r="C37" i="9"/>
  <c r="D37" i="9"/>
  <c r="B38" i="9"/>
  <c r="C38" i="9"/>
  <c r="B39" i="9"/>
  <c r="C39" i="9"/>
  <c r="L423" i="6"/>
  <c r="L422" i="6"/>
  <c r="L420" i="6"/>
  <c r="L419" i="6"/>
  <c r="H423" i="6"/>
  <c r="H421" i="6"/>
  <c r="H420" i="6"/>
  <c r="H419" i="6"/>
  <c r="AD163" i="6"/>
  <c r="AC163" i="6" s="1"/>
  <c r="AD161" i="6"/>
  <c r="AC161" i="6" s="1"/>
  <c r="AD159" i="6"/>
  <c r="AC159" i="6" s="1"/>
  <c r="AD157" i="6"/>
  <c r="AC157" i="6" s="1"/>
  <c r="AD155" i="6"/>
  <c r="AC155" i="6" s="1"/>
  <c r="AD153" i="6"/>
  <c r="AC153" i="6" s="1"/>
  <c r="AD151" i="6"/>
  <c r="AC151" i="6" s="1"/>
  <c r="AD149" i="6"/>
  <c r="AC149" i="6" s="1"/>
  <c r="AD147" i="6"/>
  <c r="AC147" i="6" s="1"/>
  <c r="AD130" i="6"/>
  <c r="AC130" i="6" s="1"/>
  <c r="AD129" i="6"/>
  <c r="AC129" i="6" s="1"/>
  <c r="AD128" i="6"/>
  <c r="AC128" i="6" s="1"/>
  <c r="AD127" i="6"/>
  <c r="AC127" i="6" s="1"/>
  <c r="AD126" i="6"/>
  <c r="AC126" i="6" s="1"/>
  <c r="AD124" i="6"/>
  <c r="AC124" i="6" s="1"/>
  <c r="AD123" i="6"/>
  <c r="AC123" i="6" s="1"/>
  <c r="AD122" i="6"/>
  <c r="AC122" i="6" s="1"/>
  <c r="AD121" i="6"/>
  <c r="AC121" i="6" s="1"/>
  <c r="AD120" i="6"/>
  <c r="AC120" i="6" s="1"/>
  <c r="AD119" i="6"/>
  <c r="AC119" i="6" s="1"/>
  <c r="AD118" i="6"/>
  <c r="AC118" i="6" s="1"/>
  <c r="AD117" i="6"/>
  <c r="AC117" i="6" s="1"/>
  <c r="AD116" i="6"/>
  <c r="AC116" i="6" s="1"/>
  <c r="AD111" i="6"/>
  <c r="AC111" i="6" s="1"/>
  <c r="AD110" i="6"/>
  <c r="AC110" i="6" s="1"/>
  <c r="AD109" i="6"/>
  <c r="AC109" i="6" s="1"/>
  <c r="AD107" i="6"/>
  <c r="AC107" i="6" s="1"/>
  <c r="AD106" i="6"/>
  <c r="AC106" i="6" s="1"/>
  <c r="AD105" i="6"/>
  <c r="AC105" i="6" s="1"/>
  <c r="AD100" i="6"/>
  <c r="AC100" i="6" s="1"/>
  <c r="AA100" i="6"/>
  <c r="AD99" i="6"/>
  <c r="AC99" i="6" s="1"/>
  <c r="AA99" i="6"/>
  <c r="AD98" i="6"/>
  <c r="AC98" i="6" s="1"/>
  <c r="AA98" i="6"/>
  <c r="AD8" i="6"/>
  <c r="AC8" i="6" s="1"/>
  <c r="AD7" i="6"/>
  <c r="AC7" i="6" s="1"/>
  <c r="AA3" i="6"/>
  <c r="R559" i="6"/>
  <c r="S558" i="6"/>
  <c r="R557" i="6"/>
  <c r="S556" i="6"/>
  <c r="R555" i="6"/>
  <c r="S554" i="6"/>
  <c r="R553" i="6"/>
  <c r="S552" i="6"/>
  <c r="R551" i="6"/>
  <c r="S550" i="6"/>
  <c r="R549" i="6"/>
  <c r="S548" i="6"/>
  <c r="R547" i="6"/>
  <c r="S546" i="6"/>
  <c r="R545" i="6"/>
  <c r="S544" i="6"/>
  <c r="R543" i="6"/>
  <c r="S542" i="6"/>
  <c r="U537" i="6"/>
  <c r="T537" i="6"/>
  <c r="D38" i="1" s="1"/>
  <c r="U536" i="6"/>
  <c r="I401" i="6" s="1"/>
  <c r="T536" i="6"/>
  <c r="H401" i="6" s="1"/>
  <c r="Q533" i="6"/>
  <c r="E401" i="6" s="1"/>
  <c r="Q532" i="6"/>
  <c r="E400" i="6" s="1"/>
  <c r="U525" i="6"/>
  <c r="S525" i="6"/>
  <c r="Q525" i="6"/>
  <c r="U524" i="6"/>
  <c r="S524" i="6"/>
  <c r="Q524" i="6"/>
  <c r="U523" i="6"/>
  <c r="S523" i="6"/>
  <c r="Q523" i="6"/>
  <c r="U522" i="6"/>
  <c r="S522" i="6"/>
  <c r="Q522" i="6"/>
  <c r="P522" i="6"/>
  <c r="AD115" i="6" s="1"/>
  <c r="AC115" i="6" s="1"/>
  <c r="U521" i="6"/>
  <c r="S521" i="6"/>
  <c r="Q521" i="6"/>
  <c r="P521" i="6"/>
  <c r="AD114" i="6" s="1"/>
  <c r="AC114" i="6" s="1"/>
  <c r="U520" i="6"/>
  <c r="S520" i="6"/>
  <c r="Q520" i="6"/>
  <c r="P520" i="6"/>
  <c r="AD113" i="6" s="1"/>
  <c r="AC113" i="6" s="1"/>
  <c r="R509" i="6"/>
  <c r="Q509" i="6"/>
  <c r="E265" i="6" s="1"/>
  <c r="R508" i="6"/>
  <c r="U507" i="6"/>
  <c r="R507" i="6"/>
  <c r="V506" i="6"/>
  <c r="R506" i="6"/>
  <c r="V505" i="6"/>
  <c r="R505" i="6"/>
  <c r="Q505" i="6"/>
  <c r="AD104" i="6" s="1"/>
  <c r="AC104" i="6" s="1"/>
  <c r="V504" i="6"/>
  <c r="R504" i="6"/>
  <c r="Q504" i="6"/>
  <c r="AD103" i="6" s="1"/>
  <c r="AC103" i="6" s="1"/>
  <c r="D407" i="6"/>
  <c r="O463" i="6"/>
  <c r="D453" i="6"/>
  <c r="S460" i="6"/>
  <c r="C453" i="6" s="1"/>
  <c r="R460" i="6"/>
  <c r="W459" i="6"/>
  <c r="F452" i="6" s="1"/>
  <c r="D452" i="6"/>
  <c r="S459" i="6"/>
  <c r="C452" i="6" s="1"/>
  <c r="R459" i="6"/>
  <c r="S458" i="6"/>
  <c r="C451" i="6" s="1"/>
  <c r="R458" i="6"/>
  <c r="E450" i="6"/>
  <c r="D450" i="6"/>
  <c r="S457" i="6"/>
  <c r="C450" i="6" s="1"/>
  <c r="R457" i="6"/>
  <c r="X450" i="6"/>
  <c r="W450" i="6"/>
  <c r="E438" i="6"/>
  <c r="D438" i="6"/>
  <c r="S446" i="6"/>
  <c r="R446" i="6"/>
  <c r="E437" i="6"/>
  <c r="D437" i="6"/>
  <c r="S445" i="6"/>
  <c r="R445" i="6"/>
  <c r="D436" i="6"/>
  <c r="S444" i="6"/>
  <c r="R444" i="6"/>
  <c r="S443" i="6"/>
  <c r="D432" i="6" s="1"/>
  <c r="R443" i="6"/>
  <c r="C435" i="6" s="1"/>
  <c r="W427" i="6"/>
  <c r="W425" i="6"/>
  <c r="L421" i="6"/>
  <c r="W424" i="6"/>
  <c r="K99" i="8" s="1"/>
  <c r="W423" i="6"/>
  <c r="K98" i="8" s="1"/>
  <c r="S423" i="6"/>
  <c r="L416" i="6" s="1"/>
  <c r="R423" i="6"/>
  <c r="I412" i="6"/>
  <c r="D412" i="6"/>
  <c r="I411" i="6"/>
  <c r="D411" i="6"/>
  <c r="G103" i="8"/>
  <c r="H424" i="6"/>
  <c r="M342" i="6"/>
  <c r="W418" i="6"/>
  <c r="M341" i="6"/>
  <c r="W417" i="6"/>
  <c r="G101" i="8" s="1"/>
  <c r="H422" i="6"/>
  <c r="D339" i="6"/>
  <c r="S414" i="6"/>
  <c r="H416" i="6" s="1"/>
  <c r="R414" i="6"/>
  <c r="E403" i="6"/>
  <c r="E402" i="6"/>
  <c r="D425" i="6"/>
  <c r="S408" i="6"/>
  <c r="R408" i="6"/>
  <c r="X407" i="6"/>
  <c r="D103" i="8" s="1"/>
  <c r="D424" i="6"/>
  <c r="S407" i="6"/>
  <c r="W407" i="6" s="1"/>
  <c r="C103" i="8" s="1"/>
  <c r="R407" i="6"/>
  <c r="W406" i="6"/>
  <c r="D423" i="6"/>
  <c r="S406" i="6"/>
  <c r="R406" i="6"/>
  <c r="D422" i="6"/>
  <c r="S405" i="6"/>
  <c r="R405" i="6"/>
  <c r="D421" i="6"/>
  <c r="S404" i="6"/>
  <c r="R404" i="6"/>
  <c r="D420" i="6"/>
  <c r="S403" i="6"/>
  <c r="R403" i="6"/>
  <c r="W402" i="6"/>
  <c r="C98" i="8" s="1"/>
  <c r="D419" i="6"/>
  <c r="S402" i="6"/>
  <c r="D416" i="6" s="1"/>
  <c r="R402" i="6"/>
  <c r="G390" i="6"/>
  <c r="F390" i="6"/>
  <c r="E390" i="6"/>
  <c r="G389" i="6"/>
  <c r="F389" i="6"/>
  <c r="E389" i="6"/>
  <c r="G388" i="6"/>
  <c r="F388" i="6"/>
  <c r="E388" i="6"/>
  <c r="X350" i="6"/>
  <c r="L396" i="6" s="1"/>
  <c r="G387" i="6"/>
  <c r="F387" i="6"/>
  <c r="E387" i="6"/>
  <c r="L385" i="6"/>
  <c r="E384" i="6"/>
  <c r="S346" i="6"/>
  <c r="G391" i="6" s="1"/>
  <c r="R346" i="6"/>
  <c r="F391" i="6" s="1"/>
  <c r="Q346" i="6"/>
  <c r="Q347" i="6" s="1"/>
  <c r="E392" i="6" s="1"/>
  <c r="X345" i="6"/>
  <c r="L390" i="6" s="1"/>
  <c r="T345" i="6"/>
  <c r="H390" i="6" s="1"/>
  <c r="T344" i="6"/>
  <c r="H389" i="6" s="1"/>
  <c r="T343" i="6"/>
  <c r="H388" i="6" s="1"/>
  <c r="T342" i="6"/>
  <c r="H387" i="6" s="1"/>
  <c r="G379" i="6"/>
  <c r="F379" i="6"/>
  <c r="E379" i="6"/>
  <c r="G378" i="6"/>
  <c r="F378" i="6"/>
  <c r="E378" i="6"/>
  <c r="G377" i="6"/>
  <c r="F377" i="6"/>
  <c r="E377" i="6"/>
  <c r="G376" i="6"/>
  <c r="F376" i="6"/>
  <c r="E376" i="6"/>
  <c r="L374" i="6"/>
  <c r="E373" i="6"/>
  <c r="S334" i="6"/>
  <c r="G380" i="6" s="1"/>
  <c r="R334" i="6"/>
  <c r="R335" i="6" s="1"/>
  <c r="F381" i="6" s="1"/>
  <c r="Q334" i="6"/>
  <c r="E380" i="6" s="1"/>
  <c r="C371" i="6"/>
  <c r="X333" i="6"/>
  <c r="L379" i="6" s="1"/>
  <c r="T333" i="6"/>
  <c r="H379" i="6" s="1"/>
  <c r="T332" i="6"/>
  <c r="H378" i="6" s="1"/>
  <c r="L377" i="6"/>
  <c r="T331" i="6"/>
  <c r="H377" i="6" s="1"/>
  <c r="T330" i="6"/>
  <c r="H376" i="6" s="1"/>
  <c r="L375" i="6"/>
  <c r="G365" i="6"/>
  <c r="F365" i="6"/>
  <c r="E365" i="6"/>
  <c r="G364" i="6"/>
  <c r="F364" i="6"/>
  <c r="E364" i="6"/>
  <c r="G363" i="6"/>
  <c r="F363" i="6"/>
  <c r="E363" i="6"/>
  <c r="G362" i="6"/>
  <c r="F362" i="6"/>
  <c r="E362" i="6"/>
  <c r="Q323" i="6"/>
  <c r="E372" i="6" s="1"/>
  <c r="H359" i="6"/>
  <c r="E359" i="6"/>
  <c r="H358" i="6"/>
  <c r="C357" i="6"/>
  <c r="S314" i="6"/>
  <c r="S315" i="6" s="1"/>
  <c r="G367" i="6" s="1"/>
  <c r="R314" i="6"/>
  <c r="F366" i="6" s="1"/>
  <c r="Q314" i="6"/>
  <c r="Q315" i="6" s="1"/>
  <c r="E367" i="6" s="1"/>
  <c r="G351" i="6"/>
  <c r="F351" i="6"/>
  <c r="E351" i="6"/>
  <c r="X313" i="6"/>
  <c r="L365" i="6" s="1"/>
  <c r="T313" i="6"/>
  <c r="H365" i="6" s="1"/>
  <c r="G350" i="6"/>
  <c r="F350" i="6"/>
  <c r="E350" i="6"/>
  <c r="T312" i="6"/>
  <c r="H364" i="6" s="1"/>
  <c r="G349" i="6"/>
  <c r="F349" i="6"/>
  <c r="E349" i="6"/>
  <c r="T311" i="6"/>
  <c r="G348" i="6"/>
  <c r="F348" i="6"/>
  <c r="E348" i="6"/>
  <c r="T310" i="6"/>
  <c r="H362" i="6" s="1"/>
  <c r="H345" i="6"/>
  <c r="E345" i="6"/>
  <c r="H344" i="6"/>
  <c r="E344" i="6"/>
  <c r="Q306" i="6"/>
  <c r="E358" i="6" s="1"/>
  <c r="C343" i="6"/>
  <c r="M274" i="6"/>
  <c r="M273" i="6"/>
  <c r="D271" i="6"/>
  <c r="S299" i="6"/>
  <c r="G352" i="6" s="1"/>
  <c r="R299" i="6"/>
  <c r="R300" i="6" s="1"/>
  <c r="F353" i="6" s="1"/>
  <c r="Q299" i="6"/>
  <c r="Q300" i="6" s="1"/>
  <c r="E353" i="6" s="1"/>
  <c r="L268" i="6"/>
  <c r="K268" i="6"/>
  <c r="E268" i="6"/>
  <c r="X298" i="6"/>
  <c r="L351" i="6" s="1"/>
  <c r="T298" i="6"/>
  <c r="H351" i="6" s="1"/>
  <c r="L267" i="6"/>
  <c r="K267" i="6"/>
  <c r="E267" i="6"/>
  <c r="T297" i="6"/>
  <c r="H350" i="6" s="1"/>
  <c r="L266" i="6"/>
  <c r="K266" i="6"/>
  <c r="I266" i="6"/>
  <c r="H266" i="6"/>
  <c r="G266" i="6"/>
  <c r="E266" i="6"/>
  <c r="T296" i="6"/>
  <c r="H349" i="6" s="1"/>
  <c r="L265" i="6"/>
  <c r="I265" i="6"/>
  <c r="H265" i="6"/>
  <c r="G265" i="6"/>
  <c r="T295" i="6"/>
  <c r="L264" i="6"/>
  <c r="K264" i="6"/>
  <c r="I264" i="6"/>
  <c r="H264" i="6"/>
  <c r="G264" i="6"/>
  <c r="E264" i="6"/>
  <c r="L263" i="6"/>
  <c r="K263" i="6"/>
  <c r="I263" i="6"/>
  <c r="H263" i="6"/>
  <c r="E263" i="6"/>
  <c r="L262" i="6"/>
  <c r="K262" i="6"/>
  <c r="I262" i="6"/>
  <c r="H262" i="6"/>
  <c r="E262" i="6"/>
  <c r="L261" i="6"/>
  <c r="I261" i="6"/>
  <c r="H261" i="6"/>
  <c r="E256" i="6"/>
  <c r="G255" i="6"/>
  <c r="F255" i="6"/>
  <c r="E255" i="6"/>
  <c r="G254" i="6"/>
  <c r="F254" i="6"/>
  <c r="E254" i="6"/>
  <c r="G253" i="6"/>
  <c r="F253" i="6"/>
  <c r="E253" i="6"/>
  <c r="G252" i="6"/>
  <c r="F252" i="6"/>
  <c r="E252" i="6"/>
  <c r="T268" i="6"/>
  <c r="G243" i="6" s="1"/>
  <c r="S268" i="6"/>
  <c r="R268" i="6"/>
  <c r="E243" i="6" s="1"/>
  <c r="G251" i="6"/>
  <c r="F251" i="6"/>
  <c r="E251" i="6"/>
  <c r="E247" i="6"/>
  <c r="D247" i="6"/>
  <c r="S263" i="6"/>
  <c r="G237" i="6" s="1"/>
  <c r="P263" i="6"/>
  <c r="D237" i="6" s="1"/>
  <c r="E246" i="6"/>
  <c r="D246" i="6"/>
  <c r="E245" i="6"/>
  <c r="D245" i="6"/>
  <c r="E244" i="6"/>
  <c r="D244" i="6"/>
  <c r="H243" i="6"/>
  <c r="D243" i="6"/>
  <c r="E242" i="6"/>
  <c r="D242" i="6"/>
  <c r="E241" i="6"/>
  <c r="D241" i="6"/>
  <c r="E240" i="6"/>
  <c r="D240" i="6"/>
  <c r="J237" i="6"/>
  <c r="R253" i="6"/>
  <c r="R254" i="6" s="1"/>
  <c r="Q253" i="6"/>
  <c r="Q254" i="6" s="1"/>
  <c r="I232" i="6"/>
  <c r="G232" i="6"/>
  <c r="F232" i="6"/>
  <c r="E232" i="6"/>
  <c r="D232" i="6"/>
  <c r="I231" i="6"/>
  <c r="G231" i="6"/>
  <c r="F231" i="6"/>
  <c r="E231" i="6"/>
  <c r="D231" i="6"/>
  <c r="I230" i="6"/>
  <c r="G230" i="6"/>
  <c r="D230" i="6"/>
  <c r="I229" i="6"/>
  <c r="G229" i="6"/>
  <c r="D229" i="6"/>
  <c r="I228" i="6"/>
  <c r="G228" i="6"/>
  <c r="D228" i="6"/>
  <c r="I227" i="6"/>
  <c r="G227" i="6"/>
  <c r="F227" i="6"/>
  <c r="E227" i="6"/>
  <c r="D227" i="6"/>
  <c r="I226" i="6"/>
  <c r="G226" i="6"/>
  <c r="F226" i="6"/>
  <c r="E226" i="6"/>
  <c r="D226" i="6"/>
  <c r="G223" i="6"/>
  <c r="D223" i="6"/>
  <c r="C222" i="6"/>
  <c r="R238" i="6"/>
  <c r="R239" i="6" s="1"/>
  <c r="Q238" i="6"/>
  <c r="Q239" i="6" s="1"/>
  <c r="H219" i="6"/>
  <c r="I218" i="6"/>
  <c r="G218" i="6"/>
  <c r="F218" i="6"/>
  <c r="E218" i="6"/>
  <c r="D218" i="6"/>
  <c r="I217" i="6"/>
  <c r="G217" i="6"/>
  <c r="F217" i="6"/>
  <c r="E217" i="6"/>
  <c r="D217" i="6"/>
  <c r="I216" i="6"/>
  <c r="G216" i="6"/>
  <c r="F216" i="6"/>
  <c r="E216" i="6"/>
  <c r="D216" i="6"/>
  <c r="I215" i="6"/>
  <c r="G215" i="6"/>
  <c r="D215" i="6"/>
  <c r="I214" i="6"/>
  <c r="G214" i="6"/>
  <c r="D214" i="6"/>
  <c r="I213" i="6"/>
  <c r="G213" i="6"/>
  <c r="D213" i="6"/>
  <c r="I212" i="6"/>
  <c r="G212" i="6"/>
  <c r="F212" i="6"/>
  <c r="E212" i="6"/>
  <c r="D212" i="6"/>
  <c r="S228" i="6"/>
  <c r="R228" i="6"/>
  <c r="Q228" i="6"/>
  <c r="I211" i="6"/>
  <c r="G211" i="6"/>
  <c r="F211" i="6"/>
  <c r="E211" i="6"/>
  <c r="D211" i="6"/>
  <c r="S227" i="6"/>
  <c r="R227" i="6"/>
  <c r="Q227" i="6"/>
  <c r="G208" i="6"/>
  <c r="D208" i="6"/>
  <c r="C207" i="6"/>
  <c r="M206" i="6"/>
  <c r="M205" i="6"/>
  <c r="D203" i="6"/>
  <c r="G174" i="6"/>
  <c r="F174" i="6"/>
  <c r="E174" i="6"/>
  <c r="D174" i="6"/>
  <c r="J164" i="6"/>
  <c r="I164" i="6"/>
  <c r="H164" i="6"/>
  <c r="G164" i="6"/>
  <c r="F164" i="6"/>
  <c r="E164" i="6"/>
  <c r="J163" i="6"/>
  <c r="I163" i="6"/>
  <c r="H163" i="6"/>
  <c r="G163" i="6"/>
  <c r="F163" i="6"/>
  <c r="E163" i="6"/>
  <c r="J162" i="6"/>
  <c r="I162" i="6"/>
  <c r="H162" i="6"/>
  <c r="G162" i="6"/>
  <c r="F162" i="6"/>
  <c r="E162" i="6"/>
  <c r="J161" i="6"/>
  <c r="I161" i="6"/>
  <c r="H161" i="6"/>
  <c r="G161" i="6"/>
  <c r="F161" i="6"/>
  <c r="E161" i="6"/>
  <c r="J160" i="6"/>
  <c r="I160" i="6"/>
  <c r="H160" i="6"/>
  <c r="G160" i="6"/>
  <c r="F160" i="6"/>
  <c r="E160" i="6"/>
  <c r="J159" i="6"/>
  <c r="I159" i="6"/>
  <c r="H159" i="6"/>
  <c r="G159" i="6"/>
  <c r="F159" i="6"/>
  <c r="E159" i="6"/>
  <c r="J158" i="6"/>
  <c r="I158" i="6"/>
  <c r="H158" i="6"/>
  <c r="G158" i="6"/>
  <c r="F158" i="6"/>
  <c r="E158" i="6"/>
  <c r="E155" i="6"/>
  <c r="E154" i="6"/>
  <c r="E153" i="6"/>
  <c r="O67" i="6"/>
  <c r="E152" i="6"/>
  <c r="E151" i="6"/>
  <c r="E150" i="6"/>
  <c r="E149" i="6"/>
  <c r="L148" i="6"/>
  <c r="K148" i="6"/>
  <c r="E148" i="6"/>
  <c r="L147" i="6"/>
  <c r="K147" i="6"/>
  <c r="Q162" i="6"/>
  <c r="H142" i="6"/>
  <c r="G142" i="6"/>
  <c r="F142" i="6"/>
  <c r="E142" i="6"/>
  <c r="H141" i="6"/>
  <c r="G141" i="6"/>
  <c r="F141" i="6"/>
  <c r="E141" i="6"/>
  <c r="M138" i="6"/>
  <c r="M137" i="6"/>
  <c r="D135" i="6"/>
  <c r="C132" i="6"/>
  <c r="C131" i="6"/>
  <c r="R130" i="6"/>
  <c r="F155" i="6" s="1"/>
  <c r="C130" i="6"/>
  <c r="R129" i="6"/>
  <c r="F154" i="6" s="1"/>
  <c r="C129" i="6"/>
  <c r="R128" i="6"/>
  <c r="F153" i="6" s="1"/>
  <c r="C128" i="6"/>
  <c r="R127" i="6"/>
  <c r="F152" i="6" s="1"/>
  <c r="C127" i="6"/>
  <c r="T126" i="6"/>
  <c r="H151" i="6" s="1"/>
  <c r="R126" i="6"/>
  <c r="F151" i="6" s="1"/>
  <c r="C126" i="6"/>
  <c r="T125" i="6"/>
  <c r="H150" i="6" s="1"/>
  <c r="R125" i="6"/>
  <c r="F150" i="6" s="1"/>
  <c r="C125" i="6"/>
  <c r="R124" i="6"/>
  <c r="F149" i="6" s="1"/>
  <c r="C124" i="6"/>
  <c r="R123" i="6"/>
  <c r="F148" i="6" s="1"/>
  <c r="C123" i="6"/>
  <c r="C122" i="6"/>
  <c r="C121" i="6"/>
  <c r="C120" i="6"/>
  <c r="C119" i="6"/>
  <c r="C118" i="6"/>
  <c r="C117" i="6"/>
  <c r="C116" i="6"/>
  <c r="C115" i="6"/>
  <c r="C114" i="6"/>
  <c r="C113" i="6"/>
  <c r="C112" i="6"/>
  <c r="C111" i="6"/>
  <c r="C110" i="6"/>
  <c r="C109" i="6"/>
  <c r="C108" i="6"/>
  <c r="C107" i="6"/>
  <c r="C106" i="6"/>
  <c r="M104" i="6"/>
  <c r="L104" i="6"/>
  <c r="X103" i="6"/>
  <c r="AD85" i="6" s="1"/>
  <c r="AC85" i="6" s="1"/>
  <c r="W103" i="6"/>
  <c r="AD84" i="6" s="1"/>
  <c r="AC84" i="6" s="1"/>
  <c r="V103" i="6"/>
  <c r="AD83" i="6" s="1"/>
  <c r="AC83" i="6" s="1"/>
  <c r="U103" i="6"/>
  <c r="AD72" i="6" s="1"/>
  <c r="AC72" i="6" s="1"/>
  <c r="T103" i="6"/>
  <c r="AD71" i="6" s="1"/>
  <c r="AC71" i="6" s="1"/>
  <c r="S103" i="6"/>
  <c r="AD70" i="6" s="1"/>
  <c r="AC70" i="6" s="1"/>
  <c r="R103" i="6"/>
  <c r="AD59" i="6" s="1"/>
  <c r="AC59" i="6" s="1"/>
  <c r="Q103" i="6"/>
  <c r="AD58" i="6" s="1"/>
  <c r="AC58" i="6" s="1"/>
  <c r="P103" i="6"/>
  <c r="AD57" i="6" s="1"/>
  <c r="AC57" i="6" s="1"/>
  <c r="M103" i="6"/>
  <c r="L103" i="6"/>
  <c r="X102" i="6"/>
  <c r="AD82" i="6" s="1"/>
  <c r="AC82" i="6" s="1"/>
  <c r="W102" i="6"/>
  <c r="AD81" i="6" s="1"/>
  <c r="AC81" i="6" s="1"/>
  <c r="V102" i="6"/>
  <c r="AD80" i="6" s="1"/>
  <c r="AC80" i="6" s="1"/>
  <c r="U102" i="6"/>
  <c r="I40" i="6" s="1"/>
  <c r="T102" i="6"/>
  <c r="AD68" i="6" s="1"/>
  <c r="AC68" i="6" s="1"/>
  <c r="S102" i="6"/>
  <c r="AD67" i="6" s="1"/>
  <c r="AC67" i="6" s="1"/>
  <c r="R102" i="6"/>
  <c r="AD56" i="6" s="1"/>
  <c r="AC56" i="6" s="1"/>
  <c r="Q102" i="6"/>
  <c r="P102" i="6"/>
  <c r="AD54" i="6" s="1"/>
  <c r="AC54" i="6" s="1"/>
  <c r="M102" i="6"/>
  <c r="L102" i="6"/>
  <c r="X101" i="6"/>
  <c r="AD79" i="6" s="1"/>
  <c r="AC79" i="6" s="1"/>
  <c r="W101" i="6"/>
  <c r="AD78" i="6" s="1"/>
  <c r="AC78" i="6" s="1"/>
  <c r="V101" i="6"/>
  <c r="AD77" i="6" s="1"/>
  <c r="AC77" i="6" s="1"/>
  <c r="U101" i="6"/>
  <c r="AD66" i="6" s="1"/>
  <c r="AC66" i="6" s="1"/>
  <c r="T101" i="6"/>
  <c r="AD65" i="6" s="1"/>
  <c r="AC65" i="6" s="1"/>
  <c r="S101" i="6"/>
  <c r="AD64" i="6" s="1"/>
  <c r="AC64" i="6" s="1"/>
  <c r="R101" i="6"/>
  <c r="AD53" i="6" s="1"/>
  <c r="AC53" i="6" s="1"/>
  <c r="Q101" i="6"/>
  <c r="AD52" i="6" s="1"/>
  <c r="AC52" i="6" s="1"/>
  <c r="P101" i="6"/>
  <c r="AD51" i="6" s="1"/>
  <c r="AC51" i="6" s="1"/>
  <c r="M101" i="6"/>
  <c r="L101" i="6"/>
  <c r="X100" i="6"/>
  <c r="AD76" i="6" s="1"/>
  <c r="AC76" i="6" s="1"/>
  <c r="W100" i="6"/>
  <c r="V100" i="6"/>
  <c r="AD74" i="6" s="1"/>
  <c r="AC74" i="6" s="1"/>
  <c r="U100" i="6"/>
  <c r="AD63" i="6" s="1"/>
  <c r="AC63" i="6" s="1"/>
  <c r="T100" i="6"/>
  <c r="AD62" i="6" s="1"/>
  <c r="AC62" i="6" s="1"/>
  <c r="S100" i="6"/>
  <c r="G38" i="6" s="1"/>
  <c r="R100" i="6"/>
  <c r="AD50" i="6" s="1"/>
  <c r="AC50" i="6" s="1"/>
  <c r="Q100" i="6"/>
  <c r="AD49" i="6" s="1"/>
  <c r="AC49" i="6" s="1"/>
  <c r="P100" i="6"/>
  <c r="AD48" i="6" s="1"/>
  <c r="AC48" i="6" s="1"/>
  <c r="M100" i="6"/>
  <c r="L100" i="6"/>
  <c r="M99" i="6"/>
  <c r="L99" i="6"/>
  <c r="M98" i="6"/>
  <c r="L98" i="6"/>
  <c r="M97" i="6"/>
  <c r="L97" i="6"/>
  <c r="M96" i="6"/>
  <c r="L96" i="6"/>
  <c r="M95" i="6"/>
  <c r="L95" i="6"/>
  <c r="M94" i="6"/>
  <c r="L94" i="6"/>
  <c r="M93" i="6"/>
  <c r="L93" i="6"/>
  <c r="M92" i="6"/>
  <c r="L92" i="6"/>
  <c r="M89" i="6"/>
  <c r="L89" i="6"/>
  <c r="M88" i="6"/>
  <c r="L88" i="6"/>
  <c r="M87" i="6"/>
  <c r="L87" i="6"/>
  <c r="M86" i="6"/>
  <c r="L86" i="6"/>
  <c r="M85" i="6"/>
  <c r="L85" i="6"/>
  <c r="M84" i="6"/>
  <c r="L84" i="6"/>
  <c r="M83" i="6"/>
  <c r="L83" i="6"/>
  <c r="M82" i="6"/>
  <c r="L82" i="6"/>
  <c r="M81" i="6"/>
  <c r="L81" i="6"/>
  <c r="O80" i="6"/>
  <c r="M91" i="6" s="1"/>
  <c r="M80" i="6"/>
  <c r="L80" i="6"/>
  <c r="O79" i="6"/>
  <c r="M90" i="6" s="1"/>
  <c r="M79" i="6"/>
  <c r="L79" i="6"/>
  <c r="M77" i="6"/>
  <c r="L77" i="6"/>
  <c r="M76" i="6"/>
  <c r="L76" i="6"/>
  <c r="M75" i="6"/>
  <c r="L75" i="6"/>
  <c r="M74" i="6"/>
  <c r="L74" i="6"/>
  <c r="M73" i="6"/>
  <c r="L73" i="6"/>
  <c r="M72" i="6"/>
  <c r="L72" i="6"/>
  <c r="M70" i="6"/>
  <c r="M69" i="6"/>
  <c r="D67" i="6"/>
  <c r="M64" i="6"/>
  <c r="L64" i="6"/>
  <c r="M63" i="6"/>
  <c r="L63" i="6"/>
  <c r="M62" i="6"/>
  <c r="L62" i="6"/>
  <c r="M61" i="6"/>
  <c r="L61" i="6"/>
  <c r="M60" i="6"/>
  <c r="L60" i="6"/>
  <c r="M59" i="6"/>
  <c r="L59" i="6"/>
  <c r="M57" i="6"/>
  <c r="L57" i="6"/>
  <c r="M56" i="6"/>
  <c r="L56" i="6"/>
  <c r="M55" i="6"/>
  <c r="L55" i="6"/>
  <c r="M54" i="6"/>
  <c r="L54" i="6"/>
  <c r="M53" i="6"/>
  <c r="L53" i="6"/>
  <c r="M52" i="6"/>
  <c r="L52" i="6"/>
  <c r="M49" i="6"/>
  <c r="L49" i="6"/>
  <c r="M48" i="6"/>
  <c r="L48" i="6"/>
  <c r="M47" i="6"/>
  <c r="L47" i="6"/>
  <c r="M46" i="6"/>
  <c r="L46" i="6"/>
  <c r="M45" i="6"/>
  <c r="L45" i="6"/>
  <c r="V34" i="6"/>
  <c r="AD45" i="6" s="1"/>
  <c r="AC45" i="6" s="1"/>
  <c r="V33" i="6"/>
  <c r="K29" i="6" s="1"/>
  <c r="R31" i="6"/>
  <c r="R30" i="6"/>
  <c r="F29" i="6" s="1"/>
  <c r="V30" i="6"/>
  <c r="R29" i="6"/>
  <c r="F28" i="6" s="1"/>
  <c r="V29" i="6"/>
  <c r="AD36" i="6" s="1"/>
  <c r="AC36" i="6" s="1"/>
  <c r="R27" i="6"/>
  <c r="AD32" i="6" s="1"/>
  <c r="AC32" i="6" s="1"/>
  <c r="V26" i="6"/>
  <c r="R26" i="6"/>
  <c r="AD31" i="6" s="1"/>
  <c r="AC31" i="6" s="1"/>
  <c r="V25" i="6"/>
  <c r="R25" i="6"/>
  <c r="AD30" i="6" s="1"/>
  <c r="AC30" i="6" s="1"/>
  <c r="V24" i="6"/>
  <c r="R23" i="6"/>
  <c r="AD29" i="6" s="1"/>
  <c r="AC29" i="6" s="1"/>
  <c r="V22" i="6"/>
  <c r="K22" i="6" s="1"/>
  <c r="R22" i="6"/>
  <c r="F21" i="6" s="1"/>
  <c r="V21" i="6"/>
  <c r="V19" i="6"/>
  <c r="AD26" i="6" s="1"/>
  <c r="AC26" i="6" s="1"/>
  <c r="R19" i="6"/>
  <c r="AD23" i="6" s="1"/>
  <c r="AC23" i="6" s="1"/>
  <c r="V18" i="6"/>
  <c r="R18" i="6"/>
  <c r="V17" i="6"/>
  <c r="R17" i="6"/>
  <c r="V14" i="6"/>
  <c r="AD19" i="6" s="1"/>
  <c r="AC19" i="6" s="1"/>
  <c r="R14" i="6"/>
  <c r="K7" i="3" s="1"/>
  <c r="V13" i="6"/>
  <c r="K13" i="6" s="1"/>
  <c r="R13" i="6"/>
  <c r="V12" i="6"/>
  <c r="R12" i="6"/>
  <c r="AD12" i="6" s="1"/>
  <c r="AC12" i="6" s="1"/>
  <c r="V11" i="6"/>
  <c r="K11" i="6" s="1"/>
  <c r="R11" i="6"/>
  <c r="F11" i="6" s="1"/>
  <c r="V10" i="6"/>
  <c r="K10" i="6" s="1"/>
  <c r="R10" i="6"/>
  <c r="AD10" i="6" s="1"/>
  <c r="AC10" i="6" s="1"/>
  <c r="P8" i="6"/>
  <c r="X7" i="6"/>
  <c r="E261" i="6" l="1"/>
  <c r="P415" i="6"/>
  <c r="E462" i="6"/>
  <c r="F462" i="6"/>
  <c r="G462" i="6"/>
  <c r="AD41" i="6"/>
  <c r="AC41" i="6" s="1"/>
  <c r="Q415" i="6"/>
  <c r="K40" i="6"/>
  <c r="M475" i="6"/>
  <c r="D6" i="1"/>
  <c r="D11" i="3"/>
  <c r="D10" i="3"/>
  <c r="D6" i="3"/>
  <c r="U268" i="6"/>
  <c r="F243" i="6" s="1"/>
  <c r="K6" i="3"/>
  <c r="K10" i="3"/>
  <c r="K12" i="6"/>
  <c r="D8" i="1" s="1"/>
  <c r="D7" i="3"/>
  <c r="I174" i="6"/>
  <c r="Y169" i="6"/>
  <c r="M174" i="6" s="1"/>
  <c r="D41" i="6"/>
  <c r="I38" i="6"/>
  <c r="H41" i="6"/>
  <c r="G40" i="6"/>
  <c r="L41" i="6"/>
  <c r="T211" i="6"/>
  <c r="H194" i="6" s="1"/>
  <c r="P186" i="6"/>
  <c r="D184" i="6" s="1"/>
  <c r="P184" i="6"/>
  <c r="P185" i="6"/>
  <c r="D183" i="6" s="1"/>
  <c r="F228" i="6"/>
  <c r="C419" i="6"/>
  <c r="E419" i="6" s="1"/>
  <c r="B11" i="9"/>
  <c r="V270" i="6"/>
  <c r="V266" i="6"/>
  <c r="H241" i="6" s="1"/>
  <c r="V267" i="6"/>
  <c r="V272" i="6"/>
  <c r="D40" i="6"/>
  <c r="P410" i="6"/>
  <c r="P409" i="6"/>
  <c r="Q410" i="6"/>
  <c r="Q409" i="6"/>
  <c r="AD42" i="6"/>
  <c r="AC42" i="6" s="1"/>
  <c r="K25" i="6"/>
  <c r="C421" i="6"/>
  <c r="B13" i="9"/>
  <c r="C420" i="6"/>
  <c r="E420" i="6" s="1"/>
  <c r="B12" i="9"/>
  <c r="C422" i="6"/>
  <c r="E422" i="6" s="1"/>
  <c r="B14" i="9"/>
  <c r="D476" i="6"/>
  <c r="K8" i="1"/>
  <c r="L40" i="6"/>
  <c r="G41" i="6"/>
  <c r="M204" i="6"/>
  <c r="M476" i="6"/>
  <c r="P461" i="6"/>
  <c r="Q461" i="6"/>
  <c r="R347" i="6"/>
  <c r="F392" i="6" s="1"/>
  <c r="G419" i="6"/>
  <c r="I419" i="6" s="1"/>
  <c r="E11" i="9"/>
  <c r="G423" i="6"/>
  <c r="I423" i="6" s="1"/>
  <c r="E15" i="9"/>
  <c r="K419" i="6"/>
  <c r="M419" i="6" s="1"/>
  <c r="H11" i="9"/>
  <c r="C423" i="6"/>
  <c r="E423" i="6" s="1"/>
  <c r="B15" i="9"/>
  <c r="C424" i="6"/>
  <c r="E424" i="6" s="1"/>
  <c r="B16" i="9"/>
  <c r="G421" i="6"/>
  <c r="I421" i="6" s="1"/>
  <c r="E13" i="9"/>
  <c r="K422" i="6"/>
  <c r="M422" i="6" s="1"/>
  <c r="H14" i="9"/>
  <c r="K423" i="6"/>
  <c r="M423" i="6" s="1"/>
  <c r="H15" i="9"/>
  <c r="C425" i="6"/>
  <c r="E425" i="6" s="1"/>
  <c r="B17" i="9"/>
  <c r="G420" i="6"/>
  <c r="I420" i="6" s="1"/>
  <c r="E12" i="9"/>
  <c r="G424" i="6"/>
  <c r="E16" i="9"/>
  <c r="K420" i="6"/>
  <c r="M420" i="6" s="1"/>
  <c r="H12" i="9"/>
  <c r="K421" i="6"/>
  <c r="M421" i="6" s="1"/>
  <c r="H13" i="9"/>
  <c r="G422" i="6"/>
  <c r="I422" i="6" s="1"/>
  <c r="E14" i="9"/>
  <c r="E366" i="6"/>
  <c r="E228" i="6"/>
  <c r="J11" i="9"/>
  <c r="J13" i="9"/>
  <c r="K100" i="8"/>
  <c r="J15" i="9"/>
  <c r="K102" i="8"/>
  <c r="M78" i="6"/>
  <c r="AD144" i="6"/>
  <c r="AC144" i="6" s="1"/>
  <c r="D37" i="1"/>
  <c r="AD145" i="6"/>
  <c r="AC145" i="6" s="1"/>
  <c r="B41" i="9"/>
  <c r="E260" i="6"/>
  <c r="M67" i="6"/>
  <c r="B6" i="5"/>
  <c r="AD21" i="6"/>
  <c r="AC21" i="6" s="1"/>
  <c r="B4" i="5"/>
  <c r="H38" i="6"/>
  <c r="K16" i="6"/>
  <c r="E5" i="5"/>
  <c r="K41" i="6"/>
  <c r="K17" i="6"/>
  <c r="B5" i="5"/>
  <c r="K30" i="6"/>
  <c r="D136" i="6"/>
  <c r="E6" i="5"/>
  <c r="F17" i="6"/>
  <c r="E4" i="5"/>
  <c r="X460" i="6"/>
  <c r="G453" i="6" s="1"/>
  <c r="K23" i="6"/>
  <c r="F22" i="6"/>
  <c r="K18" i="6"/>
  <c r="F18" i="6"/>
  <c r="H402" i="6"/>
  <c r="G263" i="6"/>
  <c r="X443" i="6"/>
  <c r="G435" i="6" s="1"/>
  <c r="J12" i="9"/>
  <c r="J38" i="6"/>
  <c r="H40" i="6"/>
  <c r="E41" i="6"/>
  <c r="I41" i="6"/>
  <c r="G39" i="6"/>
  <c r="F41" i="6"/>
  <c r="J41" i="6"/>
  <c r="D16" i="9"/>
  <c r="E421" i="6"/>
  <c r="G16" i="9"/>
  <c r="G15" i="9"/>
  <c r="G102" i="8"/>
  <c r="G14" i="9"/>
  <c r="X408" i="6"/>
  <c r="D104" i="8" s="1"/>
  <c r="D15" i="9"/>
  <c r="C102" i="8"/>
  <c r="C21" i="9"/>
  <c r="X405" i="6"/>
  <c r="D101" i="8" s="1"/>
  <c r="X403" i="6"/>
  <c r="D99" i="8" s="1"/>
  <c r="D11" i="9"/>
  <c r="G262" i="6"/>
  <c r="S300" i="6"/>
  <c r="G353" i="6" s="1"/>
  <c r="K142" i="6"/>
  <c r="K24" i="6"/>
  <c r="R255" i="6"/>
  <c r="F230" i="6" s="1"/>
  <c r="F229" i="6"/>
  <c r="R184" i="6"/>
  <c r="F182" i="6" s="1"/>
  <c r="T186" i="6"/>
  <c r="H184" i="6" s="1"/>
  <c r="K253" i="6"/>
  <c r="AD108" i="6"/>
  <c r="AC108" i="6" s="1"/>
  <c r="F24" i="6"/>
  <c r="F38" i="6"/>
  <c r="E39" i="6"/>
  <c r="L91" i="6"/>
  <c r="R187" i="6"/>
  <c r="F185" i="6" s="1"/>
  <c r="G261" i="6"/>
  <c r="G366" i="6"/>
  <c r="Q335" i="6"/>
  <c r="E381" i="6" s="1"/>
  <c r="X404" i="6"/>
  <c r="D100" i="8" s="1"/>
  <c r="X446" i="6"/>
  <c r="G438" i="6" s="1"/>
  <c r="B42" i="9"/>
  <c r="B21" i="9"/>
  <c r="B19" i="9"/>
  <c r="S185" i="6"/>
  <c r="G183" i="6" s="1"/>
  <c r="T314" i="6"/>
  <c r="H366" i="6" s="1"/>
  <c r="F352" i="6"/>
  <c r="S335" i="6"/>
  <c r="G381" i="6" s="1"/>
  <c r="K39" i="6"/>
  <c r="F213" i="6"/>
  <c r="X415" i="6"/>
  <c r="H99" i="8" s="1"/>
  <c r="X427" i="6"/>
  <c r="L102" i="8" s="1"/>
  <c r="W445" i="6"/>
  <c r="F437" i="6" s="1"/>
  <c r="B22" i="9"/>
  <c r="B20" i="9"/>
  <c r="B3" i="9"/>
  <c r="T447" i="6"/>
  <c r="D451" i="6" s="1"/>
  <c r="F12" i="6"/>
  <c r="F25" i="6"/>
  <c r="F39" i="6"/>
  <c r="E38" i="6"/>
  <c r="J39" i="6"/>
  <c r="T299" i="6"/>
  <c r="T300" i="6" s="1"/>
  <c r="H353" i="6" s="1"/>
  <c r="E213" i="6"/>
  <c r="L38" i="6"/>
  <c r="I39" i="6"/>
  <c r="F40" i="6"/>
  <c r="D38" i="6"/>
  <c r="J40" i="6"/>
  <c r="Q427" i="6"/>
  <c r="Q418" i="6"/>
  <c r="AD75" i="6"/>
  <c r="AC75" i="6" s="1"/>
  <c r="K38" i="6"/>
  <c r="Q406" i="6"/>
  <c r="AD55" i="6"/>
  <c r="AC55" i="6" s="1"/>
  <c r="E40" i="6"/>
  <c r="AD37" i="6"/>
  <c r="AC37" i="6" s="1"/>
  <c r="K28" i="6"/>
  <c r="Q402" i="6"/>
  <c r="Q403" i="6"/>
  <c r="Q404" i="6"/>
  <c r="AD35" i="6"/>
  <c r="AC35" i="6" s="1"/>
  <c r="F30" i="6"/>
  <c r="D39" i="6"/>
  <c r="H39" i="6"/>
  <c r="L39" i="6"/>
  <c r="AD61" i="6"/>
  <c r="AC61" i="6" s="1"/>
  <c r="E473" i="6"/>
  <c r="P428" i="6"/>
  <c r="P426" i="6"/>
  <c r="P423" i="6"/>
  <c r="P417" i="6"/>
  <c r="P408" i="6"/>
  <c r="P407" i="6"/>
  <c r="P460" i="6"/>
  <c r="P457" i="6"/>
  <c r="P427" i="6"/>
  <c r="P418" i="6"/>
  <c r="P406" i="6"/>
  <c r="P459" i="6"/>
  <c r="P445" i="6"/>
  <c r="P404" i="6"/>
  <c r="P403" i="6"/>
  <c r="P402" i="6"/>
  <c r="K21" i="6"/>
  <c r="P425" i="6"/>
  <c r="P419" i="6"/>
  <c r="P416" i="6"/>
  <c r="AD40" i="6"/>
  <c r="AC40" i="6" s="1"/>
  <c r="Q408" i="6"/>
  <c r="Q407" i="6"/>
  <c r="Q460" i="6"/>
  <c r="Q457" i="6"/>
  <c r="F448" i="6" s="1"/>
  <c r="F26" i="6"/>
  <c r="AD69" i="6"/>
  <c r="AC69" i="6" s="1"/>
  <c r="Q459" i="6"/>
  <c r="P424" i="6"/>
  <c r="Q414" i="6"/>
  <c r="Q417" i="6"/>
  <c r="Q423" i="6"/>
  <c r="Q426" i="6"/>
  <c r="Q428" i="6"/>
  <c r="K27" i="6"/>
  <c r="Q416" i="6"/>
  <c r="Q419" i="6"/>
  <c r="Q425" i="6"/>
  <c r="Q424" i="6"/>
  <c r="F10" i="6"/>
  <c r="R472" i="6"/>
  <c r="E464" i="6" s="1"/>
  <c r="E460" i="6"/>
  <c r="R471" i="6"/>
  <c r="E463" i="6" s="1"/>
  <c r="T484" i="6"/>
  <c r="G471" i="6" s="1"/>
  <c r="G468" i="6"/>
  <c r="C34" i="9"/>
  <c r="C28" i="9"/>
  <c r="I460" i="6"/>
  <c r="V472" i="6"/>
  <c r="I464" i="6" s="1"/>
  <c r="V471" i="6"/>
  <c r="I463" i="6" s="1"/>
  <c r="G460" i="6"/>
  <c r="C26" i="9"/>
  <c r="I424" i="6"/>
  <c r="S484" i="6"/>
  <c r="F471" i="6" s="1"/>
  <c r="C33" i="9"/>
  <c r="C30" i="9"/>
  <c r="C27" i="9"/>
  <c r="C23" i="9"/>
  <c r="W242" i="6"/>
  <c r="J217" i="6" s="1"/>
  <c r="C32" i="9"/>
  <c r="W403" i="6"/>
  <c r="W404" i="6"/>
  <c r="X414" i="6"/>
  <c r="H98" i="8" s="1"/>
  <c r="W415" i="6"/>
  <c r="X416" i="6"/>
  <c r="H100" i="8" s="1"/>
  <c r="X418" i="6"/>
  <c r="H102" i="8" s="1"/>
  <c r="H103" i="8"/>
  <c r="X459" i="6"/>
  <c r="G452" i="6" s="1"/>
  <c r="W460" i="6"/>
  <c r="D98" i="8"/>
  <c r="X406" i="6"/>
  <c r="D102" i="8" s="1"/>
  <c r="X417" i="6"/>
  <c r="H101" i="8" s="1"/>
  <c r="X424" i="6"/>
  <c r="L99" i="8" s="1"/>
  <c r="W443" i="6"/>
  <c r="F435" i="6" s="1"/>
  <c r="T448" i="6"/>
  <c r="D440" i="6" s="1"/>
  <c r="D462" i="6"/>
  <c r="F13" i="6"/>
  <c r="B2" i="9" s="1"/>
  <c r="I402" i="6"/>
  <c r="AD9" i="6"/>
  <c r="AC9" i="6" s="1"/>
  <c r="AD11" i="6"/>
  <c r="AC11" i="6" s="1"/>
  <c r="AD13" i="6"/>
  <c r="AC13" i="6" s="1"/>
  <c r="AD15" i="6"/>
  <c r="AC15" i="6" s="1"/>
  <c r="AD17" i="6"/>
  <c r="AC17" i="6" s="1"/>
  <c r="AD22" i="6"/>
  <c r="AC22" i="6" s="1"/>
  <c r="AD24" i="6"/>
  <c r="AC24" i="6" s="1"/>
  <c r="AD33" i="6"/>
  <c r="AC33" i="6" s="1"/>
  <c r="AD39" i="6"/>
  <c r="AC39" i="6" s="1"/>
  <c r="AD44" i="6"/>
  <c r="AC44" i="6" s="1"/>
  <c r="F16" i="6"/>
  <c r="V537" i="6"/>
  <c r="J402" i="6" s="1"/>
  <c r="AD14" i="6"/>
  <c r="AC14" i="6" s="1"/>
  <c r="AD16" i="6"/>
  <c r="AC16" i="6" s="1"/>
  <c r="AD18" i="6"/>
  <c r="AC18" i="6" s="1"/>
  <c r="AD25" i="6"/>
  <c r="AC25" i="6" s="1"/>
  <c r="AD28" i="6"/>
  <c r="AC28" i="6" s="1"/>
  <c r="AD34" i="6"/>
  <c r="AC34" i="6" s="1"/>
  <c r="AD38" i="6"/>
  <c r="AC38" i="6" s="1"/>
  <c r="R240" i="6"/>
  <c r="F215" i="6" s="1"/>
  <c r="F214" i="6"/>
  <c r="Q240" i="6"/>
  <c r="E215" i="6" s="1"/>
  <c r="E214" i="6"/>
  <c r="D68" i="6"/>
  <c r="Q207" i="6"/>
  <c r="E190" i="6" s="1"/>
  <c r="U207" i="6"/>
  <c r="I190" i="6" s="1"/>
  <c r="Q208" i="6"/>
  <c r="E191" i="6" s="1"/>
  <c r="U208" i="6"/>
  <c r="I191" i="6" s="1"/>
  <c r="Q209" i="6"/>
  <c r="E192" i="6" s="1"/>
  <c r="U209" i="6"/>
  <c r="I192" i="6" s="1"/>
  <c r="Q210" i="6"/>
  <c r="E193" i="6" s="1"/>
  <c r="U210" i="6"/>
  <c r="I193" i="6" s="1"/>
  <c r="Q211" i="6"/>
  <c r="E194" i="6" s="1"/>
  <c r="U211" i="6"/>
  <c r="I194" i="6" s="1"/>
  <c r="M203" i="6"/>
  <c r="Q255" i="6"/>
  <c r="E230" i="6" s="1"/>
  <c r="E229" i="6"/>
  <c r="D408" i="6"/>
  <c r="D340" i="6"/>
  <c r="D272" i="6"/>
  <c r="M68" i="6"/>
  <c r="S132" i="6"/>
  <c r="M136" i="6"/>
  <c r="S184" i="6"/>
  <c r="T185" i="6"/>
  <c r="H183" i="6" s="1"/>
  <c r="Q186" i="6"/>
  <c r="U186" i="6"/>
  <c r="S187" i="6"/>
  <c r="G185" i="6" s="1"/>
  <c r="R207" i="6"/>
  <c r="F190" i="6" s="1"/>
  <c r="R208" i="6"/>
  <c r="F191" i="6" s="1"/>
  <c r="R209" i="6"/>
  <c r="F192" i="6" s="1"/>
  <c r="R210" i="6"/>
  <c r="F193" i="6" s="1"/>
  <c r="R211" i="6"/>
  <c r="F194" i="6" s="1"/>
  <c r="D204" i="6"/>
  <c r="W236" i="6"/>
  <c r="W238" i="6"/>
  <c r="J213" i="6" s="1"/>
  <c r="W241" i="6"/>
  <c r="J216" i="6" s="1"/>
  <c r="L90" i="6"/>
  <c r="T184" i="6"/>
  <c r="Q185" i="6"/>
  <c r="E183" i="6" s="1"/>
  <c r="U185" i="6"/>
  <c r="I183" i="6" s="1"/>
  <c r="R186" i="6"/>
  <c r="P187" i="6"/>
  <c r="D185" i="6" s="1"/>
  <c r="T187" i="6"/>
  <c r="H185" i="6" s="1"/>
  <c r="C179" i="6"/>
  <c r="S207" i="6"/>
  <c r="G190" i="6" s="1"/>
  <c r="S208" i="6"/>
  <c r="G191" i="6" s="1"/>
  <c r="S209" i="6"/>
  <c r="G192" i="6" s="1"/>
  <c r="S210" i="6"/>
  <c r="G193" i="6" s="1"/>
  <c r="S211" i="6"/>
  <c r="G194" i="6" s="1"/>
  <c r="W237" i="6"/>
  <c r="J212" i="6" s="1"/>
  <c r="W239" i="6"/>
  <c r="J214" i="6" s="1"/>
  <c r="W243" i="6"/>
  <c r="J218" i="6" s="1"/>
  <c r="U258" i="6"/>
  <c r="M407" i="6"/>
  <c r="M339" i="6"/>
  <c r="M271" i="6"/>
  <c r="M408" i="6"/>
  <c r="M272" i="6"/>
  <c r="M340" i="6"/>
  <c r="M135" i="6"/>
  <c r="Q184" i="6"/>
  <c r="U184" i="6"/>
  <c r="R185" i="6"/>
  <c r="F183" i="6" s="1"/>
  <c r="S186" i="6"/>
  <c r="Q187" i="6"/>
  <c r="E185" i="6" s="1"/>
  <c r="U187" i="6"/>
  <c r="I185" i="6" s="1"/>
  <c r="P207" i="6"/>
  <c r="D190" i="6" s="1"/>
  <c r="T207" i="6"/>
  <c r="H190" i="6" s="1"/>
  <c r="P208" i="6"/>
  <c r="D191" i="6" s="1"/>
  <c r="T208" i="6"/>
  <c r="H191" i="6" s="1"/>
  <c r="P209" i="6"/>
  <c r="D192" i="6" s="1"/>
  <c r="T209" i="6"/>
  <c r="H192" i="6" s="1"/>
  <c r="P210" i="6"/>
  <c r="D193" i="6" s="1"/>
  <c r="T210" i="6"/>
  <c r="H193" i="6" s="1"/>
  <c r="P211" i="6"/>
  <c r="D194" i="6" s="1"/>
  <c r="W240" i="6"/>
  <c r="J215" i="6" s="1"/>
  <c r="R315" i="6"/>
  <c r="F367" i="6" s="1"/>
  <c r="F380" i="6"/>
  <c r="X423" i="6"/>
  <c r="L98" i="8" s="1"/>
  <c r="D468" i="6"/>
  <c r="Q484" i="6"/>
  <c r="D471" i="6" s="1"/>
  <c r="H468" i="6"/>
  <c r="U484" i="6"/>
  <c r="H471" i="6" s="1"/>
  <c r="Q483" i="6"/>
  <c r="D470" i="6" s="1"/>
  <c r="H348" i="6"/>
  <c r="E352" i="6"/>
  <c r="H363" i="6"/>
  <c r="S347" i="6"/>
  <c r="G392" i="6" s="1"/>
  <c r="E391" i="6"/>
  <c r="W405" i="6"/>
  <c r="W408" i="6"/>
  <c r="W414" i="6"/>
  <c r="W416" i="6"/>
  <c r="X425" i="6"/>
  <c r="L100" i="8" s="1"/>
  <c r="W426" i="6"/>
  <c r="X426" i="6"/>
  <c r="L101" i="8" s="1"/>
  <c r="U448" i="6"/>
  <c r="W457" i="6"/>
  <c r="X457" i="6"/>
  <c r="G450" i="6" s="1"/>
  <c r="U483" i="6"/>
  <c r="H470" i="6" s="1"/>
  <c r="T334" i="6"/>
  <c r="W444" i="6"/>
  <c r="F436" i="6" s="1"/>
  <c r="E436" i="6"/>
  <c r="X444" i="6"/>
  <c r="G436" i="6" s="1"/>
  <c r="F460" i="6"/>
  <c r="S472" i="6"/>
  <c r="F464" i="6" s="1"/>
  <c r="S471" i="6"/>
  <c r="F463" i="6" s="1"/>
  <c r="J460" i="6"/>
  <c r="W472" i="6"/>
  <c r="J464" i="6" s="1"/>
  <c r="W471" i="6"/>
  <c r="J463" i="6" s="1"/>
  <c r="W536" i="6"/>
  <c r="K401" i="6" s="1"/>
  <c r="V536" i="6"/>
  <c r="J401" i="6" s="1"/>
  <c r="T346" i="6"/>
  <c r="U447" i="6"/>
  <c r="V448" i="6"/>
  <c r="E440" i="6" s="1"/>
  <c r="D435" i="6"/>
  <c r="E452" i="6"/>
  <c r="T471" i="6"/>
  <c r="G463" i="6" s="1"/>
  <c r="X471" i="6"/>
  <c r="K463" i="6" s="1"/>
  <c r="T472" i="6"/>
  <c r="G464" i="6" s="1"/>
  <c r="X472" i="6"/>
  <c r="K464" i="6" s="1"/>
  <c r="E468" i="6"/>
  <c r="S483" i="6"/>
  <c r="F470" i="6" s="1"/>
  <c r="X445" i="6"/>
  <c r="G437" i="6" s="1"/>
  <c r="W446" i="6"/>
  <c r="F438" i="6" s="1"/>
  <c r="V447" i="6"/>
  <c r="E435" i="6"/>
  <c r="E453" i="6"/>
  <c r="Q471" i="6"/>
  <c r="D463" i="6" s="1"/>
  <c r="U471" i="6"/>
  <c r="H463" i="6" s="1"/>
  <c r="Q472" i="6"/>
  <c r="D464" i="6" s="1"/>
  <c r="U472" i="6"/>
  <c r="H464" i="6" s="1"/>
  <c r="T483" i="6"/>
  <c r="G470" i="6" s="1"/>
  <c r="R484" i="6"/>
  <c r="E471" i="6" s="1"/>
  <c r="V265" i="6" l="1"/>
  <c r="I240" i="6" s="1"/>
  <c r="V478" i="6"/>
  <c r="C19" i="9"/>
  <c r="V271" i="6"/>
  <c r="I246" i="6" s="1"/>
  <c r="V269" i="6"/>
  <c r="P414" i="6"/>
  <c r="H414" i="6" s="1"/>
  <c r="L109" i="8"/>
  <c r="L108" i="8"/>
  <c r="L107" i="8"/>
  <c r="H109" i="8"/>
  <c r="H107" i="8"/>
  <c r="H108" i="8"/>
  <c r="D108" i="8"/>
  <c r="D109" i="8"/>
  <c r="D107" i="8"/>
  <c r="I241" i="6"/>
  <c r="W252" i="6"/>
  <c r="J227" i="6" s="1"/>
  <c r="H233" i="6"/>
  <c r="E195" i="6"/>
  <c r="H195" i="6"/>
  <c r="G195" i="6"/>
  <c r="D195" i="6"/>
  <c r="F195" i="6"/>
  <c r="I195" i="6"/>
  <c r="W466" i="6"/>
  <c r="B29" i="9" s="1"/>
  <c r="H459" i="6"/>
  <c r="L78" i="6"/>
  <c r="G467" i="6"/>
  <c r="L414" i="6"/>
  <c r="M426" i="6"/>
  <c r="J14" i="9"/>
  <c r="K101" i="8"/>
  <c r="K107" i="8" s="1"/>
  <c r="D459" i="6"/>
  <c r="E459" i="6"/>
  <c r="X466" i="6"/>
  <c r="B30" i="9" s="1"/>
  <c r="J459" i="6"/>
  <c r="T449" i="6"/>
  <c r="D441" i="6" s="1"/>
  <c r="D442" i="6" s="1"/>
  <c r="H10" i="9"/>
  <c r="E98" i="8"/>
  <c r="D112" i="8" s="1"/>
  <c r="E10" i="9"/>
  <c r="D448" i="6"/>
  <c r="B18" i="9"/>
  <c r="R466" i="6"/>
  <c r="B24" i="9" s="1"/>
  <c r="B10" i="9"/>
  <c r="T466" i="6"/>
  <c r="B26" i="9" s="1"/>
  <c r="G459" i="6"/>
  <c r="F459" i="6"/>
  <c r="Q466" i="6"/>
  <c r="B23" i="9" s="1"/>
  <c r="S466" i="6"/>
  <c r="B25" i="9" s="1"/>
  <c r="I459" i="6"/>
  <c r="D414" i="6"/>
  <c r="E428" i="6"/>
  <c r="G13" i="9"/>
  <c r="G100" i="8"/>
  <c r="I426" i="6"/>
  <c r="G12" i="9"/>
  <c r="G99" i="8"/>
  <c r="G11" i="9"/>
  <c r="G98" i="8"/>
  <c r="D17" i="9"/>
  <c r="C104" i="8"/>
  <c r="D14" i="9"/>
  <c r="C101" i="8"/>
  <c r="D13" i="9"/>
  <c r="C100" i="8"/>
  <c r="D12" i="9"/>
  <c r="C99" i="8"/>
  <c r="H352" i="6"/>
  <c r="H415" i="6"/>
  <c r="E100" i="8"/>
  <c r="D114" i="8" s="1"/>
  <c r="D415" i="6"/>
  <c r="A100" i="8"/>
  <c r="A114" i="8" s="1"/>
  <c r="D467" i="6"/>
  <c r="I98" i="8"/>
  <c r="G112" i="8" s="1"/>
  <c r="L415" i="6"/>
  <c r="I100" i="8"/>
  <c r="G114" i="8" s="1"/>
  <c r="A98" i="8"/>
  <c r="A112" i="8" s="1"/>
  <c r="D439" i="6"/>
  <c r="H467" i="6"/>
  <c r="D469" i="6"/>
  <c r="T315" i="6"/>
  <c r="H367" i="6" s="1"/>
  <c r="T189" i="6"/>
  <c r="H187" i="6" s="1"/>
  <c r="F453" i="6"/>
  <c r="C22" i="9"/>
  <c r="P189" i="6"/>
  <c r="D187" i="6" s="1"/>
  <c r="Q478" i="6"/>
  <c r="B31" i="9" s="1"/>
  <c r="S478" i="6"/>
  <c r="B33" i="9" s="1"/>
  <c r="U478" i="6"/>
  <c r="B35" i="9" s="1"/>
  <c r="F467" i="6"/>
  <c r="E467" i="6"/>
  <c r="R478" i="6"/>
  <c r="B32" i="9" s="1"/>
  <c r="T478" i="6"/>
  <c r="B34" i="9" s="1"/>
  <c r="W537" i="6"/>
  <c r="K402" i="6" s="1"/>
  <c r="P446" i="6"/>
  <c r="P444" i="6"/>
  <c r="P405" i="6"/>
  <c r="P458" i="6"/>
  <c r="P443" i="6"/>
  <c r="D431" i="6" s="1"/>
  <c r="Q458" i="6"/>
  <c r="Q446" i="6"/>
  <c r="Q443" i="6"/>
  <c r="F431" i="6" s="1"/>
  <c r="Q444" i="6"/>
  <c r="Q405" i="6"/>
  <c r="Q445" i="6"/>
  <c r="D33" i="9"/>
  <c r="H469" i="6"/>
  <c r="D35" i="9"/>
  <c r="U485" i="6"/>
  <c r="H472" i="6" s="1"/>
  <c r="D32" i="9"/>
  <c r="W448" i="6"/>
  <c r="F440" i="6" s="1"/>
  <c r="E451" i="6"/>
  <c r="E439" i="6"/>
  <c r="V449" i="6"/>
  <c r="E441" i="6" s="1"/>
  <c r="E442" i="6" s="1"/>
  <c r="U449" i="6"/>
  <c r="T347" i="6"/>
  <c r="H392" i="6" s="1"/>
  <c r="H391" i="6"/>
  <c r="H380" i="6"/>
  <c r="T335" i="6"/>
  <c r="H381" i="6" s="1"/>
  <c r="H240" i="6"/>
  <c r="W255" i="6"/>
  <c r="J230" i="6" s="1"/>
  <c r="W256" i="6"/>
  <c r="J231" i="6" s="1"/>
  <c r="W257" i="6"/>
  <c r="J232" i="6" s="1"/>
  <c r="W254" i="6"/>
  <c r="J229" i="6" s="1"/>
  <c r="F184" i="6"/>
  <c r="R189" i="6"/>
  <c r="F187" i="6" s="1"/>
  <c r="D182" i="6"/>
  <c r="P188" i="6"/>
  <c r="D186" i="6" s="1"/>
  <c r="Q189" i="6"/>
  <c r="E187" i="6" s="1"/>
  <c r="E184" i="6"/>
  <c r="X447" i="6"/>
  <c r="H247" i="6"/>
  <c r="I247" i="6"/>
  <c r="F450" i="6"/>
  <c r="U188" i="6"/>
  <c r="I186" i="6" s="1"/>
  <c r="I182" i="6"/>
  <c r="W251" i="6"/>
  <c r="R188" i="6"/>
  <c r="F186" i="6" s="1"/>
  <c r="H242" i="6"/>
  <c r="I242" i="6"/>
  <c r="I245" i="6"/>
  <c r="H245" i="6"/>
  <c r="Q188" i="6"/>
  <c r="E186" i="6" s="1"/>
  <c r="E182" i="6"/>
  <c r="X448" i="6"/>
  <c r="G440" i="6" s="1"/>
  <c r="W244" i="6"/>
  <c r="J219" i="6" s="1"/>
  <c r="J211" i="6"/>
  <c r="K149" i="6"/>
  <c r="O52" i="6"/>
  <c r="W447" i="6"/>
  <c r="AD88" i="6" s="1"/>
  <c r="AC88" i="6" s="1"/>
  <c r="G184" i="6"/>
  <c r="S189" i="6"/>
  <c r="G187" i="6" s="1"/>
  <c r="W253" i="6"/>
  <c r="J228" i="6" s="1"/>
  <c r="H182" i="6"/>
  <c r="T188" i="6"/>
  <c r="H186" i="6" s="1"/>
  <c r="U189" i="6"/>
  <c r="I187" i="6" s="1"/>
  <c r="I184" i="6"/>
  <c r="S188" i="6"/>
  <c r="G186" i="6" s="1"/>
  <c r="G182" i="6"/>
  <c r="H246" i="6" l="1"/>
  <c r="V466" i="6"/>
  <c r="B28" i="9" s="1"/>
  <c r="U466" i="6"/>
  <c r="B27" i="9" s="1"/>
  <c r="I244" i="6"/>
  <c r="H244" i="6"/>
  <c r="K459" i="6"/>
  <c r="C107" i="8"/>
  <c r="C108" i="8"/>
  <c r="C109" i="8"/>
  <c r="G109" i="8"/>
  <c r="G108" i="8"/>
  <c r="G107" i="8"/>
  <c r="K109" i="8"/>
  <c r="K108" i="8"/>
  <c r="H188" i="6"/>
  <c r="I115" i="8"/>
  <c r="I113" i="8"/>
  <c r="E469" i="6"/>
  <c r="D31" i="9"/>
  <c r="R485" i="6"/>
  <c r="E472" i="6" s="1"/>
  <c r="S485" i="6"/>
  <c r="F472" i="6" s="1"/>
  <c r="I114" i="8"/>
  <c r="Q485" i="6"/>
  <c r="D472" i="6" s="1"/>
  <c r="I112" i="8"/>
  <c r="D29" i="9"/>
  <c r="D28" i="9"/>
  <c r="U473" i="6"/>
  <c r="H465" i="6" s="1"/>
  <c r="C131" i="8"/>
  <c r="B131" i="8"/>
  <c r="L347" i="6"/>
  <c r="B129" i="8"/>
  <c r="A131" i="8"/>
  <c r="D24" i="9"/>
  <c r="D465" i="6"/>
  <c r="D23" i="9"/>
  <c r="D461" i="6"/>
  <c r="D188" i="6"/>
  <c r="F188" i="6"/>
  <c r="E188" i="6"/>
  <c r="R473" i="6"/>
  <c r="E465" i="6" s="1"/>
  <c r="F469" i="6"/>
  <c r="W473" i="6"/>
  <c r="J465" i="6" s="1"/>
  <c r="I461" i="6"/>
  <c r="G188" i="6"/>
  <c r="E461" i="6"/>
  <c r="AD89" i="6"/>
  <c r="AC89" i="6" s="1"/>
  <c r="V473" i="6"/>
  <c r="I465" i="6" s="1"/>
  <c r="D27" i="9"/>
  <c r="H461" i="6"/>
  <c r="D25" i="9"/>
  <c r="F461" i="6"/>
  <c r="S473" i="6"/>
  <c r="F465" i="6" s="1"/>
  <c r="J461" i="6"/>
  <c r="G461" i="6"/>
  <c r="D26" i="9"/>
  <c r="T473" i="6"/>
  <c r="G465" i="6" s="1"/>
  <c r="T485" i="6"/>
  <c r="G472" i="6" s="1"/>
  <c r="D34" i="9"/>
  <c r="G469" i="6"/>
  <c r="K461" i="6"/>
  <c r="D30" i="9"/>
  <c r="X473" i="6"/>
  <c r="K465" i="6" s="1"/>
  <c r="L58" i="6"/>
  <c r="M58" i="6"/>
  <c r="W258" i="6"/>
  <c r="J233" i="6" s="1"/>
  <c r="J226" i="6"/>
  <c r="I188" i="6"/>
  <c r="W449" i="6"/>
  <c r="F441" i="6" s="1"/>
  <c r="F442" i="6" s="1"/>
  <c r="W458" i="6"/>
  <c r="F439" i="6"/>
  <c r="G439" i="6"/>
  <c r="X458" i="6"/>
  <c r="G451" i="6" s="1"/>
  <c r="X449" i="6"/>
  <c r="G441" i="6" s="1"/>
  <c r="C20" i="9" l="1"/>
  <c r="W462" i="6"/>
  <c r="F455" i="6" s="1"/>
  <c r="F131" i="8"/>
  <c r="X311" i="6" s="1"/>
  <c r="I390" i="6"/>
  <c r="I379" i="6"/>
  <c r="I388" i="6"/>
  <c r="I389" i="6"/>
  <c r="I378" i="6"/>
  <c r="I377" i="6"/>
  <c r="I365" i="6"/>
  <c r="I364" i="6"/>
  <c r="I363" i="6"/>
  <c r="L349" i="6"/>
  <c r="G442" i="6"/>
  <c r="I351" i="6"/>
  <c r="I350" i="6"/>
  <c r="I349" i="6"/>
  <c r="F451" i="6"/>
  <c r="L361" i="6" l="1"/>
  <c r="I131" i="8"/>
  <c r="X343" i="6" s="1"/>
  <c r="L388" i="6" s="1"/>
  <c r="L386" i="6"/>
  <c r="I387" i="6"/>
  <c r="U346" i="6"/>
  <c r="X342" i="6" s="1"/>
  <c r="I376" i="6"/>
  <c r="U334" i="6"/>
  <c r="X330" i="6" s="1"/>
  <c r="X332" i="6" s="1"/>
  <c r="L363" i="6"/>
  <c r="I362" i="6"/>
  <c r="U314" i="6"/>
  <c r="X310" i="6" s="1"/>
  <c r="X312" i="6" s="1"/>
  <c r="X317" i="6" s="1"/>
  <c r="I116" i="8"/>
  <c r="I348" i="6"/>
  <c r="U299" i="6"/>
  <c r="X295" i="6" s="1"/>
  <c r="X336" i="6" l="1"/>
  <c r="I123" i="8"/>
  <c r="I122" i="8"/>
  <c r="I121" i="8"/>
  <c r="X344" i="6"/>
  <c r="X348" i="6" s="1"/>
  <c r="I380" i="6"/>
  <c r="U335" i="6"/>
  <c r="I381" i="6" s="1"/>
  <c r="U347" i="6"/>
  <c r="I392" i="6" s="1"/>
  <c r="I391" i="6"/>
  <c r="I366" i="6"/>
  <c r="U315" i="6"/>
  <c r="I367" i="6" s="1"/>
  <c r="U300" i="6"/>
  <c r="I353" i="6" s="1"/>
  <c r="I352" i="6"/>
  <c r="X349" i="6" l="1"/>
  <c r="L387" i="6"/>
  <c r="L376" i="6"/>
  <c r="L362" i="6"/>
  <c r="X297" i="6"/>
  <c r="L348" i="6"/>
  <c r="K30" i="1" l="1"/>
  <c r="X302" i="6"/>
  <c r="L354" i="6" s="1"/>
  <c r="L382" i="6"/>
  <c r="X334" i="6"/>
  <c r="L380" i="6" s="1"/>
  <c r="L368" i="6"/>
  <c r="X314" i="6"/>
  <c r="L366" i="6" s="1"/>
  <c r="X346" i="6"/>
  <c r="L391" i="6" s="1"/>
  <c r="AD91" i="6"/>
  <c r="AC91" i="6" s="1"/>
  <c r="L378" i="6"/>
  <c r="AD92" i="6"/>
  <c r="AC92" i="6" s="1"/>
  <c r="L389" i="6"/>
  <c r="L393" i="6"/>
  <c r="K31" i="1"/>
  <c r="B8" i="9"/>
  <c r="L364" i="6"/>
  <c r="AD90" i="6"/>
  <c r="AC90" i="6" s="1"/>
  <c r="X318" i="6"/>
  <c r="L369" i="6" s="1"/>
  <c r="L350" i="6"/>
  <c r="X299" i="6"/>
  <c r="L352" i="6" s="1"/>
  <c r="AD87" i="6"/>
  <c r="AC87" i="6" s="1"/>
  <c r="B7" i="9"/>
  <c r="X303" i="6"/>
  <c r="L355" i="6" s="1"/>
  <c r="F11" i="9" s="1"/>
  <c r="E39" i="9"/>
  <c r="F12" i="9"/>
  <c r="E38" i="9"/>
  <c r="D38" i="9"/>
  <c r="D39" i="9"/>
  <c r="F13" i="9"/>
  <c r="F16" i="9"/>
  <c r="L395" i="6" l="1"/>
  <c r="B9" i="9"/>
  <c r="AD93" i="6"/>
  <c r="AC9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22" authorId="0" shapeId="0" xr:uid="{00000000-0006-0000-0000-000001000000}">
      <text>
        <r>
          <rPr>
            <b/>
            <sz val="8"/>
            <color indexed="81"/>
            <rFont val="Tahoma"/>
            <family val="2"/>
          </rPr>
          <t>Click in boxes to use drop-down lists</t>
        </r>
      </text>
    </comment>
    <comment ref="I34" authorId="0" shapeId="0" xr:uid="{00000000-0006-0000-0000-000002000000}">
      <text>
        <r>
          <rPr>
            <b/>
            <sz val="8"/>
            <color indexed="81"/>
            <rFont val="Tahoma"/>
            <family val="2"/>
          </rPr>
          <t>Click in boxes to use drop-down lists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Platt, Pamela</author>
  </authors>
  <commentList>
    <comment ref="J10" authorId="0" shapeId="0" xr:uid="{00000000-0006-0000-0100-00000100000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15" authorId="0" shapeId="0" xr:uid="{00000000-0006-0000-0200-000001000000}">
      <text>
        <r>
          <rPr>
            <b/>
            <sz val="8"/>
            <color indexed="81"/>
            <rFont val="Tahoma"/>
            <family val="2"/>
          </rPr>
          <t>Click in boxes to use drop-down lists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8" authorId="0" shapeId="0" xr:uid="{00000000-0006-0000-0300-000001000000}">
      <text>
        <r>
          <rPr>
            <b/>
            <sz val="8"/>
            <color indexed="81"/>
            <rFont val="Tahoma"/>
            <family val="2"/>
          </rPr>
          <t>Click in boxes to use drop-down lists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Mah, Eugene</author>
    <author>tc={8E6A0DDD-0930-4B17-B064-25AB1224CCB9}</author>
    <author>tc={BED6B86C-6B7A-421B-AAED-04E543276D32}</author>
    <author>tc={959BBE1E-CD93-4C60-88BE-4C22A5DBF430}</author>
    <author>tc={0D3E863B-F915-46BC-93C5-CFF8D325D13E}</author>
    <author>tc={329B1196-C778-4F6F-A4C9-A7F054168C3F}</author>
    <author>tc={B764EEAA-9279-4FFE-BE88-D18A30F784B8}</author>
    <author>tc={B37BE14D-D5F9-4082-9BAD-233184D0762D}</author>
  </authors>
  <commentList>
    <comment ref="A71" authorId="0" shapeId="0" xr:uid="{4FACA934-C4BD-4BA0-9FF7-DB5076918386}">
      <text>
        <r>
          <rPr>
            <b/>
            <sz val="9"/>
            <color indexed="81"/>
            <rFont val="Tahoma"/>
            <family val="2"/>
          </rPr>
          <t>Mah, Eugene:</t>
        </r>
        <r>
          <rPr>
            <sz val="9"/>
            <color indexed="81"/>
            <rFont val="Tahoma"/>
            <family val="2"/>
          </rPr>
          <t xml:space="preserve">
Selenia 3Dimensions QC Manual MAN-03706 Rev 010</t>
        </r>
      </text>
    </comment>
    <comment ref="A160" authorId="1" shapeId="0" xr:uid="{8E6A0DDD-0930-4B17-B064-25AB1224CCB9}">
      <text>
        <t>[Threaded comment]
Your version of Excel allows you to read this threaded comment; however, any edits to it will get removed if the file is opened in a newer version of Excel. Learn more: https://go.microsoft.com/fwlink/?linkid=870924
Comment:
    Table D.2, MAN-03706 Rev 10</t>
      </text>
    </comment>
    <comment ref="A166" authorId="2" shapeId="0" xr:uid="{BED6B86C-6B7A-421B-AAED-04E543276D32}">
      <text>
        <t>[Threaded comment]
Your version of Excel allows you to read this threaded comment; however, any edits to it will get removed if the file is opened in a newer version of Excel. Learn more: https://go.microsoft.com/fwlink/?linkid=870924
Comment:
    Table D.2, MAN-03706 Rev 10</t>
      </text>
    </comment>
    <comment ref="A172" authorId="3" shapeId="0" xr:uid="{959BBE1E-CD93-4C60-88BE-4C22A5DBF430}">
      <text>
        <t>[Threaded comment]
Your version of Excel allows you to read this threaded comment; however, any edits to it will get removed if the file is opened in a newer version of Excel. Learn more: https://go.microsoft.com/fwlink/?linkid=870924
Comment:
    Table D.3, MAN-03706 Rev 10</t>
      </text>
    </comment>
    <comment ref="E172" authorId="4" shapeId="0" xr:uid="{0D3E863B-F915-46BC-93C5-CFF8D325D13E}">
      <text>
        <t>[Threaded comment]
Your version of Excel allows you to read this threaded comment; however, any edits to it will get removed if the file is opened in a newer version of Excel. Learn more: https://go.microsoft.com/fwlink/?linkid=870924
Comment:
    Table D.4, MAN-03706 Rev 10</t>
      </text>
    </comment>
    <comment ref="A180" authorId="5" shapeId="0" xr:uid="{329B1196-C778-4F6F-A4C9-A7F054168C3F}">
      <text>
        <t>[Threaded comment]
Your version of Excel allows you to read this threaded comment; however, any edits to it will get removed if the file is opened in a newer version of Excel. Learn more: https://go.microsoft.com/fwlink/?linkid=870924
Comment:
    Table D.5.1, MAN-03706 Rev 10</t>
      </text>
    </comment>
    <comment ref="F180" authorId="6" shapeId="0" xr:uid="{B764EEAA-9279-4FFE-BE88-D18A30F784B8}">
      <text>
        <t>[Threaded comment]
Your version of Excel allows you to read this threaded comment; however, any edits to it will get removed if the file is opened in a newer version of Excel. Learn more: https://go.microsoft.com/fwlink/?linkid=870924
Comment:
    Table D.6, MAN-03706 Rev 10</t>
      </text>
    </comment>
    <comment ref="A188" authorId="7" shapeId="0" xr:uid="{B37BE14D-D5F9-4082-9BAD-233184D0762D}">
      <text>
        <t>[Threaded comment]
Your version of Excel allows you to read this threaded comment; however, any edits to it will get removed if the file is opened in a newer version of Excel. Learn more: https://go.microsoft.com/fwlink/?linkid=870924
Comment:
    Table D.5.2, MAN-03706 Rev 10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Eugene Mah</author>
  </authors>
  <commentList>
    <comment ref="B4" authorId="0" shapeId="0" xr:uid="{00000000-0006-0000-0800-000001000000}">
      <text>
        <r>
          <rPr>
            <b/>
            <sz val="9"/>
            <color indexed="81"/>
            <rFont val="Tahoma"/>
            <family val="2"/>
          </rPr>
          <t>Eugene Mah:</t>
        </r>
        <r>
          <rPr>
            <sz val="9"/>
            <color indexed="81"/>
            <rFont val="Tahoma"/>
            <family val="2"/>
          </rPr>
          <t xml:space="preserve">
Target/Filter</t>
        </r>
      </text>
    </comment>
    <comment ref="B5" authorId="0" shapeId="0" xr:uid="{00000000-0006-0000-0800-000002000000}">
      <text>
        <r>
          <rPr>
            <b/>
            <sz val="9"/>
            <color indexed="81"/>
            <rFont val="Tahoma"/>
            <family val="2"/>
          </rPr>
          <t>Eugene Mah:</t>
        </r>
        <r>
          <rPr>
            <sz val="9"/>
            <color indexed="81"/>
            <rFont val="Tahoma"/>
            <family val="2"/>
          </rPr>
          <t xml:space="preserve">
kV</t>
        </r>
      </text>
    </comment>
    <comment ref="B6" authorId="0" shapeId="0" xr:uid="{00000000-0006-0000-0800-00000300000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<sst xmlns="http://schemas.openxmlformats.org/spreadsheetml/2006/main" count="3024" uniqueCount="819">
  <si>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</si>
  <si>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</si>
  <si>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</si>
  <si>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</si>
  <si>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</si>
  <si>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</si>
  <si>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</si>
  <si>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</si>
  <si>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</si>
  <si>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</si>
  <si>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</si>
  <si>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</si>
  <si>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</si>
  <si>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</si>
  <si>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</si>
  <si>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</si>
  <si>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</si>
  <si>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</si>
  <si>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</si>
  <si>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</si>
  <si>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</si>
  <si>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</si>
  <si>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</si>
  <si>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</si>
  <si>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</si>
  <si>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</si>
  <si>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</si>
  <si>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</si>
  <si>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</si>
  <si>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</si>
  <si>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</si>
  <si>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</si>
  <si>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</si>
  <si>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</si>
  <si>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</si>
  <si>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</si>
  <si>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</si>
  <si>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</si>
  <si>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</si>
  <si>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</si>
  <si>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</si>
  <si>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</si>
  <si>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</si>
  <si>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</si>
  <si>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</si>
  <si>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</si>
  <si>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</si>
  <si>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</si>
  <si>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</si>
  <si>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</si>
  <si>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</si>
  <si>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</si>
  <si>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</si>
  <si>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</si>
  <si>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</si>
  <si>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</si>
  <si>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&gt;7 cm</t>
  </si>
  <si>
    <t>Radiation warning label posted on the generator control panel</t>
  </si>
  <si>
    <t>Operator manuals are available.</t>
  </si>
  <si>
    <t>Monthly radiation monitoring reports are posted.</t>
  </si>
  <si>
    <t>Rule Number</t>
  </si>
  <si>
    <t>Compliance</t>
  </si>
  <si>
    <t>Mammography Unit Assembly Evaluation</t>
  </si>
  <si>
    <t>Free-standing unit is mechanically stable</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</si>
  <si>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</si>
  <si>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</si>
  <si>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</si>
  <si>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</si>
  <si>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</si>
  <si>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</si>
  <si>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</si>
  <si>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</si>
  <si>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</si>
  <si>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</si>
  <si>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</si>
  <si>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</si>
  <si>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</si>
  <si>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</si>
  <si>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</si>
  <si>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</si>
  <si>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</si>
  <si>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</si>
  <si>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</si>
  <si>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</si>
  <si>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</si>
  <si>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</si>
  <si>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</si>
  <si>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</si>
  <si>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</si>
  <si>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</si>
  <si>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</si>
  <si>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</si>
  <si>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</si>
  <si>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</si>
  <si>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</si>
  <si>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</si>
  <si>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</si>
  <si>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</si>
  <si>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</si>
  <si>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</si>
  <si>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</si>
  <si>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</si>
  <si>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</si>
  <si>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</si>
  <si>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</si>
  <si>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</si>
  <si>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</si>
  <si>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</si>
  <si>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</si>
  <si>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</si>
  <si>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</si>
  <si>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</si>
  <si>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</si>
  <si>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</si>
  <si>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</si>
  <si>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</si>
  <si>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</si>
  <si>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</si>
  <si>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</si>
  <si>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</si>
  <si>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</si>
  <si>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</si>
  <si>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</si>
  <si>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</si>
  <si>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</si>
  <si>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</si>
  <si>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</si>
  <si>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</si>
  <si>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</si>
  <si>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</si>
  <si>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</si>
  <si>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</si>
  <si>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</si>
  <si>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</si>
  <si>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</si>
  <si>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</si>
  <si>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</si>
  <si>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</si>
  <si>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</si>
  <si>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</si>
  <si>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</si>
  <si>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</si>
  <si>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</si>
  <si>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</si>
  <si>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</si>
  <si>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</si>
  <si>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</si>
  <si>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</si>
  <si>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</si>
  <si>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</si>
  <si>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</si>
  <si>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</si>
  <si>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</si>
  <si>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</si>
  <si>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</si>
  <si>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</si>
  <si>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</si>
  <si>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</si>
  <si>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</si>
  <si>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</si>
  <si>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</si>
  <si>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</si>
  <si>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</si>
  <si>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</si>
  <si>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</si>
  <si>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</si>
  <si>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</si>
  <si>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</si>
  <si>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</si>
  <si>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</si>
  <si>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</si>
  <si>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</si>
  <si>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</si>
  <si>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</si>
  <si>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</si>
  <si>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</si>
  <si>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</si>
  <si>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</si>
  <si>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</si>
  <si>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</si>
  <si>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</si>
  <si>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</si>
  <si>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</si>
  <si>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</si>
  <si>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</si>
  <si>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</si>
  <si>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</si>
  <si>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</si>
  <si>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</si>
  <si>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</si>
  <si>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</si>
  <si>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</si>
  <si>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</si>
  <si>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</si>
  <si>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</si>
  <si>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</si>
  <si>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</si>
  <si>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</si>
  <si>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</si>
  <si>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</si>
  <si>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</si>
  <si>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</si>
  <si>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</si>
  <si>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</si>
  <si>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</si>
  <si>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</si>
  <si>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</si>
  <si>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</si>
  <si>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</si>
  <si>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</si>
  <si>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</si>
  <si>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</si>
  <si>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</si>
  <si>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</si>
  <si>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</si>
  <si>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</si>
  <si>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</si>
  <si>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</si>
  <si>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</si>
  <si>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</si>
  <si>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</si>
  <si>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</si>
  <si>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</si>
  <si>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</si>
  <si>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</si>
  <si>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</si>
  <si>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</si>
  <si>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</si>
  <si>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</si>
  <si>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</si>
  <si>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</si>
  <si>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</si>
  <si>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</si>
  <si>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</si>
  <si>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</si>
  <si>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</si>
  <si>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</si>
  <si>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</si>
  <si>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</si>
  <si>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</si>
  <si>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</si>
  <si>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</si>
  <si>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</si>
  <si>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</si>
  <si>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</si>
  <si>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</si>
  <si>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</si>
  <si>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</si>
  <si>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</si>
  <si>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</si>
  <si>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</si>
  <si>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</si>
  <si>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</si>
  <si>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</si>
  <si>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</si>
  <si>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</si>
  <si>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</si>
  <si>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</si>
  <si>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</si>
  <si>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</si>
  <si>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</si>
  <si>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</si>
  <si>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</si>
  <si>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</si>
  <si>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</si>
  <si>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</si>
  <si>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</si>
  <si>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</si>
  <si>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</si>
  <si>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</si>
  <si>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</si>
  <si>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</si>
  <si>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</si>
  <si>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</si>
  <si>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</si>
  <si>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</si>
  <si>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</si>
  <si>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</si>
  <si>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</si>
  <si>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</si>
  <si>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</si>
  <si>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</si>
  <si>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</si>
  <si>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</si>
  <si>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</si>
  <si>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</si>
  <si>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</si>
  <si>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</si>
  <si>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</si>
  <si>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</si>
  <si>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</si>
  <si>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</si>
  <si>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</si>
  <si>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</si>
  <si>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</si>
  <si>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</si>
  <si>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</si>
  <si>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</si>
  <si>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</si>
  <si>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</si>
  <si>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</si>
  <si>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</si>
  <si>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</si>
  <si>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</si>
  <si>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</si>
  <si>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</si>
  <si>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</si>
  <si>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</si>
  <si>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</si>
  <si>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</si>
  <si>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</si>
  <si>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</si>
  <si>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</si>
  <si>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</si>
  <si>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</si>
  <si>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</si>
  <si>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</si>
  <si>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</si>
  <si>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</si>
  <si>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</si>
  <si>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</si>
  <si>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</si>
  <si>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</si>
  <si>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</si>
  <si>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</si>
  <si>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</si>
  <si>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</si>
  <si>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</si>
  <si>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</si>
  <si>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</si>
  <si>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</si>
  <si>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</si>
  <si>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</si>
  <si>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</si>
  <si>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</si>
  <si>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</si>
  <si>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</si>
  <si>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</si>
  <si>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</si>
  <si>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Half Value Layer – 3D</t>
  </si>
  <si>
    <t>Mo/Rh targets – HVL is between the minimum and maximum limits</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</si>
  <si>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</si>
  <si>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</si>
  <si>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</si>
  <si>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</si>
  <si>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</si>
  <si>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</si>
  <si>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</si>
  <si>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</si>
  <si>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</si>
  <si>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</si>
  <si>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</si>
  <si>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</si>
  <si>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</si>
  <si>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</si>
  <si>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</si>
  <si>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</si>
  <si>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</si>
  <si>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</si>
  <si>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All:</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</si>
  <si>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</si>
  <si>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</si>
  <si>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</si>
  <si>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</si>
  <si>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</si>
  <si>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</si>
  <si>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</si>
  <si>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</si>
  <si>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</si>
  <si>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</si>
  <si>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</si>
  <si>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</si>
  <si>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</si>
  <si>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</si>
  <si>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</si>
  <si>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</si>
  <si>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</si>
  <si>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</si>
  <si>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</si>
  <si>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</si>
  <si>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</si>
  <si>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</si>
  <si>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</si>
  <si>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</si>
  <si>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</si>
  <si>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</si>
  <si>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</si>
  <si>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</si>
  <si>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</si>
  <si>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</si>
  <si>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Target</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</si>
  <si>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</si>
  <si>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</si>
  <si>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</si>
  <si>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</si>
  <si>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</si>
  <si>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</si>
  <si>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</si>
  <si>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</si>
  <si>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</si>
  <si>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</si>
  <si>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</si>
  <si>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</si>
  <si>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</si>
  <si>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</si>
  <si>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</si>
  <si>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</si>
  <si>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</si>
  <si>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</si>
  <si>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</si>
  <si>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</si>
  <si>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</si>
  <si>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</si>
  <si>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</si>
  <si>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</si>
  <si>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</si>
  <si>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</si>
  <si>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</si>
  <si>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</si>
  <si>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</si>
  <si>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</si>
  <si>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</si>
  <si>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</si>
  <si>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</si>
  <si>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</si>
  <si>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</si>
  <si>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</si>
  <si>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</si>
  <si>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</si>
  <si>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</si>
  <si>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</si>
  <si>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</si>
  <si>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</si>
  <si>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</si>
  <si>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</si>
  <si>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</si>
  <si>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</si>
  <si>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</si>
  <si>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</si>
  <si>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</si>
  <si>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</si>
  <si>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</si>
  <si>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</si>
  <si>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</si>
  <si>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</si>
  <si>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</si>
  <si>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</si>
  <si>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</si>
  <si>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</si>
  <si>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</si>
  <si>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</si>
  <si>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</si>
  <si>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</si>
  <si>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</si>
  <si>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</si>
  <si>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</si>
  <si>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</si>
  <si>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</si>
  <si>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</si>
  <si>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</si>
  <si>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</si>
  <si>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</si>
  <si>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</si>
  <si>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</si>
  <si>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</si>
  <si>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</si>
  <si>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</si>
  <si>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</si>
  <si>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</si>
  <si>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</si>
  <si>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</si>
  <si>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</si>
  <si>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</si>
  <si>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</si>
  <si>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</si>
  <si>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</si>
  <si>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</si>
  <si>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</si>
  <si>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</si>
  <si>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</si>
  <si>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</si>
  <si>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</si>
  <si>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</si>
  <si>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</si>
  <si>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</si>
  <si>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</si>
  <si>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</si>
  <si>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</si>
  <si>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</si>
  <si>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</si>
  <si>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</si>
  <si>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</si>
  <si>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</si>
  <si>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</si>
  <si>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</si>
  <si>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</si>
  <si>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</si>
  <si>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</si>
  <si>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</si>
  <si>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</si>
  <si>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</si>
  <si>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</si>
  <si>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</si>
  <si>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</si>
  <si>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</si>
  <si>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</si>
  <si>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</si>
  <si>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</si>
  <si>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</si>
  <si>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</si>
  <si>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</si>
  <si>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</si>
  <si>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</si>
  <si>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</si>
  <si>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</si>
  <si>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</si>
  <si>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</si>
  <si>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</si>
  <si>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</si>
  <si>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</si>
  <si>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</si>
  <si>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</si>
  <si>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</si>
  <si>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</si>
  <si>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</si>
  <si>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</si>
  <si>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</si>
  <si>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</si>
  <si>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</si>
  <si>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</si>
  <si>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</si>
  <si>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</si>
  <si>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</si>
  <si>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</si>
  <si>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</si>
  <si>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</si>
  <si>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</si>
  <si>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</si>
  <si>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</si>
  <si>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</si>
  <si>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</si>
  <si>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</si>
  <si>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</si>
  <si>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</si>
  <si>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</si>
  <si>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</si>
  <si>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</si>
  <si>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</si>
  <si>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</si>
  <si>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</si>
  <si>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</si>
  <si>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</si>
  <si>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</si>
  <si>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</si>
  <si>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</si>
  <si>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</si>
  <si>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</si>
  <si>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</si>
  <si>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</si>
  <si>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</si>
  <si>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</si>
  <si>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</si>
  <si>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</si>
  <si>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</si>
  <si>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</si>
  <si>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</si>
  <si>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</si>
  <si>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</si>
  <si>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</si>
  <si>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</si>
  <si>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</si>
  <si>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</si>
  <si>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</si>
  <si>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</si>
  <si>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</si>
  <si>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</si>
  <si>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</si>
  <si>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</si>
  <si>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</si>
  <si>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</si>
  <si>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</si>
  <si>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</si>
  <si>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</si>
  <si>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</si>
  <si>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</si>
  <si>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</si>
  <si>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</si>
  <si>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</si>
  <si>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</si>
  <si>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</si>
  <si>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</si>
  <si>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</si>
  <si>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</si>
  <si>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</si>
  <si>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</si>
  <si>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</si>
  <si>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</si>
  <si>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</si>
  <si>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</si>
  <si>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</si>
  <si>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</si>
  <si>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</si>
  <si>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</si>
  <si>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</si>
  <si>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</si>
  <si>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</si>
  <si>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</si>
  <si>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Thickness (cm)</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</si>
  <si>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</si>
  <si>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</si>
  <si>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</si>
  <si>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</si>
  <si>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</si>
  <si>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</si>
  <si>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</si>
  <si>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</si>
  <si>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</si>
  <si>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</si>
  <si>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</si>
  <si>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</si>
  <si>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</si>
  <si>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</si>
  <si>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</si>
  <si>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</si>
  <si>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</si>
  <si>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</si>
  <si>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</si>
  <si>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</si>
  <si>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</si>
  <si>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</si>
  <si>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</si>
  <si>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</si>
  <si>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</si>
  <si>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</si>
  <si>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</si>
  <si>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</si>
  <si>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</si>
  <si>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</si>
  <si>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</si>
  <si>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</si>
  <si>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</si>
  <si>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</si>
  <si>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</si>
  <si>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</si>
  <si>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</si>
  <si>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</si>
  <si>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</si>
  <si>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</si>
  <si>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</si>
  <si>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</si>
  <si>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</si>
  <si>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</si>
  <si>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</si>
  <si>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</si>
  <si>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</si>
  <si>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</si>
  <si>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</si>
  <si>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</si>
  <si>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</si>
  <si>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</si>
  <si>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</si>
  <si>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</si>
  <si>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</si>
  <si>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</si>
  <si>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</si>
  <si>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</si>
  <si>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</si>
  <si>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</si>
  <si>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</si>
  <si>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</si>
  <si>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</si>
  <si>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</si>
  <si>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</si>
  <si>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</si>
  <si>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</si>
  <si>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24x29</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</si>
  <si>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</si>
  <si>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</si>
  <si>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</si>
  <si>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</si>
  <si>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</si>
  <si>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</si>
  <si>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</si>
  <si>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</si>
  <si>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</si>
  <si>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</si>
  <si>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</si>
  <si>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</si>
  <si>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</si>
  <si>
    <t>AEC Thickness Tracking - Stereotactic Breast Biopsy Add-on</t>
  </si>
  <si>
    <t>Artifact Evaluation Acceptable:</t>
  </si>
  <si>
    <t>Detector Uniformity Acceptable:</t>
  </si>
  <si>
    <t>Mean Glandular Dose – Stereo biopsy</t>
  </si>
  <si>
    <t>Mean Glandular Dose – Tomo biopsy</t>
  </si>
  <si>
    <t>Page1,Page2,Artifact_Coll,AEC_ImgQual,MGD,Gen_HVL</t>
  </si>
  <si>
    <t>Page1,Page2,Artifact_Coll,AEC_ImgQual,MGD,SBB,Gen_HVL</t>
  </si>
  <si>
    <t>SBB Stereo MGD:</t>
  </si>
  <si>
    <t>SBB Tomo MGD:</t>
  </si>
  <si>
    <t>Phantom Image Quality</t>
  </si>
  <si>
    <t>SBB</t>
  </si>
  <si>
    <t>SBB Tomo</t>
  </si>
  <si>
    <t>SBB kV:</t>
  </si>
  <si>
    <t>SBB Tomo kV:</t>
  </si>
  <si>
    <t>SBB Stereo - Must be able to see 5 fibers, 4 speck groups, 3.5 masses</t>
  </si>
  <si>
    <t>SBB Tomo - Must be able to see 3 fibers, 3 speck groups, 2.5 masses</t>
  </si>
  <si>
    <t>Is this unit used for diagnostic/magnification studies?</t>
  </si>
  <si>
    <t>Stereotactic breast biopsy unit or add-on present?</t>
  </si>
  <si>
    <t>Stereotactic Breast Biopsy</t>
  </si>
  <si>
    <t>Affirm Prone SBB</t>
  </si>
  <si>
    <t>Localization and sampling accurate/object captured</t>
  </si>
  <si>
    <t>11.    Localization Accuracy Test</t>
  </si>
  <si>
    <t>Artifacts identified:</t>
  </si>
  <si>
    <t>Artifacts were not apparent or not significant:</t>
  </si>
  <si>
    <t>10.    Artifact Evaluation</t>
  </si>
  <si>
    <t>Phantom image quality scores:</t>
  </si>
  <si>
    <t>Mini Phantom</t>
  </si>
  <si>
    <t>ACR Mammography Accreditation Phantom</t>
  </si>
  <si>
    <t>Phantom type:</t>
  </si>
  <si>
    <t>Phantom image quality is acceptable</t>
  </si>
  <si>
    <t>9.  Image Quality Evaluation</t>
  </si>
  <si>
    <t>Average glandular dose to a 4.2 cm thick breast is ≤ 3 mGy (300 mrad)</t>
  </si>
  <si>
    <t>Exposure reproducibility is within acceptable limits</t>
  </si>
  <si>
    <t>8.    Breast Entrance Exposure, Average Glandular Dose and Exposure Reproducibility</t>
  </si>
  <si>
    <t>Screen speed uniformity or digital receptor uniformity acceptable</t>
  </si>
  <si>
    <t>7.    Receptor Speed Uniformity</t>
  </si>
  <si>
    <t>Optical density or signal range acceptable</t>
  </si>
  <si>
    <t>6.    AEC System or Manual Exposure Performance Assessment</t>
  </si>
  <si>
    <t>HVL is within acceptable lower and upper limits at all kVp values tested</t>
  </si>
  <si>
    <t>5.    Beam Quality Assessment (Half-Value Layer Measurement)</t>
  </si>
  <si>
    <t>kVp coefficient of variation ≤ 0.02</t>
  </si>
  <si>
    <t>Measured average kVp within ±5% of indicated kVp</t>
  </si>
  <si>
    <r>
      <t xml:space="preserve">B. Digital system spatial resolution acceptable </t>
    </r>
    <r>
      <rPr>
        <i/>
        <sz val="10"/>
        <rFont val="Arial"/>
        <family val="2"/>
      </rPr>
      <t>(NA if film used)</t>
    </r>
  </si>
  <si>
    <r>
      <t xml:space="preserve">A. Focal spot performance acceptable </t>
    </r>
    <r>
      <rPr>
        <i/>
        <sz val="10"/>
        <rFont val="Arial"/>
        <family val="2"/>
      </rPr>
      <t>(NA if digital used)</t>
    </r>
  </si>
  <si>
    <t>3.    Focal Spot Performance and System Limiting Resolution</t>
  </si>
  <si>
    <r>
      <t xml:space="preserve">B. Biopsy window generally centered over digital image receptor </t>
    </r>
    <r>
      <rPr>
        <i/>
        <sz val="10"/>
        <rFont val="Arial"/>
        <family val="2"/>
      </rPr>
      <t>(NA if film used)</t>
    </r>
  </si>
  <si>
    <t>A. X-ray field adequately matches image receptor</t>
  </si>
  <si>
    <t>1.    Stereotactic Breast Biopsy Unit Assembly Evaluation</t>
  </si>
  <si>
    <t>Digital Image Receptor Mfr</t>
  </si>
  <si>
    <t>Film Processor Mfr</t>
  </si>
  <si>
    <t>Screen (mfr &amp; type)</t>
  </si>
  <si>
    <t>Film (mfr &amp; type)</t>
  </si>
  <si>
    <t>QC TEST SUMMARY</t>
  </si>
  <si>
    <t xml:space="preserve">MEDICAL PHYSICIST'S STEREOTACTIC UNIT </t>
  </si>
  <si>
    <t>As required by manufacturer</t>
  </si>
  <si>
    <t>Any additional tests required by manufacturer</t>
  </si>
  <si>
    <t>15.</t>
  </si>
  <si>
    <t>Before each patient</t>
  </si>
  <si>
    <r>
      <t xml:space="preserve">Zero Alignment Test </t>
    </r>
    <r>
      <rPr>
        <i/>
        <sz val="10"/>
        <rFont val="Arial"/>
        <family val="2"/>
      </rPr>
      <t>(if required by manufacturer)</t>
    </r>
  </si>
  <si>
    <t>14.</t>
  </si>
  <si>
    <r>
      <t xml:space="preserve">Darkroom Fog </t>
    </r>
    <r>
      <rPr>
        <i/>
        <sz val="10"/>
        <rFont val="Arial"/>
        <family val="2"/>
      </rPr>
      <t>(NA if digital used)</t>
    </r>
  </si>
  <si>
    <r>
      <t xml:space="preserve">Screen-Film Contact </t>
    </r>
    <r>
      <rPr>
        <i/>
        <sz val="10"/>
        <rFont val="Arial"/>
        <family val="2"/>
      </rPr>
      <t>(NA if digital used)</t>
    </r>
  </si>
  <si>
    <t>Repeat Analysis</t>
  </si>
  <si>
    <r>
      <t xml:space="preserve">Analysis of Fixer Retention in Film </t>
    </r>
    <r>
      <rPr>
        <i/>
        <sz val="10"/>
        <rFont val="Arial"/>
        <family val="2"/>
      </rPr>
      <t>(NA if digital used)</t>
    </r>
  </si>
  <si>
    <r>
      <t xml:space="preserve">Hardcopy Output Quality </t>
    </r>
    <r>
      <rPr>
        <i/>
        <sz val="10"/>
        <rFont val="Arial"/>
        <family val="2"/>
      </rPr>
      <t>(if hardcopy produced from digital data)</t>
    </r>
  </si>
  <si>
    <r>
      <t xml:space="preserve">Viewboxes and Viewing Conditions </t>
    </r>
    <r>
      <rPr>
        <i/>
        <sz val="10"/>
        <rFont val="Arial"/>
        <family val="2"/>
      </rPr>
      <t>(NA if digital used)</t>
    </r>
  </si>
  <si>
    <r>
      <t xml:space="preserve">Screen Cleanliness </t>
    </r>
    <r>
      <rPr>
        <i/>
        <sz val="10"/>
        <rFont val="Arial"/>
        <family val="2"/>
      </rPr>
      <t>(NA if digital used)</t>
    </r>
  </si>
  <si>
    <t xml:space="preserve">Phantom Images </t>
  </si>
  <si>
    <t>Daily</t>
  </si>
  <si>
    <r>
      <t xml:space="preserve">Processor Quality Control </t>
    </r>
    <r>
      <rPr>
        <i/>
        <sz val="10"/>
        <rFont val="Arial"/>
        <family val="2"/>
      </rPr>
      <t>(NA if digital used)</t>
    </r>
  </si>
  <si>
    <r>
      <t xml:space="preserve">Darkroom Cleanliness </t>
    </r>
    <r>
      <rPr>
        <i/>
        <sz val="10"/>
        <rFont val="Arial"/>
        <family val="2"/>
      </rPr>
      <t>(NA if digital used)</t>
    </r>
  </si>
  <si>
    <t>Localization Accuracy Test</t>
  </si>
  <si>
    <t>Frequency</t>
  </si>
  <si>
    <t>Evaluation of Site's Technologist QC Program</t>
  </si>
  <si>
    <r>
      <t>QC TEST SUMMARY</t>
    </r>
    <r>
      <rPr>
        <b/>
        <i/>
        <sz val="14"/>
        <rFont val="Arial"/>
        <family val="2"/>
      </rPr>
      <t xml:space="preserve"> (continued)</t>
    </r>
  </si>
  <si>
    <t>Enter 1 for YES, 2 for NO</t>
  </si>
  <si>
    <t>Calculate Radiation output (mGy/mAs and mGy/s) as a function of kV</t>
  </si>
  <si>
    <t>Is this a new installation?</t>
  </si>
  <si>
    <t>DHEC form SC-RHA-20 “Notice to Employees” posted or referenced</t>
  </si>
  <si>
    <t>Bkg Mean</t>
  </si>
  <si>
    <t>Disk Mean</t>
  </si>
  <si>
    <t>For software versions Dimensions 1.8.2 - 1.9.x and 3Dimensions 2.0.x and detector SN XX8xxxxx</t>
  </si>
  <si>
    <t>For software versions Dimensions 1.10.x+ and 3Dimensions 2.1.x+ and detector SN XX8xxxxx</t>
  </si>
  <si>
    <t>CNR Correction</t>
  </si>
  <si>
    <t>Conventional (XX8xxxxx series detectors)</t>
  </si>
  <si>
    <t>Magnification (XX8xxxxx series detectors)</t>
  </si>
  <si>
    <t>Stereotactic biopsy (XX8xxxxx series detectors)</t>
  </si>
  <si>
    <t>CE2D (XX8xxxxx series detectors)</t>
  </si>
  <si>
    <t>Tomo 15 Proj STD (XX8xxxxx series detectors)</t>
  </si>
  <si>
    <t>Tomo 15 Proj ENH (XX8xxxxx series detectors)</t>
  </si>
  <si>
    <t>0 Low</t>
  </si>
  <si>
    <t>0 High</t>
  </si>
  <si>
    <t>86 Jonathan Lucas St Suite 344, Charleston, SC</t>
  </si>
  <si>
    <t>MAN-03706 Rev 011</t>
  </si>
  <si>
    <t>Barco</t>
  </si>
  <si>
    <t>MDMC-12133</t>
  </si>
  <si>
    <t>Barco K5905277 v16</t>
  </si>
  <si>
    <t>W</t>
  </si>
  <si>
    <t>L</t>
  </si>
  <si>
    <t>Ag</t>
  </si>
  <si>
    <t>Cu</t>
  </si>
  <si>
    <t>S</t>
  </si>
  <si>
    <t>Al</t>
  </si>
  <si>
    <t>*W/Cu for CEDM only.  Use manual mode.</t>
  </si>
  <si>
    <t>Mean Glandular Dose – CEDM</t>
  </si>
  <si>
    <t>Filter 4:</t>
  </si>
  <si>
    <t>Half Value Layer – CEDM</t>
  </si>
  <si>
    <t>W targets – HVL is &gt; (kV/100)+0.03</t>
  </si>
  <si>
    <t>CEDM MGD:</t>
  </si>
  <si>
    <t>Exposure to Dose Conversion Factors W/Cu for 4.2cm 50/50 Breast</t>
  </si>
  <si>
    <t>Measurements</t>
  </si>
  <si>
    <t>Set kV_x000D_(kV)</t>
  </si>
  <si>
    <t>Set mAs_x000D_(mAs)</t>
  </si>
  <si>
    <t>Calibration</t>
  </si>
  <si>
    <t>Tube voltage_x000D_(kV)</t>
  </si>
  <si>
    <t>Exposure time_x000D_(ms)</t>
  </si>
  <si>
    <t>Exposure_x000D_(mGy)</t>
  </si>
  <si>
    <t>Exposure rate_x000D_(mGy/s)</t>
  </si>
  <si>
    <t>HVL_x000D_(mm Al)</t>
  </si>
  <si>
    <t>Calc mA</t>
  </si>
  <si>
    <t>W/50 µm Rh (Sel)</t>
  </si>
  <si>
    <t>W/50 µm Ag (Sel)</t>
  </si>
  <si>
    <t>W/0.70 mm Al</t>
  </si>
  <si>
    <t>W/0.3 mm Cu</t>
  </si>
  <si>
    <t>Revision 2.9.1-20250904</t>
  </si>
  <si>
    <t>Light_x000D_(lx)</t>
  </si>
  <si>
    <t xml:space="preserve"> </t>
  </si>
  <si>
    <t>DES RHB 2.5.1.1</t>
  </si>
  <si>
    <t>DES RHB 11.2.3</t>
  </si>
  <si>
    <t>DES RHB 4.3.1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</si>
</sst>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66">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
      <b/>
      <sz val="12"/>
      <color theme="1"/>
      <name val="Times New Roman"/>
      <family val="1"/>
    </font>
    <font>
      <b/>
      <sz val="14"/>
      <color theme="1"/>
      <name val="Times New Roman"/>
      <family val="1"/>
    </font>
    <font>
      <sz val="10"/>
      <color rgb="FF000000"/>
      <name val="Arial"/>
      <family val="2"/>
    </font>
    <font>
      <i/>
      <sz val="12"/>
      <name val="Arial"/>
      <family val="2"/>
    </font>
    <font>
      <sz val="20"/>
      <name val="Arial"/>
      <family val="2"/>
    </font>
    <font>
      <b/>
      <sz val="11"/>
      <color rgb="FF000000"/>
      <name val="Times New Roman"/>
      <family val="1"/>
    </font>
    <font>
      <b/>
      <sz val="12"/>
      <color theme="1"/>
      <name val="Calibri"/>
      <family val="2"/>
      <scheme val="minor"/>
    </font>
    <font>
      <b/>
      <sz val="12"/>
      <color rgb="FFFFFFFF"/>
      <name val="Calibri"/>
      <family val="2"/>
      <scheme val="minor"/>
    </font>
  </fonts>
  <fills count="13">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rgb="FF000000"/>
        <bgColor indexed="64"/>
      </patternFill>
    </fill>
  </fills>
  <borders count="151">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hair">
        <color auto="1"/>
      </left>
      <right style="hair">
        <color auto="1"/>
      </right>
      <top/>
      <bottom style="thin">
        <color auto="1"/>
      </bottom>
      <diagonal/>
    </border>
    <border>
      <left style="medium">
        <color rgb="FF000000"/>
      </left>
      <right style="thin">
        <color rgb="FF000000"/>
      </right>
      <top style="thin">
        <color rgb="FF000000"/>
      </top>
      <bottom style="thin">
        <color rgb="FF000000"/>
      </bottom>
      <diagonal/>
    </border>
    <border>
      <left style="medium">
        <color auto="1"/>
      </left>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667">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Border="1">
      <alignment vertical="top"/>
    </xf>
    <xf numFmtId="0" fontId="5" fillId="0" borderId="29"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2" fontId="5" fillId="0" borderId="37" xfId="2" applyNumberFormat="1" applyBorder="1">
      <alignment vertical="top"/>
    </xf>
    <xf numFmtId="0" fontId="5" fillId="0" borderId="123" xfId="2" applyBorder="1" applyAlignment="1">
      <alignment horizontal="center" vertical="top"/>
    </xf>
    <xf numFmtId="0" fontId="5" fillId="0" borderId="0" xfId="2" applyAlignment="1">
      <alignment horizontal="center"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Alignment="1">
      <alignment horizontal="right"/>
    </xf>
    <xf numFmtId="0" fontId="7" fillId="0" borderId="0" xfId="4" applyFont="1" applyAlignment="1">
      <alignment horizontal="left"/>
    </xf>
    <xf numFmtId="0" fontId="9" fillId="0" borderId="0" xfId="4" applyFont="1"/>
    <xf numFmtId="0" fontId="7" fillId="0" borderId="22" xfId="4" applyFont="1" applyBorder="1"/>
    <xf numFmtId="0" fontId="8" fillId="0" borderId="0" xfId="4" applyAlignment="1">
      <alignment horizontal="right"/>
    </xf>
    <xf numFmtId="0" fontId="8" fillId="0" borderId="0" xfId="4" applyAlignment="1">
      <alignment vertical="center"/>
    </xf>
    <xf numFmtId="0" fontId="3"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13" fillId="0" borderId="0" xfId="4" applyFont="1" applyAlignment="1">
      <alignment horizontal="left"/>
    </xf>
    <xf numFmtId="0" fontId="12" fillId="0" borderId="0" xfId="4" applyFont="1"/>
    <xf numFmtId="0" fontId="8" fillId="0" borderId="0" xfId="4" applyAlignment="1">
      <alignment horizontal="left"/>
    </xf>
    <xf numFmtId="0" fontId="13" fillId="0" borderId="0" xfId="4" applyFont="1" applyAlignment="1">
      <alignment horizontal="right"/>
    </xf>
    <xf numFmtId="0" fontId="27" fillId="0" borderId="0" xfId="4" applyFont="1" applyAlignment="1">
      <alignment horizontal="center"/>
    </xf>
    <xf numFmtId="2" fontId="3" fillId="0" borderId="0" xfId="4" applyNumberFormat="1" applyFont="1"/>
    <xf numFmtId="0" fontId="22" fillId="0" borderId="125" xfId="4" applyFont="1" applyBorder="1" applyAlignment="1">
      <alignment horizontal="center"/>
    </xf>
    <xf numFmtId="0" fontId="3" fillId="0" borderId="0" xfId="4" applyFont="1" applyAlignment="1">
      <alignment horizontal="right"/>
    </xf>
    <xf numFmtId="167" fontId="8" fillId="11" borderId="111" xfId="4" applyNumberFormat="1" applyFill="1" applyBorder="1" applyAlignment="1">
      <alignment horizontal="center"/>
    </xf>
    <xf numFmtId="167" fontId="8" fillId="0" borderId="111" xfId="4" applyNumberFormat="1" applyBorder="1" applyAlignment="1">
      <alignment horizontal="center"/>
    </xf>
    <xf numFmtId="167" fontId="8" fillId="0" borderId="37" xfId="4" applyNumberFormat="1" applyBorder="1" applyAlignment="1">
      <alignment horizontal="center"/>
    </xf>
    <xf numFmtId="0" fontId="7" fillId="10" borderId="0" xfId="4" applyFont="1" applyFill="1" applyAlignment="1">
      <alignment horizontal="center"/>
    </xf>
    <xf numFmtId="0" fontId="11" fillId="0" borderId="0" xfId="4" applyFont="1"/>
    <xf numFmtId="0" fontId="32" fillId="10" borderId="0" xfId="5" applyFont="1" applyFill="1" applyAlignment="1"/>
    <xf numFmtId="0" fontId="33" fillId="10" borderId="0" xfId="5" applyFont="1" applyFill="1" applyAlignment="1"/>
    <xf numFmtId="2" fontId="34" fillId="11" borderId="0" xfId="5" applyNumberFormat="1" applyFont="1" applyFill="1" applyAlignment="1"/>
    <xf numFmtId="0" fontId="33" fillId="10" borderId="0" xfId="5" applyFont="1" applyFill="1" applyAlignment="1">
      <alignment horizontal="center" wrapText="1"/>
    </xf>
    <xf numFmtId="0" fontId="11" fillId="0" borderId="0" xfId="4" applyFont="1" applyAlignment="1">
      <alignment horizontal="center" wrapText="1"/>
    </xf>
    <xf numFmtId="0" fontId="32" fillId="10" borderId="0" xfId="5" applyFont="1" applyFill="1" applyAlignment="1">
      <alignment horizontal="left"/>
    </xf>
    <xf numFmtId="0" fontId="32" fillId="10" borderId="0" xfId="5" applyFont="1" applyFill="1" applyAlignment="1">
      <alignment horizontal="left" wrapText="1"/>
    </xf>
    <xf numFmtId="0" fontId="8" fillId="0" borderId="0" xfId="4"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Font="1" applyAlignment="1">
      <alignment horizontal="center"/>
    </xf>
    <xf numFmtId="49" fontId="3" fillId="0" borderId="0" xfId="4" applyNumberFormat="1" applyFont="1"/>
    <xf numFmtId="0" fontId="17" fillId="0" borderId="0" xfId="4" applyFont="1" applyAlignment="1">
      <alignment horizontal="center"/>
    </xf>
    <xf numFmtId="0" fontId="18" fillId="0" borderId="0" xfId="4" applyFont="1"/>
    <xf numFmtId="0" fontId="19" fillId="0" borderId="130" xfId="4" applyFont="1" applyBorder="1" applyAlignment="1">
      <alignment horizontal="center"/>
    </xf>
    <xf numFmtId="0" fontId="19" fillId="0" borderId="131" xfId="4" applyFont="1" applyBorder="1" applyAlignment="1">
      <alignment horizontal="center" wrapText="1"/>
    </xf>
    <xf numFmtId="0" fontId="19" fillId="0" borderId="131" xfId="4" applyFont="1" applyBorder="1" applyAlignment="1">
      <alignment horizontal="center"/>
    </xf>
    <xf numFmtId="0" fontId="19" fillId="0" borderId="132"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3"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5"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5"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7" xfId="4" applyFont="1" applyBorder="1"/>
    <xf numFmtId="0" fontId="21" fillId="0" borderId="138" xfId="4" applyFont="1" applyBorder="1" applyAlignment="1">
      <alignment horizontal="center" vertical="center" wrapText="1"/>
    </xf>
    <xf numFmtId="0" fontId="21" fillId="0" borderId="139" xfId="4" applyFont="1" applyBorder="1" applyAlignment="1">
      <alignment horizontal="left" vertical="center" wrapText="1"/>
    </xf>
    <xf numFmtId="0" fontId="21" fillId="0" borderId="140" xfId="4" applyFont="1" applyBorder="1"/>
    <xf numFmtId="0" fontId="21" fillId="0" borderId="141"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4" xfId="4" applyFont="1" applyBorder="1" applyAlignment="1">
      <alignment horizontal="center" vertical="center" wrapText="1"/>
    </xf>
    <xf numFmtId="0" fontId="21" fillId="0" borderId="141" xfId="4" applyFont="1" applyBorder="1" applyAlignment="1">
      <alignment horizontal="center" vertical="center" wrapText="1"/>
    </xf>
    <xf numFmtId="0" fontId="21" fillId="0" borderId="142"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3"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4" xfId="4" applyFont="1" applyBorder="1" applyAlignment="1">
      <alignment vertical="center" wrapText="1"/>
    </xf>
    <xf numFmtId="0" fontId="21" fillId="0" borderId="144" xfId="4" applyFont="1" applyBorder="1" applyAlignment="1">
      <alignment horizontal="center" vertical="center" wrapText="1"/>
    </xf>
    <xf numFmtId="0" fontId="21" fillId="0" borderId="0" xfId="4" applyFont="1"/>
    <xf numFmtId="167" fontId="8" fillId="10" borderId="37" xfId="4" applyNumberFormat="1" applyFill="1" applyBorder="1" applyAlignment="1">
      <alignment horizontal="center"/>
    </xf>
    <xf numFmtId="2" fontId="8" fillId="11" borderId="37" xfId="4" applyNumberFormat="1" applyFill="1" applyBorder="1" applyAlignment="1">
      <alignment horizontal="center"/>
    </xf>
    <xf numFmtId="2" fontId="8" fillId="0" borderId="37" xfId="4" applyNumberFormat="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Alignment="1">
      <alignmen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40" fillId="0" borderId="37" xfId="0" applyFont="1" applyBorder="1" applyAlignment="1">
      <alignment horizontal="center" vertical="center"/>
    </xf>
    <xf numFmtId="0" fontId="40" fillId="0" borderId="37" xfId="0" applyFont="1" applyBorder="1"/>
    <xf numFmtId="0" fontId="39" fillId="0" borderId="0" xfId="0" applyFont="1" applyAlignment="1">
      <alignment horizontal="left"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48" fillId="0" borderId="0" xfId="0" applyFont="1" applyAlignment="1">
      <alignment vertical="center"/>
    </xf>
    <xf numFmtId="0" fontId="48" fillId="0" borderId="53" xfId="0" applyFont="1" applyBorder="1" applyAlignment="1">
      <alignment horizontal="center" vertical="center"/>
    </xf>
    <xf numFmtId="0" fontId="48" fillId="0" borderId="54" xfId="0" applyFont="1" applyBorder="1" applyAlignment="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1"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2"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6"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5"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3" xfId="0" applyFont="1" applyFill="1" applyBorder="1" applyAlignment="1">
      <alignment horizontal="center" vertical="center"/>
    </xf>
    <xf numFmtId="0" fontId="47" fillId="0" borderId="10" xfId="0" applyFont="1" applyBorder="1" applyAlignment="1">
      <alignment vertical="center"/>
    </xf>
    <xf numFmtId="169" fontId="48" fillId="0" borderId="0" xfId="0" applyNumberFormat="1" applyFont="1" applyAlignment="1" applyProtection="1">
      <alignment horizontal="center" vertical="center"/>
      <protection locked="0"/>
    </xf>
    <xf numFmtId="169" fontId="48" fillId="0" borderId="0" xfId="0" applyNumberFormat="1" applyFont="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4"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5"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7" xfId="0" applyFont="1" applyBorder="1" applyAlignment="1">
      <alignment horizontal="left" vertical="center"/>
    </xf>
    <xf numFmtId="0" fontId="37" fillId="0" borderId="148"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48" fillId="0" borderId="0" xfId="0" applyFont="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xf numFmtId="0" fontId="58" fillId="0" borderId="9" xfId="0" applyFont="1" applyBorder="1"/>
    <xf numFmtId="0" fontId="58" fillId="0" borderId="0" xfId="0" applyFont="1"/>
    <xf numFmtId="0" fontId="37" fillId="0" borderId="127" xfId="0" applyFont="1" applyBorder="1" applyAlignment="1">
      <alignment horizontal="center" vertical="center"/>
    </xf>
    <xf numFmtId="0" fontId="40" fillId="0" borderId="7" xfId="0" applyFont="1" applyBorder="1"/>
    <xf numFmtId="0" fontId="40" fillId="0" borderId="8" xfId="0" applyFont="1" applyBorder="1"/>
    <xf numFmtId="0" fontId="40" fillId="0" borderId="11" xfId="0" applyFont="1" applyBorder="1"/>
    <xf numFmtId="0" fontId="40" fillId="0" borderId="12" xfId="0" applyFont="1" applyBorder="1"/>
    <xf numFmtId="0" fontId="40" fillId="0" borderId="13" xfId="0" applyFont="1" applyBorder="1"/>
    <xf numFmtId="0" fontId="7" fillId="0" borderId="0" xfId="4" applyFont="1" applyAlignment="1">
      <alignment horizontal="center"/>
    </xf>
    <xf numFmtId="0" fontId="40" fillId="0" borderId="2" xfId="0" applyFont="1" applyBorder="1"/>
    <xf numFmtId="0" fontId="40" fillId="0" borderId="3" xfId="0" applyFont="1" applyBorder="1"/>
    <xf numFmtId="0" fontId="40" fillId="0" borderId="56" xfId="0" applyFont="1" applyBorder="1"/>
    <xf numFmtId="0" fontId="40" fillId="0" borderId="15" xfId="0" applyFont="1" applyBorder="1"/>
    <xf numFmtId="0" fontId="40" fillId="0" borderId="57" xfId="0" applyFont="1" applyBorder="1"/>
    <xf numFmtId="0" fontId="40" fillId="0" borderId="0" xfId="0" applyFont="1" applyAlignment="1">
      <alignment horizontal="right" vertical="center"/>
    </xf>
    <xf numFmtId="0" fontId="59" fillId="0" borderId="1" xfId="0" applyFont="1" applyBorder="1" applyAlignment="1">
      <alignment horizontal="left" vertical="center"/>
    </xf>
    <xf numFmtId="0" fontId="60" fillId="0" borderId="0" xfId="2" applyFont="1">
      <alignment vertical="top"/>
    </xf>
    <xf numFmtId="0" fontId="7" fillId="0" borderId="104" xfId="4" applyFont="1" applyBorder="1"/>
    <xf numFmtId="1" fontId="8" fillId="0" borderId="0" xfId="4" applyNumberFormat="1" applyAlignment="1">
      <alignment horizontal="center"/>
    </xf>
    <xf numFmtId="0" fontId="7" fillId="0" borderId="23" xfId="4" applyFont="1" applyBorder="1" applyAlignment="1">
      <alignment horizontal="centerContinuous"/>
    </xf>
    <xf numFmtId="0" fontId="7" fillId="10" borderId="23" xfId="4" applyFont="1" applyFill="1" applyBorder="1" applyAlignment="1">
      <alignment horizontal="center"/>
    </xf>
    <xf numFmtId="0" fontId="7" fillId="0" borderId="23" xfId="4" applyFont="1" applyBorder="1"/>
    <xf numFmtId="0" fontId="8" fillId="10" borderId="0" xfId="4" applyFill="1" applyAlignment="1">
      <alignment horizontal="center"/>
    </xf>
    <xf numFmtId="0" fontId="7" fillId="10" borderId="104" xfId="4" applyFont="1" applyFill="1" applyBorder="1" applyAlignment="1">
      <alignment horizontal="center"/>
    </xf>
    <xf numFmtId="0" fontId="8" fillId="0" borderId="0" xfId="4" applyAlignment="1">
      <alignment horizontal="centerContinuous"/>
    </xf>
    <xf numFmtId="0" fontId="14" fillId="0" borderId="0" xfId="4" applyFont="1" applyAlignment="1">
      <alignment horizontal="centerContinuous"/>
    </xf>
    <xf numFmtId="0" fontId="7" fillId="0" borderId="0" xfId="4" applyFont="1" applyAlignment="1">
      <alignment horizontal="center" vertical="center"/>
    </xf>
    <xf numFmtId="0" fontId="7" fillId="0" borderId="0" xfId="4" applyFont="1" applyAlignment="1">
      <alignment horizontal="centerContinuous"/>
    </xf>
    <xf numFmtId="0" fontId="63" fillId="0" borderId="0" xfId="0" applyFont="1" applyAlignment="1">
      <alignment horizontal="right" vertical="center"/>
    </xf>
    <xf numFmtId="0" fontId="37" fillId="4" borderId="150" xfId="0" applyFont="1" applyFill="1" applyBorder="1" applyAlignment="1">
      <alignment horizontal="center" vertical="center"/>
    </xf>
    <xf numFmtId="0" fontId="8" fillId="11" borderId="37" xfId="4" applyFill="1" applyBorder="1" applyAlignment="1">
      <alignment horizontal="center" vertical="center"/>
    </xf>
    <xf numFmtId="0" fontId="7" fillId="10" borderId="37" xfId="4" applyFont="1" applyFill="1" applyBorder="1" applyAlignment="1">
      <alignment horizontal="center" vertical="center"/>
    </xf>
    <xf numFmtId="1" fontId="3" fillId="11" borderId="37" xfId="4" applyNumberFormat="1" applyFont="1" applyFill="1" applyBorder="1" applyAlignment="1">
      <alignment horizontal="center" vertical="center"/>
    </xf>
    <xf numFmtId="167" fontId="3" fillId="11" borderId="37" xfId="4" applyNumberFormat="1" applyFont="1" applyFill="1" applyBorder="1" applyAlignment="1">
      <alignment horizontal="center" vertical="center"/>
    </xf>
    <xf numFmtId="1" fontId="37" fillId="0" borderId="22" xfId="0" applyNumberFormat="1" applyFont="1" applyBorder="1" applyAlignment="1">
      <alignment horizontal="center" vertical="center"/>
    </xf>
    <xf numFmtId="0" fontId="40" fillId="0" borderId="116" xfId="0" applyFont="1" applyBorder="1"/>
    <xf numFmtId="0" fontId="40" fillId="0" borderId="117" xfId="0" applyFont="1" applyBorder="1"/>
    <xf numFmtId="0" fontId="40" fillId="0" borderId="118" xfId="0" applyFont="1" applyBorder="1"/>
    <xf numFmtId="0" fontId="40" fillId="0" borderId="119" xfId="0" applyFont="1" applyBorder="1"/>
    <xf numFmtId="0" fontId="40" fillId="0" borderId="38" xfId="0" applyFont="1" applyBorder="1"/>
    <xf numFmtId="0" fontId="40" fillId="0" borderId="120" xfId="0" applyFont="1" applyBorder="1"/>
    <xf numFmtId="0" fontId="40" fillId="0" borderId="41" xfId="0" applyFont="1" applyBorder="1"/>
    <xf numFmtId="0" fontId="40" fillId="0" borderId="42" xfId="0" applyFont="1" applyBorder="1"/>
    <xf numFmtId="0" fontId="40" fillId="0" borderId="149" xfId="0" applyFont="1" applyBorder="1" applyAlignment="1">
      <alignment vertical="center"/>
    </xf>
    <xf numFmtId="0" fontId="40" fillId="0" borderId="0" xfId="0" applyFont="1" applyAlignment="1">
      <alignment vertical="center"/>
    </xf>
    <xf numFmtId="2" fontId="40" fillId="0" borderId="0" xfId="0" applyNumberFormat="1" applyFont="1"/>
    <xf numFmtId="0" fontId="40" fillId="0" borderId="37" xfId="0" applyFont="1" applyBorder="1" applyAlignment="1">
      <alignment vertical="center"/>
    </xf>
    <xf numFmtId="0" fontId="40" fillId="0" borderId="79" xfId="0" applyFont="1" applyBorder="1" applyAlignment="1">
      <alignment vertical="center"/>
    </xf>
    <xf numFmtId="0" fontId="40" fillId="0" borderId="85" xfId="0" applyFont="1" applyBorder="1" applyAlignment="1">
      <alignment vertical="center"/>
    </xf>
    <xf numFmtId="0" fontId="40" fillId="0" borderId="86" xfId="0" applyFont="1" applyBorder="1" applyAlignment="1">
      <alignment vertical="center"/>
    </xf>
    <xf numFmtId="0" fontId="40" fillId="0" borderId="82" xfId="0" applyFont="1" applyBorder="1" applyAlignment="1">
      <alignment vertical="center"/>
    </xf>
    <xf numFmtId="0" fontId="40" fillId="0" borderId="47" xfId="0" applyFont="1" applyBorder="1" applyAlignment="1">
      <alignment vertical="center"/>
    </xf>
    <xf numFmtId="0" fontId="40" fillId="0" borderId="83" xfId="0" applyFont="1" applyBorder="1" applyAlignment="1">
      <alignment vertical="center"/>
    </xf>
    <xf numFmtId="0" fontId="64" fillId="0" borderId="0" xfId="0" applyFont="1"/>
    <xf numFmtId="0" fontId="65" fillId="12" borderId="0" xfId="0" applyFont="1" applyFill="1"/>
    <xf numFmtId="0" fontId="6" fillId="0" borderId="0" xfId="4" applyFont="1" applyAlignment="1">
      <alignment horizontal="center"/>
    </xf>
    <xf numFmtId="0" fontId="8" fillId="10" borderId="55" xfId="4" applyFill="1" applyBorder="1" applyAlignment="1">
      <alignment horizontal="center"/>
    </xf>
    <xf numFmtId="0" fontId="8" fillId="10" borderId="23" xfId="4" applyFill="1" applyBorder="1" applyAlignment="1">
      <alignment horizontal="center"/>
    </xf>
    <xf numFmtId="0" fontId="8" fillId="10" borderId="124" xfId="4" applyFill="1" applyBorder="1" applyAlignment="1">
      <alignment horizontal="center"/>
    </xf>
    <xf numFmtId="173" fontId="8" fillId="10" borderId="55" xfId="4" applyNumberFormat="1" applyFill="1" applyBorder="1" applyAlignment="1">
      <alignment horizontal="center"/>
    </xf>
    <xf numFmtId="173" fontId="8" fillId="10" borderId="23" xfId="4" applyNumberFormat="1" applyFill="1" applyBorder="1" applyAlignment="1">
      <alignment horizontal="center"/>
    </xf>
    <xf numFmtId="173" fontId="8" fillId="10" borderId="124" xfId="4" applyNumberFormat="1" applyFill="1" applyBorder="1" applyAlignment="1">
      <alignment horizontal="center"/>
    </xf>
    <xf numFmtId="174" fontId="8" fillId="10" borderId="55" xfId="4" applyNumberFormat="1" applyFill="1" applyBorder="1" applyAlignment="1">
      <alignment horizontal="center"/>
    </xf>
    <xf numFmtId="174" fontId="8" fillId="10" borderId="23" xfId="4" applyNumberFormat="1" applyFill="1" applyBorder="1" applyAlignment="1">
      <alignment horizontal="center"/>
    </xf>
    <xf numFmtId="174" fontId="8" fillId="10" borderId="124" xfId="4" applyNumberFormat="1" applyFill="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4" xfId="4" applyFont="1" applyBorder="1" applyAlignment="1">
      <alignment horizontal="center"/>
    </xf>
    <xf numFmtId="0" fontId="8" fillId="0" borderId="125" xfId="4" applyBorder="1" applyAlignment="1">
      <alignment horizontal="center"/>
    </xf>
    <xf numFmtId="0" fontId="8" fillId="0" borderId="126" xfId="4" applyBorder="1" applyAlignment="1">
      <alignment horizontal="center"/>
    </xf>
    <xf numFmtId="0" fontId="8" fillId="0" borderId="127" xfId="4" applyBorder="1" applyAlignment="1">
      <alignment horizontal="center"/>
    </xf>
    <xf numFmtId="0" fontId="8" fillId="0" borderId="128" xfId="4" applyBorder="1" applyAlignment="1">
      <alignment horizontal="center"/>
    </xf>
    <xf numFmtId="0" fontId="7" fillId="0" borderId="123" xfId="4" applyFont="1" applyBorder="1" applyAlignment="1">
      <alignment horizontal="center"/>
    </xf>
    <xf numFmtId="0" fontId="7" fillId="0" borderId="97" xfId="4" applyFont="1" applyBorder="1" applyAlignment="1">
      <alignment horizontal="center"/>
    </xf>
    <xf numFmtId="0" fontId="8" fillId="0" borderId="55" xfId="4" applyBorder="1" applyAlignment="1">
      <alignment horizontal="center"/>
    </xf>
    <xf numFmtId="0" fontId="8" fillId="0" borderId="23" xfId="4" applyBorder="1" applyAlignment="1">
      <alignment horizontal="center"/>
    </xf>
    <xf numFmtId="0" fontId="8" fillId="0" borderId="124" xfId="4" applyBorder="1" applyAlignment="1">
      <alignment horizontal="center"/>
    </xf>
    <xf numFmtId="0" fontId="11" fillId="0" borderId="0" xfId="4" applyFont="1" applyAlignment="1">
      <alignment horizontal="left" vertical="center" wrapText="1"/>
    </xf>
    <xf numFmtId="0" fontId="7" fillId="10" borderId="55" xfId="4" applyFont="1" applyFill="1" applyBorder="1" applyAlignment="1">
      <alignment horizontal="center"/>
    </xf>
    <xf numFmtId="0" fontId="7" fillId="10" borderId="124" xfId="4" applyFont="1" applyFill="1" applyBorder="1" applyAlignment="1">
      <alignment horizontal="center"/>
    </xf>
    <xf numFmtId="0" fontId="11" fillId="0" borderId="0" xfId="4" applyFont="1" applyAlignment="1">
      <alignment horizontal="center" vertical="center"/>
    </xf>
    <xf numFmtId="0" fontId="13" fillId="0" borderId="0" xfId="4" applyFont="1" applyAlignment="1">
      <alignment horizontal="center"/>
    </xf>
    <xf numFmtId="0" fontId="29" fillId="0" borderId="0" xfId="4" applyFont="1" applyAlignment="1">
      <alignment horizontal="center"/>
    </xf>
    <xf numFmtId="0" fontId="7" fillId="11" borderId="55" xfId="4" applyFont="1" applyFill="1" applyBorder="1" applyAlignment="1">
      <alignment horizontal="center"/>
    </xf>
    <xf numFmtId="0" fontId="7" fillId="11" borderId="23" xfId="4" applyFont="1" applyFill="1" applyBorder="1" applyAlignment="1">
      <alignment horizontal="center"/>
    </xf>
    <xf numFmtId="0" fontId="7" fillId="11" borderId="124" xfId="4" applyFont="1" applyFill="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Alignment="1">
      <alignment horizontal="center"/>
    </xf>
    <xf numFmtId="0" fontId="32" fillId="10" borderId="0" xfId="5" applyFont="1" applyFill="1" applyAlignment="1">
      <alignment horizontal="left" wrapText="1"/>
    </xf>
    <xf numFmtId="0" fontId="7"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4" xfId="4" applyBorder="1" applyAlignment="1">
      <alignment horizontal="left" vertical="top" wrapText="1"/>
    </xf>
    <xf numFmtId="0" fontId="7" fillId="0" borderId="108" xfId="4" applyFont="1" applyBorder="1" applyAlignment="1">
      <alignment horizontal="left" vertical="center" wrapText="1"/>
    </xf>
    <xf numFmtId="0" fontId="7" fillId="0" borderId="129" xfId="4" applyFont="1" applyBorder="1" applyAlignment="1">
      <alignment horizontal="left" vertical="center" wrapText="1"/>
    </xf>
    <xf numFmtId="0" fontId="7" fillId="0" borderId="109" xfId="4" applyFont="1" applyBorder="1" applyAlignment="1">
      <alignment horizontal="left" vertical="center" wrapText="1"/>
    </xf>
    <xf numFmtId="0" fontId="22" fillId="0" borderId="55" xfId="4" applyFont="1" applyBorder="1" applyAlignment="1">
      <alignment horizontal="left" vertical="top" wrapText="1"/>
    </xf>
    <xf numFmtId="0" fontId="61" fillId="10" borderId="55" xfId="4" applyFont="1" applyFill="1" applyBorder="1" applyAlignment="1">
      <alignment horizontal="center"/>
    </xf>
    <xf numFmtId="0" fontId="61" fillId="10" borderId="23" xfId="4" applyFont="1" applyFill="1" applyBorder="1" applyAlignment="1">
      <alignment horizontal="center"/>
    </xf>
    <xf numFmtId="0" fontId="61" fillId="10" borderId="124" xfId="4" applyFont="1" applyFill="1" applyBorder="1" applyAlignment="1">
      <alignment horizontal="center"/>
    </xf>
    <xf numFmtId="173" fontId="7" fillId="10" borderId="55" xfId="4" applyNumberFormat="1" applyFont="1" applyFill="1" applyBorder="1" applyAlignment="1">
      <alignment horizontal="center"/>
    </xf>
    <xf numFmtId="173" fontId="7" fillId="10" borderId="23" xfId="4" applyNumberFormat="1" applyFont="1" applyFill="1" applyBorder="1" applyAlignment="1">
      <alignment horizontal="center"/>
    </xf>
    <xf numFmtId="173" fontId="7" fillId="10" borderId="124" xfId="4" applyNumberFormat="1" applyFont="1" applyFill="1" applyBorder="1" applyAlignment="1">
      <alignment horizontal="center"/>
    </xf>
    <xf numFmtId="0" fontId="7" fillId="10" borderId="23" xfId="4" applyFont="1" applyFill="1" applyBorder="1" applyAlignment="1">
      <alignment horizontal="center"/>
    </xf>
    <xf numFmtId="0" fontId="62" fillId="0" borderId="0" xfId="4" applyFont="1" applyAlignment="1">
      <alignment horizontal="center"/>
    </xf>
    <xf numFmtId="0" fontId="11" fillId="0" borderId="23" xfId="4" applyFont="1" applyBorder="1" applyAlignment="1">
      <alignment horizontal="left" vertical="top" wrapText="1"/>
    </xf>
    <xf numFmtId="0" fontId="11" fillId="0" borderId="124" xfId="4" applyFont="1" applyBorder="1" applyAlignment="1">
      <alignment horizontal="left" vertical="top" wrapText="1"/>
    </xf>
    <xf numFmtId="0" fontId="21" fillId="0" borderId="136" xfId="4" applyFont="1" applyBorder="1" applyAlignment="1">
      <alignment horizontal="left" vertical="center" wrapText="1"/>
    </xf>
    <xf numFmtId="0" fontId="8" fillId="0" borderId="58" xfId="4" applyBorder="1" applyAlignment="1">
      <alignment horizontal="left" vertical="center" wrapText="1"/>
    </xf>
    <xf numFmtId="0" fontId="8" fillId="0" borderId="134"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6" xfId="4" applyFont="1" applyBorder="1" applyAlignment="1">
      <alignment vertical="center"/>
    </xf>
    <xf numFmtId="0" fontId="8" fillId="0" borderId="58" xfId="4" applyBorder="1" applyAlignment="1">
      <alignment vertical="center"/>
    </xf>
    <xf numFmtId="0" fontId="8" fillId="0" borderId="134" xfId="4" applyBorder="1" applyAlignment="1">
      <alignment vertical="center"/>
    </xf>
    <xf numFmtId="0" fontId="21" fillId="0" borderId="136" xfId="4" applyFont="1" applyBorder="1" applyAlignment="1">
      <alignment vertical="center" wrapText="1"/>
    </xf>
    <xf numFmtId="0" fontId="8" fillId="0" borderId="134" xfId="4" applyBorder="1" applyAlignment="1">
      <alignment vertical="center" wrapText="1"/>
    </xf>
    <xf numFmtId="0" fontId="21" fillId="0" borderId="134" xfId="4" applyFont="1" applyBorder="1" applyAlignment="1">
      <alignment horizontal="left" vertical="center" wrapText="1"/>
    </xf>
    <xf numFmtId="0" fontId="21" fillId="0" borderId="136" xfId="4" applyFont="1" applyBorder="1" applyAlignment="1">
      <alignment horizontal="left" vertical="center"/>
    </xf>
    <xf numFmtId="0" fontId="21" fillId="0" borderId="58" xfId="4" applyFont="1" applyBorder="1" applyAlignment="1">
      <alignment horizontal="left" vertical="center"/>
    </xf>
    <xf numFmtId="0" fontId="21" fillId="0" borderId="134" xfId="4" applyFont="1" applyBorder="1" applyAlignment="1">
      <alignment horizontal="left" vertical="center"/>
    </xf>
    <xf numFmtId="0" fontId="21" fillId="0" borderId="58"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vertical="center"/>
    </xf>
    <xf numFmtId="0" fontId="8" fillId="0" borderId="23" xfId="4" applyBorder="1" applyAlignment="1">
      <alignment horizontal="left" vertical="center"/>
    </xf>
    <xf numFmtId="0" fontId="37" fillId="0" borderId="9" xfId="0" applyFont="1" applyBorder="1" applyAlignment="1">
      <alignment horizontal="center" vertical="center"/>
    </xf>
    <xf numFmtId="0" fontId="37" fillId="0" borderId="0" xfId="0" applyFont="1" applyAlignment="1">
      <alignment horizontal="center" vertical="center"/>
    </xf>
    <xf numFmtId="0" fontId="37" fillId="0" borderId="59" xfId="0" applyFont="1" applyBorder="1" applyAlignment="1">
      <alignment horizontal="center" vertical="center"/>
    </xf>
    <xf numFmtId="0" fontId="37" fillId="0" borderId="147" xfId="0" applyFont="1" applyBorder="1" applyAlignment="1">
      <alignment horizontal="center" vertical="center"/>
    </xf>
    <xf numFmtId="0" fontId="37" fillId="0" borderId="60" xfId="0" applyFont="1" applyBorder="1" applyAlignment="1">
      <alignment horizontal="center" vertical="center" wrapText="1"/>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65" fontId="37" fillId="0" borderId="22" xfId="0" applyNumberFormat="1" applyFont="1" applyBorder="1" applyAlignment="1">
      <alignment horizontal="center" vertical="center"/>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48" fillId="0" borderId="0" xfId="0" applyFont="1" applyAlignment="1">
      <alignment horizontal="center" vertical="center"/>
    </xf>
    <xf numFmtId="0" fontId="48" fillId="0" borderId="54" xfId="0" applyFont="1" applyBorder="1" applyAlignment="1">
      <alignment horizontal="center" vertical="center"/>
    </xf>
    <xf numFmtId="167" fontId="48" fillId="6" borderId="37" xfId="0" applyNumberFormat="1" applyFont="1" applyFill="1" applyBorder="1" applyAlignment="1">
      <alignment horizontal="center" vertical="center"/>
    </xf>
    <xf numFmtId="0" fontId="37" fillId="0" borderId="58" xfId="0" applyFont="1" applyBorder="1" applyAlignment="1">
      <alignment horizontal="center" vertical="center"/>
    </xf>
    <xf numFmtId="166" fontId="37" fillId="0" borderId="127"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167" fontId="48" fillId="0" borderId="37" xfId="0" applyNumberFormat="1" applyFont="1" applyBorder="1" applyAlignment="1">
      <alignment horizontal="center" vertical="center"/>
    </xf>
    <xf numFmtId="0" fontId="37" fillId="0" borderId="49" xfId="0" applyFont="1" applyBorder="1" applyAlignment="1">
      <alignment horizontal="center" vertical="center"/>
    </xf>
    <xf numFmtId="0" fontId="37" fillId="0" borderId="10" xfId="0" applyFont="1" applyBorder="1" applyAlignment="1">
      <alignment horizontal="center" vertical="center" wrapText="1"/>
    </xf>
    <xf numFmtId="0" fontId="37" fillId="0" borderId="1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40" fillId="0" borderId="0" xfId="0" applyFont="1" applyAlignment="1">
      <alignment horizontal="center"/>
    </xf>
    <xf numFmtId="0" fontId="40" fillId="0" borderId="117" xfId="0" applyFont="1" applyBorder="1" applyAlignment="1">
      <alignment horizontal="center"/>
    </xf>
    <xf numFmtId="0" fontId="40" fillId="0" borderId="118" xfId="0" applyFont="1" applyBorder="1" applyAlignment="1">
      <alignment horizontal="center"/>
    </xf>
    <xf numFmtId="0" fontId="40" fillId="0" borderId="80" xfId="0" applyFont="1" applyBorder="1" applyAlignment="1">
      <alignment horizontal="center" vertical="center"/>
    </xf>
    <xf numFmtId="0" fontId="40" fillId="0" borderId="81" xfId="0" applyFont="1" applyBorder="1" applyAlignment="1">
      <alignment horizontal="center" vertical="center"/>
    </xf>
    <xf numFmtId="0" fontId="48" fillId="0" borderId="96" xfId="0" applyFont="1" applyBorder="1" applyAlignment="1" applyProtection="1">
      <alignment horizontal="center" vertical="center"/>
      <protection locked="0"/>
    </xf>
  </cellXfs>
  <cellStyles count="7">
    <cellStyle name="Explanatory Text" xfId="1" builtinId="53"/>
    <cellStyle name="Explanatory Text 2" xfId="3" xr:uid="{00000000-0005-0000-0000-000001000000}"/>
    <cellStyle name="Normal" xfId="0" builtinId="0"/>
    <cellStyle name="Normal 2" xfId="2" xr:uid="{00000000-0005-0000-0000-000003000000}"/>
    <cellStyle name="Normal 2 2" xfId="5" xr:uid="{00000000-0005-0000-0000-000004000000}"/>
    <cellStyle name="Normal 3" xfId="4" xr:uid="{00000000-0005-0000-0000-000005000000}"/>
    <cellStyle name="Percent" xfId="6" builtinId="5"/>
  </cellStyles>
  <dxfs count="178">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lightUp">
          <bgColor theme="2" tint="-9.9948118533890809E-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checked="Checked"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checked="Checked"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checked="Checked"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541020</xdr:colOff>
          <xdr:row>13</xdr:row>
          <xdr:rowOff>7620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541020</xdr:colOff>
          <xdr:row>13</xdr:row>
          <xdr:rowOff>7620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541020</xdr:colOff>
          <xdr:row>14</xdr:row>
          <xdr:rowOff>7620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541020</xdr:colOff>
          <xdr:row>14</xdr:row>
          <xdr:rowOff>7620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922020</xdr:colOff>
          <xdr:row>15</xdr:row>
          <xdr:rowOff>0</xdr:rowOff>
        </xdr:from>
        <xdr:to>
          <xdr:col>3</xdr:col>
          <xdr:colOff>76200</xdr:colOff>
          <xdr:row>16</xdr:row>
          <xdr:rowOff>7620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411480</xdr:colOff>
          <xdr:row>15</xdr:row>
          <xdr:rowOff>0</xdr:rowOff>
        </xdr:from>
        <xdr:to>
          <xdr:col>12</xdr:col>
          <xdr:colOff>137160</xdr:colOff>
          <xdr:row>16</xdr:row>
          <xdr:rowOff>7620</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922020</xdr:colOff>
          <xdr:row>16</xdr:row>
          <xdr:rowOff>7620</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16</xdr:row>
          <xdr:rowOff>7620</xdr:rowOff>
        </xdr:from>
        <xdr:to>
          <xdr:col>5</xdr:col>
          <xdr:colOff>106680</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998220</xdr:colOff>
          <xdr:row>35</xdr:row>
          <xdr:rowOff>22860</xdr:rowOff>
        </xdr:from>
        <xdr:to>
          <xdr:col>3</xdr:col>
          <xdr:colOff>137160</xdr:colOff>
          <xdr:row>36</xdr:row>
          <xdr:rowOff>7620</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556260</xdr:colOff>
          <xdr:row>35</xdr:row>
          <xdr:rowOff>22860</xdr:rowOff>
        </xdr:from>
        <xdr:to>
          <xdr:col>9</xdr:col>
          <xdr:colOff>144780</xdr:colOff>
          <xdr:row>36</xdr:row>
          <xdr:rowOff>7620</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10</xdr:col>
      <xdr:colOff>594360</xdr:colOff>
      <xdr:row>10</xdr:row>
      <xdr:rowOff>7620</xdr:rowOff>
    </xdr:from>
    <xdr:to>
      <xdr:col>12</xdr:col>
      <xdr:colOff>89635</xdr:colOff>
      <xdr:row>11</xdr:row>
      <xdr:rowOff>11060</xdr:rowOff>
    </xdr:to>
    <xdr:pic>
      <xdr:nvPicPr>
        <xdr:cNvPr id="4" name="Image 1">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6751320" y="2423160"/>
          <a:ext cx="752575" cy="232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400-000002000000}"/>
                </a:ext>
              </a:extLst>
            </xdr:cNvPr>
            <xdr:cNvGrpSpPr>
              <a:grpSpLocks/>
            </xdr:cNvGrpSpPr>
          </xdr:nvGrpSpPr>
          <xdr:grpSpPr bwMode="auto">
            <a:xfrm>
              <a:off x="5036820" y="240220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4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4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4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400-000006000000}"/>
                </a:ext>
              </a:extLst>
            </xdr:cNvPr>
            <xdr:cNvGrpSpPr>
              <a:grpSpLocks/>
            </xdr:cNvGrpSpPr>
          </xdr:nvGrpSpPr>
          <xdr:grpSpPr bwMode="auto">
            <a:xfrm>
              <a:off x="5036820" y="2821305"/>
              <a:ext cx="962025" cy="31051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4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4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4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400-00000A000000}"/>
                </a:ext>
              </a:extLst>
            </xdr:cNvPr>
            <xdr:cNvGrpSpPr>
              <a:grpSpLocks/>
            </xdr:cNvGrpSpPr>
          </xdr:nvGrpSpPr>
          <xdr:grpSpPr bwMode="auto">
            <a:xfrm>
              <a:off x="5036820" y="3141345"/>
              <a:ext cx="962025" cy="417195"/>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4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4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4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400-00000E000000}"/>
                </a:ext>
              </a:extLst>
            </xdr:cNvPr>
            <xdr:cNvGrpSpPr>
              <a:grpSpLocks/>
            </xdr:cNvGrpSpPr>
          </xdr:nvGrpSpPr>
          <xdr:grpSpPr bwMode="auto">
            <a:xfrm>
              <a:off x="5036820" y="3568065"/>
              <a:ext cx="962025" cy="417195"/>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4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4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4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400-000012000000}"/>
                </a:ext>
              </a:extLst>
            </xdr:cNvPr>
            <xdr:cNvGrpSpPr>
              <a:grpSpLocks/>
            </xdr:cNvGrpSpPr>
          </xdr:nvGrpSpPr>
          <xdr:grpSpPr bwMode="auto">
            <a:xfrm>
              <a:off x="5036820" y="3994785"/>
              <a:ext cx="962025" cy="42481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4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4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4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400-000016000000}"/>
                </a:ext>
              </a:extLst>
            </xdr:cNvPr>
            <xdr:cNvGrpSpPr>
              <a:grpSpLocks/>
            </xdr:cNvGrpSpPr>
          </xdr:nvGrpSpPr>
          <xdr:grpSpPr bwMode="auto">
            <a:xfrm>
              <a:off x="5036820" y="4438650"/>
              <a:ext cx="962025" cy="369570"/>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4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4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4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400-00001A000000}"/>
                </a:ext>
              </a:extLst>
            </xdr:cNvPr>
            <xdr:cNvGrpSpPr>
              <a:grpSpLocks/>
            </xdr:cNvGrpSpPr>
          </xdr:nvGrpSpPr>
          <xdr:grpSpPr bwMode="auto">
            <a:xfrm>
              <a:off x="5036820" y="4817745"/>
              <a:ext cx="962025" cy="683895"/>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4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4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4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400-00001E000000}"/>
                </a:ext>
              </a:extLst>
            </xdr:cNvPr>
            <xdr:cNvGrpSpPr>
              <a:grpSpLocks/>
            </xdr:cNvGrpSpPr>
          </xdr:nvGrpSpPr>
          <xdr:grpSpPr bwMode="auto">
            <a:xfrm>
              <a:off x="5036820" y="5501640"/>
              <a:ext cx="962025" cy="426720"/>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4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4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4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400-000022000000}"/>
                </a:ext>
              </a:extLst>
            </xdr:cNvPr>
            <xdr:cNvGrpSpPr>
              <a:grpSpLocks/>
            </xdr:cNvGrpSpPr>
          </xdr:nvGrpSpPr>
          <xdr:grpSpPr bwMode="auto">
            <a:xfrm>
              <a:off x="5036820" y="5928360"/>
              <a:ext cx="962025" cy="426720"/>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4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4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4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400-000026000000}"/>
                </a:ext>
              </a:extLst>
            </xdr:cNvPr>
            <xdr:cNvGrpSpPr>
              <a:grpSpLocks/>
            </xdr:cNvGrpSpPr>
          </xdr:nvGrpSpPr>
          <xdr:grpSpPr bwMode="auto">
            <a:xfrm>
              <a:off x="5036820" y="6355080"/>
              <a:ext cx="962025" cy="388620"/>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4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4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4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400-00002A000000}"/>
                </a:ext>
              </a:extLst>
            </xdr:cNvPr>
            <xdr:cNvGrpSpPr>
              <a:grpSpLocks/>
            </xdr:cNvGrpSpPr>
          </xdr:nvGrpSpPr>
          <xdr:grpSpPr bwMode="auto">
            <a:xfrm>
              <a:off x="5036820" y="6743700"/>
              <a:ext cx="962025" cy="426720"/>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4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4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4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400-00002E000000}"/>
                </a:ext>
              </a:extLst>
            </xdr:cNvPr>
            <xdr:cNvGrpSpPr>
              <a:grpSpLocks/>
            </xdr:cNvGrpSpPr>
          </xdr:nvGrpSpPr>
          <xdr:grpSpPr bwMode="auto">
            <a:xfrm>
              <a:off x="5036820" y="7170420"/>
              <a:ext cx="962025" cy="693420"/>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4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4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4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400-000032000000}"/>
                </a:ext>
              </a:extLst>
            </xdr:cNvPr>
            <xdr:cNvGrpSpPr>
              <a:grpSpLocks/>
            </xdr:cNvGrpSpPr>
          </xdr:nvGrpSpPr>
          <xdr:grpSpPr bwMode="auto">
            <a:xfrm>
              <a:off x="5036820" y="7873365"/>
              <a:ext cx="962025" cy="417195"/>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4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4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4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400-000036000000}"/>
                </a:ext>
              </a:extLst>
            </xdr:cNvPr>
            <xdr:cNvGrpSpPr>
              <a:grpSpLocks/>
            </xdr:cNvGrpSpPr>
          </xdr:nvGrpSpPr>
          <xdr:grpSpPr bwMode="auto">
            <a:xfrm>
              <a:off x="5036820" y="8290560"/>
              <a:ext cx="962025" cy="32004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4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4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4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400-00003A000000}"/>
                </a:ext>
              </a:extLst>
            </xdr:cNvPr>
            <xdr:cNvGrpSpPr>
              <a:grpSpLocks/>
            </xdr:cNvGrpSpPr>
          </xdr:nvGrpSpPr>
          <xdr:grpSpPr bwMode="auto">
            <a:xfrm>
              <a:off x="5036820" y="8610600"/>
              <a:ext cx="962025" cy="388620"/>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4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4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4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400-00003E000000}"/>
                </a:ext>
              </a:extLst>
            </xdr:cNvPr>
            <xdr:cNvGrpSpPr>
              <a:grpSpLocks/>
            </xdr:cNvGrpSpPr>
          </xdr:nvGrpSpPr>
          <xdr:grpSpPr bwMode="auto">
            <a:xfrm>
              <a:off x="5036820" y="8999220"/>
              <a:ext cx="962025" cy="579120"/>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4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4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4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400-000042000000}"/>
                </a:ext>
              </a:extLst>
            </xdr:cNvPr>
            <xdr:cNvGrpSpPr>
              <a:grpSpLocks/>
            </xdr:cNvGrpSpPr>
          </xdr:nvGrpSpPr>
          <xdr:grpSpPr bwMode="auto">
            <a:xfrm>
              <a:off x="5036820" y="9578340"/>
              <a:ext cx="962025" cy="58674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4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4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4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400-000046000000}"/>
                </a:ext>
              </a:extLst>
            </xdr:cNvPr>
            <xdr:cNvGrpSpPr>
              <a:grpSpLocks/>
            </xdr:cNvGrpSpPr>
          </xdr:nvGrpSpPr>
          <xdr:grpSpPr bwMode="auto">
            <a:xfrm>
              <a:off x="5036820" y="10165080"/>
              <a:ext cx="962025" cy="25908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4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4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4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400-00004A000000}"/>
                </a:ext>
              </a:extLst>
            </xdr:cNvPr>
            <xdr:cNvGrpSpPr>
              <a:grpSpLocks/>
            </xdr:cNvGrpSpPr>
          </xdr:nvGrpSpPr>
          <xdr:grpSpPr bwMode="auto">
            <a:xfrm>
              <a:off x="5036820" y="10424160"/>
              <a:ext cx="962025" cy="266700"/>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4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4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4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400-00004E000000}"/>
                </a:ext>
              </a:extLst>
            </xdr:cNvPr>
            <xdr:cNvGrpSpPr>
              <a:grpSpLocks/>
            </xdr:cNvGrpSpPr>
          </xdr:nvGrpSpPr>
          <xdr:grpSpPr bwMode="auto">
            <a:xfrm>
              <a:off x="5036820" y="10690860"/>
              <a:ext cx="962025" cy="25908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4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4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4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400-000052000000}"/>
                </a:ext>
              </a:extLst>
            </xdr:cNvPr>
            <xdr:cNvGrpSpPr>
              <a:grpSpLocks/>
            </xdr:cNvGrpSpPr>
          </xdr:nvGrpSpPr>
          <xdr:grpSpPr bwMode="auto">
            <a:xfrm>
              <a:off x="5036820" y="10949940"/>
              <a:ext cx="962025" cy="693420"/>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4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4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4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400-000056000000}"/>
                </a:ext>
              </a:extLst>
            </xdr:cNvPr>
            <xdr:cNvGrpSpPr>
              <a:grpSpLocks/>
            </xdr:cNvGrpSpPr>
          </xdr:nvGrpSpPr>
          <xdr:grpSpPr bwMode="auto">
            <a:xfrm>
              <a:off x="5036820" y="11643360"/>
              <a:ext cx="962025" cy="39624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4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4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4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400-00005A000000}"/>
                </a:ext>
              </a:extLst>
            </xdr:cNvPr>
            <xdr:cNvGrpSpPr>
              <a:grpSpLocks/>
            </xdr:cNvGrpSpPr>
          </xdr:nvGrpSpPr>
          <xdr:grpSpPr bwMode="auto">
            <a:xfrm>
              <a:off x="5036820" y="12039600"/>
              <a:ext cx="962025" cy="58674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4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4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4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400-00005E000000}"/>
                </a:ext>
              </a:extLst>
            </xdr:cNvPr>
            <xdr:cNvGrpSpPr>
              <a:grpSpLocks/>
            </xdr:cNvGrpSpPr>
          </xdr:nvGrpSpPr>
          <xdr:grpSpPr bwMode="auto">
            <a:xfrm>
              <a:off x="5036820" y="12626340"/>
              <a:ext cx="962025" cy="845820"/>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4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4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4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400-000062000000}"/>
                </a:ext>
              </a:extLst>
            </xdr:cNvPr>
            <xdr:cNvGrpSpPr>
              <a:grpSpLocks/>
            </xdr:cNvGrpSpPr>
          </xdr:nvGrpSpPr>
          <xdr:grpSpPr bwMode="auto">
            <a:xfrm>
              <a:off x="5036820" y="13472160"/>
              <a:ext cx="962025" cy="26670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4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4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4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400-000066000000}"/>
                </a:ext>
              </a:extLst>
            </xdr:cNvPr>
            <xdr:cNvGrpSpPr>
              <a:grpSpLocks/>
            </xdr:cNvGrpSpPr>
          </xdr:nvGrpSpPr>
          <xdr:grpSpPr bwMode="auto">
            <a:xfrm>
              <a:off x="5036820" y="13738860"/>
              <a:ext cx="962025" cy="426720"/>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4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4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4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400-00006A000000}"/>
                </a:ext>
              </a:extLst>
            </xdr:cNvPr>
            <xdr:cNvGrpSpPr>
              <a:grpSpLocks/>
            </xdr:cNvGrpSpPr>
          </xdr:nvGrpSpPr>
          <xdr:grpSpPr bwMode="auto">
            <a:xfrm>
              <a:off x="5036820" y="14165580"/>
              <a:ext cx="962025" cy="693420"/>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4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4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4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400-00006E000000}"/>
                </a:ext>
              </a:extLst>
            </xdr:cNvPr>
            <xdr:cNvGrpSpPr>
              <a:grpSpLocks/>
            </xdr:cNvGrpSpPr>
          </xdr:nvGrpSpPr>
          <xdr:grpSpPr bwMode="auto">
            <a:xfrm>
              <a:off x="5036820" y="14859000"/>
              <a:ext cx="962025" cy="525780"/>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4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4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4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400-000072000000}"/>
                </a:ext>
              </a:extLst>
            </xdr:cNvPr>
            <xdr:cNvGrpSpPr>
              <a:grpSpLocks/>
            </xdr:cNvGrpSpPr>
          </xdr:nvGrpSpPr>
          <xdr:grpSpPr bwMode="auto">
            <a:xfrm>
              <a:off x="5036820" y="15384780"/>
              <a:ext cx="962025" cy="58674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4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4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4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400-000076000000}"/>
                </a:ext>
              </a:extLst>
            </xdr:cNvPr>
            <xdr:cNvGrpSpPr>
              <a:grpSpLocks/>
            </xdr:cNvGrpSpPr>
          </xdr:nvGrpSpPr>
          <xdr:grpSpPr bwMode="auto">
            <a:xfrm>
              <a:off x="5036820" y="15971520"/>
              <a:ext cx="962025" cy="58674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4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4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4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4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Eugene Mah" id="{016E9399-C09E-4F4E-946C-5BCDA4DBFFE7}" userId="Eugene Mah"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0" dT="2023-03-20T15:03:14.79" personId="{016E9399-C09E-4F4E-946C-5BCDA4DBFFE7}" id="{8E6A0DDD-0930-4B17-B064-25AB1224CCB9}">
    <text>Table D.2, MAN-03706 Rev 10</text>
  </threadedComment>
  <threadedComment ref="A166" dT="2023-03-20T15:03:36.96" personId="{016E9399-C09E-4F4E-946C-5BCDA4DBFFE7}" id="{BED6B86C-6B7A-421B-AAED-04E543276D32}">
    <text>Table D.2, MAN-03706 Rev 10</text>
  </threadedComment>
  <threadedComment ref="A172" dT="2023-03-20T15:05:29.11" personId="{016E9399-C09E-4F4E-946C-5BCDA4DBFFE7}" id="{959BBE1E-CD93-4C60-88BE-4C22A5DBF430}">
    <text>Table D.3, MAN-03706 Rev 10</text>
  </threadedComment>
  <threadedComment ref="E172" dT="2023-03-20T15:07:46.02" personId="{016E9399-C09E-4F4E-946C-5BCDA4DBFFE7}" id="{0D3E863B-F915-46BC-93C5-CFF8D325D13E}">
    <text>Table D.4, MAN-03706 Rev 10</text>
  </threadedComment>
  <threadedComment ref="A180" dT="2023-03-20T15:08:45.69" personId="{016E9399-C09E-4F4E-946C-5BCDA4DBFFE7}" id="{329B1196-C778-4F6F-A4C9-A7F054168C3F}">
    <text>Table D.5.1, MAN-03706 Rev 10</text>
  </threadedComment>
  <threadedComment ref="F180" dT="2023-03-20T15:09:47.64" personId="{016E9399-C09E-4F4E-946C-5BCDA4DBFFE7}" id="{B764EEAA-9279-4FFE-BE88-D18A30F784B8}">
    <text>Table D.6, MAN-03706 Rev 10</text>
  </threadedComment>
  <threadedComment ref="A188" dT="2023-03-20T15:09:32.80" personId="{016E9399-C09E-4F4E-946C-5BCDA4DBFFE7}" id="{B37BE14D-D5F9-4082-9BAD-233184D0762D}">
    <text>Table D.5.2, MAN-03706 Rev 10</text>
  </threadedComment>
</ThreadedComments>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7" Type="http://schemas.openxmlformats.org/officeDocument/2006/relationships/comments" Target="../comments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32.xml"/><Relationship Id="rId21" Type="http://schemas.openxmlformats.org/officeDocument/2006/relationships/ctrlProp" Target="../ctrlProps/ctrlProp27.xml"/><Relationship Id="rId42" Type="http://schemas.openxmlformats.org/officeDocument/2006/relationships/ctrlProp" Target="../ctrlProps/ctrlProp48.xml"/><Relationship Id="rId47" Type="http://schemas.openxmlformats.org/officeDocument/2006/relationships/ctrlProp" Target="../ctrlProps/ctrlProp53.xml"/><Relationship Id="rId63" Type="http://schemas.openxmlformats.org/officeDocument/2006/relationships/ctrlProp" Target="../ctrlProps/ctrlProp69.xml"/><Relationship Id="rId68" Type="http://schemas.openxmlformats.org/officeDocument/2006/relationships/ctrlProp" Target="../ctrlProps/ctrlProp74.xml"/><Relationship Id="rId84" Type="http://schemas.openxmlformats.org/officeDocument/2006/relationships/ctrlProp" Target="../ctrlProps/ctrlProp90.xml"/><Relationship Id="rId89" Type="http://schemas.openxmlformats.org/officeDocument/2006/relationships/ctrlProp" Target="../ctrlProps/ctrlProp95.xml"/><Relationship Id="rId16" Type="http://schemas.openxmlformats.org/officeDocument/2006/relationships/ctrlProp" Target="../ctrlProps/ctrlProp22.xml"/><Relationship Id="rId11" Type="http://schemas.openxmlformats.org/officeDocument/2006/relationships/ctrlProp" Target="../ctrlProps/ctrlProp17.xml"/><Relationship Id="rId32" Type="http://schemas.openxmlformats.org/officeDocument/2006/relationships/ctrlProp" Target="../ctrlProps/ctrlProp38.xml"/><Relationship Id="rId37" Type="http://schemas.openxmlformats.org/officeDocument/2006/relationships/ctrlProp" Target="../ctrlProps/ctrlProp43.xml"/><Relationship Id="rId53" Type="http://schemas.openxmlformats.org/officeDocument/2006/relationships/ctrlProp" Target="../ctrlProps/ctrlProp59.xml"/><Relationship Id="rId58" Type="http://schemas.openxmlformats.org/officeDocument/2006/relationships/ctrlProp" Target="../ctrlProps/ctrlProp64.xml"/><Relationship Id="rId74" Type="http://schemas.openxmlformats.org/officeDocument/2006/relationships/ctrlProp" Target="../ctrlProps/ctrlProp80.xml"/><Relationship Id="rId79" Type="http://schemas.openxmlformats.org/officeDocument/2006/relationships/ctrlProp" Target="../ctrlProps/ctrlProp85.xml"/><Relationship Id="rId5" Type="http://schemas.openxmlformats.org/officeDocument/2006/relationships/ctrlProp" Target="../ctrlProps/ctrlProp11.xml"/><Relationship Id="rId90" Type="http://schemas.openxmlformats.org/officeDocument/2006/relationships/ctrlProp" Target="../ctrlProps/ctrlProp96.xml"/><Relationship Id="rId22" Type="http://schemas.openxmlformats.org/officeDocument/2006/relationships/ctrlProp" Target="../ctrlProps/ctrlProp28.xml"/><Relationship Id="rId27" Type="http://schemas.openxmlformats.org/officeDocument/2006/relationships/ctrlProp" Target="../ctrlProps/ctrlProp33.xml"/><Relationship Id="rId43" Type="http://schemas.openxmlformats.org/officeDocument/2006/relationships/ctrlProp" Target="../ctrlProps/ctrlProp49.xml"/><Relationship Id="rId48" Type="http://schemas.openxmlformats.org/officeDocument/2006/relationships/ctrlProp" Target="../ctrlProps/ctrlProp54.xml"/><Relationship Id="rId64" Type="http://schemas.openxmlformats.org/officeDocument/2006/relationships/ctrlProp" Target="../ctrlProps/ctrlProp70.xml"/><Relationship Id="rId69" Type="http://schemas.openxmlformats.org/officeDocument/2006/relationships/ctrlProp" Target="../ctrlProps/ctrlProp75.xml"/><Relationship Id="rId8" Type="http://schemas.openxmlformats.org/officeDocument/2006/relationships/ctrlProp" Target="../ctrlProps/ctrlProp14.xml"/><Relationship Id="rId51" Type="http://schemas.openxmlformats.org/officeDocument/2006/relationships/ctrlProp" Target="../ctrlProps/ctrlProp57.xml"/><Relationship Id="rId72" Type="http://schemas.openxmlformats.org/officeDocument/2006/relationships/ctrlProp" Target="../ctrlProps/ctrlProp78.xml"/><Relationship Id="rId80" Type="http://schemas.openxmlformats.org/officeDocument/2006/relationships/ctrlProp" Target="../ctrlProps/ctrlProp86.xml"/><Relationship Id="rId85" Type="http://schemas.openxmlformats.org/officeDocument/2006/relationships/ctrlProp" Target="../ctrlProps/ctrlProp91.xml"/><Relationship Id="rId93" Type="http://schemas.openxmlformats.org/officeDocument/2006/relationships/ctrlProp" Target="../ctrlProps/ctrlProp99.xml"/><Relationship Id="rId3" Type="http://schemas.openxmlformats.org/officeDocument/2006/relationships/drawing" Target="../drawings/drawing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46" Type="http://schemas.openxmlformats.org/officeDocument/2006/relationships/ctrlProp" Target="../ctrlProps/ctrlProp52.xml"/><Relationship Id="rId59" Type="http://schemas.openxmlformats.org/officeDocument/2006/relationships/ctrlProp" Target="../ctrlProps/ctrlProp65.xml"/><Relationship Id="rId67" Type="http://schemas.openxmlformats.org/officeDocument/2006/relationships/ctrlProp" Target="../ctrlProps/ctrlProp73.xml"/><Relationship Id="rId20" Type="http://schemas.openxmlformats.org/officeDocument/2006/relationships/ctrlProp" Target="../ctrlProps/ctrlProp26.xml"/><Relationship Id="rId41" Type="http://schemas.openxmlformats.org/officeDocument/2006/relationships/ctrlProp" Target="../ctrlProps/ctrlProp47.xml"/><Relationship Id="rId54" Type="http://schemas.openxmlformats.org/officeDocument/2006/relationships/ctrlProp" Target="../ctrlProps/ctrlProp60.xml"/><Relationship Id="rId62" Type="http://schemas.openxmlformats.org/officeDocument/2006/relationships/ctrlProp" Target="../ctrlProps/ctrlProp68.xml"/><Relationship Id="rId70" Type="http://schemas.openxmlformats.org/officeDocument/2006/relationships/ctrlProp" Target="../ctrlProps/ctrlProp76.xml"/><Relationship Id="rId75" Type="http://schemas.openxmlformats.org/officeDocument/2006/relationships/ctrlProp" Target="../ctrlProps/ctrlProp81.xml"/><Relationship Id="rId83" Type="http://schemas.openxmlformats.org/officeDocument/2006/relationships/ctrlProp" Target="../ctrlProps/ctrlProp89.xml"/><Relationship Id="rId88" Type="http://schemas.openxmlformats.org/officeDocument/2006/relationships/ctrlProp" Target="../ctrlProps/ctrlProp94.xml"/><Relationship Id="rId91" Type="http://schemas.openxmlformats.org/officeDocument/2006/relationships/ctrlProp" Target="../ctrlProps/ctrlProp97.xml"/><Relationship Id="rId1" Type="http://schemas.openxmlformats.org/officeDocument/2006/relationships/printerSettings" Target="../printerSettings/printerSettings9.bin"/><Relationship Id="rId6" Type="http://schemas.openxmlformats.org/officeDocument/2006/relationships/ctrlProp" Target="../ctrlProps/ctrlProp12.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49" Type="http://schemas.openxmlformats.org/officeDocument/2006/relationships/ctrlProp" Target="../ctrlProps/ctrlProp55.xml"/><Relationship Id="rId57" Type="http://schemas.openxmlformats.org/officeDocument/2006/relationships/ctrlProp" Target="../ctrlProps/ctrlProp63.xml"/><Relationship Id="rId10" Type="http://schemas.openxmlformats.org/officeDocument/2006/relationships/ctrlProp" Target="../ctrlProps/ctrlProp16.xml"/><Relationship Id="rId31" Type="http://schemas.openxmlformats.org/officeDocument/2006/relationships/ctrlProp" Target="../ctrlProps/ctrlProp37.xml"/><Relationship Id="rId44" Type="http://schemas.openxmlformats.org/officeDocument/2006/relationships/ctrlProp" Target="../ctrlProps/ctrlProp50.xml"/><Relationship Id="rId52" Type="http://schemas.openxmlformats.org/officeDocument/2006/relationships/ctrlProp" Target="../ctrlProps/ctrlProp58.xml"/><Relationship Id="rId60" Type="http://schemas.openxmlformats.org/officeDocument/2006/relationships/ctrlProp" Target="../ctrlProps/ctrlProp66.xml"/><Relationship Id="rId65" Type="http://schemas.openxmlformats.org/officeDocument/2006/relationships/ctrlProp" Target="../ctrlProps/ctrlProp71.xml"/><Relationship Id="rId73" Type="http://schemas.openxmlformats.org/officeDocument/2006/relationships/ctrlProp" Target="../ctrlProps/ctrlProp79.xml"/><Relationship Id="rId78" Type="http://schemas.openxmlformats.org/officeDocument/2006/relationships/ctrlProp" Target="../ctrlProps/ctrlProp84.xml"/><Relationship Id="rId81" Type="http://schemas.openxmlformats.org/officeDocument/2006/relationships/ctrlProp" Target="../ctrlProps/ctrlProp87.xml"/><Relationship Id="rId86" Type="http://schemas.openxmlformats.org/officeDocument/2006/relationships/ctrlProp" Target="../ctrlProps/ctrlProp92.xml"/><Relationship Id="rId94" Type="http://schemas.openxmlformats.org/officeDocument/2006/relationships/ctrlProp" Target="../ctrlProps/ctrlProp100.xml"/><Relationship Id="rId4" Type="http://schemas.openxmlformats.org/officeDocument/2006/relationships/vmlDrawing" Target="../drawings/vmlDrawing5.vml"/><Relationship Id="rId9" Type="http://schemas.openxmlformats.org/officeDocument/2006/relationships/ctrlProp" Target="../ctrlProps/ctrlProp15.xml"/><Relationship Id="rId13" Type="http://schemas.openxmlformats.org/officeDocument/2006/relationships/ctrlProp" Target="../ctrlProps/ctrlProp19.xml"/><Relationship Id="rId18" Type="http://schemas.openxmlformats.org/officeDocument/2006/relationships/ctrlProp" Target="../ctrlProps/ctrlProp24.xml"/><Relationship Id="rId39" Type="http://schemas.openxmlformats.org/officeDocument/2006/relationships/ctrlProp" Target="../ctrlProps/ctrlProp45.xml"/><Relationship Id="rId34" Type="http://schemas.openxmlformats.org/officeDocument/2006/relationships/ctrlProp" Target="../ctrlProps/ctrlProp40.xml"/><Relationship Id="rId50" Type="http://schemas.openxmlformats.org/officeDocument/2006/relationships/ctrlProp" Target="../ctrlProps/ctrlProp56.xml"/><Relationship Id="rId55" Type="http://schemas.openxmlformats.org/officeDocument/2006/relationships/ctrlProp" Target="../ctrlProps/ctrlProp61.xml"/><Relationship Id="rId76" Type="http://schemas.openxmlformats.org/officeDocument/2006/relationships/ctrlProp" Target="../ctrlProps/ctrlProp82.xml"/><Relationship Id="rId7" Type="http://schemas.openxmlformats.org/officeDocument/2006/relationships/ctrlProp" Target="../ctrlProps/ctrlProp13.xml"/><Relationship Id="rId71" Type="http://schemas.openxmlformats.org/officeDocument/2006/relationships/ctrlProp" Target="../ctrlProps/ctrlProp77.xml"/><Relationship Id="rId92" Type="http://schemas.openxmlformats.org/officeDocument/2006/relationships/ctrlProp" Target="../ctrlProps/ctrlProp98.xml"/><Relationship Id="rId2" Type="http://schemas.openxmlformats.org/officeDocument/2006/relationships/printerSettings" Target="../printerSettings/printerSettings10.bin"/><Relationship Id="rId29" Type="http://schemas.openxmlformats.org/officeDocument/2006/relationships/ctrlProp" Target="../ctrlProps/ctrlProp35.xml"/><Relationship Id="rId24" Type="http://schemas.openxmlformats.org/officeDocument/2006/relationships/ctrlProp" Target="../ctrlProps/ctrlProp30.xml"/><Relationship Id="rId40" Type="http://schemas.openxmlformats.org/officeDocument/2006/relationships/ctrlProp" Target="../ctrlProps/ctrlProp46.xml"/><Relationship Id="rId45" Type="http://schemas.openxmlformats.org/officeDocument/2006/relationships/ctrlProp" Target="../ctrlProps/ctrlProp51.xml"/><Relationship Id="rId66" Type="http://schemas.openxmlformats.org/officeDocument/2006/relationships/ctrlProp" Target="../ctrlProps/ctrlProp72.xml"/><Relationship Id="rId87" Type="http://schemas.openxmlformats.org/officeDocument/2006/relationships/ctrlProp" Target="../ctrlProps/ctrlProp93.xml"/><Relationship Id="rId61" Type="http://schemas.openxmlformats.org/officeDocument/2006/relationships/ctrlProp" Target="../ctrlProps/ctrlProp67.xml"/><Relationship Id="rId82" Type="http://schemas.openxmlformats.org/officeDocument/2006/relationships/ctrlProp" Target="../ctrlProps/ctrlProp88.xml"/><Relationship Id="rId19" Type="http://schemas.openxmlformats.org/officeDocument/2006/relationships/ctrlProp" Target="../ctrlProps/ctrlProp25.xml"/><Relationship Id="rId14" Type="http://schemas.openxmlformats.org/officeDocument/2006/relationships/ctrlProp" Target="../ctrlProps/ctrlProp20.xml"/><Relationship Id="rId30" Type="http://schemas.openxmlformats.org/officeDocument/2006/relationships/ctrlProp" Target="../ctrlProps/ctrlProp36.xml"/><Relationship Id="rId35" Type="http://schemas.openxmlformats.org/officeDocument/2006/relationships/ctrlProp" Target="../ctrlProps/ctrlProp41.xml"/><Relationship Id="rId56" Type="http://schemas.openxmlformats.org/officeDocument/2006/relationships/ctrlProp" Target="../ctrlProps/ctrlProp62.xml"/><Relationship Id="rId77" Type="http://schemas.openxmlformats.org/officeDocument/2006/relationships/ctrlProp" Target="../ctrlProps/ctrlProp8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8"/>
  <sheetViews>
    <sheetView workbookViewId="0">
      <selection sqref="A1:N1"/>
    </sheetView>
  </sheetViews>
  <sheetFormatPr defaultColWidth="9" defaultRowHeight="13.2"/>
  <cols>
    <col min="1" max="1" width="5" style="19" customWidth="1"/>
    <col min="2" max="2" width="5.5" style="19" customWidth="1"/>
    <col min="3" max="3" width="15.09765625" style="19" customWidth="1"/>
    <col min="4" max="4" width="12" style="19" customWidth="1"/>
    <col min="5" max="5" width="5.69921875" style="19" customWidth="1"/>
    <col min="6" max="6" width="4.09765625" style="19" customWidth="1"/>
    <col min="7" max="10" width="7.59765625" style="19" customWidth="1"/>
    <col min="11" max="11" width="8.5" style="19" customWidth="1"/>
    <col min="12" max="12" width="7.59765625" style="19" customWidth="1"/>
    <col min="13" max="14" width="5.69921875" style="19" customWidth="1"/>
    <col min="15" max="16384" width="9" style="19"/>
  </cols>
  <sheetData>
    <row r="1" spans="1:14" ht="24.6">
      <c r="A1" s="564" t="s">
        <v>391</v>
      </c>
      <c r="B1" s="564"/>
      <c r="C1" s="564"/>
      <c r="D1" s="564"/>
      <c r="E1" s="564"/>
      <c r="F1" s="564"/>
      <c r="G1" s="564"/>
      <c r="H1" s="564"/>
      <c r="I1" s="564"/>
      <c r="J1" s="564"/>
      <c r="K1" s="564"/>
      <c r="L1" s="564"/>
      <c r="M1" s="564"/>
      <c r="N1" s="564"/>
    </row>
    <row r="2" spans="1:14" ht="24.6">
      <c r="A2" s="564" t="s">
        <v>615</v>
      </c>
      <c r="B2" s="564"/>
      <c r="C2" s="564"/>
      <c r="D2" s="564"/>
      <c r="E2" s="564"/>
      <c r="F2" s="564"/>
      <c r="G2" s="564"/>
      <c r="H2" s="564"/>
      <c r="I2" s="564"/>
      <c r="J2" s="564"/>
      <c r="K2" s="564"/>
      <c r="L2" s="564"/>
      <c r="M2" s="564"/>
      <c r="N2" s="564"/>
    </row>
    <row r="3" spans="1:14" ht="16.5" customHeight="1">
      <c r="A3" s="20"/>
      <c r="B3" s="20"/>
      <c r="C3" s="20"/>
      <c r="D3" s="20"/>
      <c r="E3" s="20"/>
      <c r="F3" s="20"/>
      <c r="G3" s="20"/>
      <c r="H3" s="20"/>
      <c r="I3" s="20"/>
      <c r="J3" s="20"/>
      <c r="K3" s="20"/>
      <c r="L3" s="20"/>
      <c r="M3" s="20"/>
      <c r="N3" s="20"/>
    </row>
    <row r="4" spans="1:14" ht="16.5" customHeight="1">
      <c r="A4" s="21" t="s">
        <v>392</v>
      </c>
      <c r="B4" s="21"/>
      <c r="C4" s="565" t="s">
        <v>673</v>
      </c>
      <c r="D4" s="566"/>
      <c r="E4" s="566"/>
      <c r="F4" s="566"/>
      <c r="G4" s="566"/>
      <c r="H4" s="567"/>
      <c r="I4" s="21"/>
      <c r="J4" s="22" t="s">
        <v>393</v>
      </c>
      <c r="K4" s="568"/>
      <c r="L4" s="569"/>
      <c r="M4" s="569"/>
      <c r="N4" s="570"/>
    </row>
    <row r="5" spans="1:14" ht="16.5" customHeight="1">
      <c r="A5" s="21" t="s">
        <v>394</v>
      </c>
      <c r="B5" s="21"/>
      <c r="C5" s="565" t="s">
        <v>781</v>
      </c>
      <c r="D5" s="566"/>
      <c r="E5" s="566"/>
      <c r="F5" s="566"/>
      <c r="G5" s="566"/>
      <c r="H5" s="567"/>
      <c r="I5" s="21"/>
      <c r="J5" s="22" t="s">
        <v>395</v>
      </c>
      <c r="K5" s="568">
        <f>Sheet1!P7</f>
        <v>0</v>
      </c>
      <c r="L5" s="569"/>
      <c r="M5" s="569"/>
      <c r="N5" s="570"/>
    </row>
    <row r="6" spans="1:14" ht="16.5" customHeight="1">
      <c r="A6" s="21" t="s">
        <v>396</v>
      </c>
      <c r="B6" s="21"/>
      <c r="C6" s="21"/>
      <c r="D6" s="565" t="str">
        <f>Sheet1!X7</f>
        <v>Eugene Mah</v>
      </c>
      <c r="E6" s="566"/>
      <c r="F6" s="566"/>
      <c r="G6" s="566"/>
      <c r="H6" s="567"/>
      <c r="I6" s="21"/>
      <c r="J6" s="22" t="s">
        <v>397</v>
      </c>
      <c r="K6" s="565"/>
      <c r="L6" s="566"/>
      <c r="M6" s="566"/>
      <c r="N6" s="567"/>
    </row>
    <row r="7" spans="1:14" ht="16.5" customHeight="1">
      <c r="A7" s="21" t="s">
        <v>398</v>
      </c>
      <c r="B7" s="21"/>
      <c r="C7" s="21"/>
      <c r="D7" s="565" t="s">
        <v>399</v>
      </c>
      <c r="E7" s="566"/>
      <c r="F7" s="566"/>
      <c r="G7" s="566"/>
      <c r="H7" s="567"/>
      <c r="I7" s="21"/>
      <c r="J7" s="22" t="s">
        <v>400</v>
      </c>
      <c r="K7" s="565" t="s">
        <v>609</v>
      </c>
      <c r="L7" s="566"/>
      <c r="M7" s="566"/>
      <c r="N7" s="567"/>
    </row>
    <row r="8" spans="1:14" ht="16.5" customHeight="1">
      <c r="A8" s="21" t="s">
        <v>401</v>
      </c>
      <c r="B8" s="21"/>
      <c r="C8" s="21"/>
      <c r="D8" s="571" t="str">
        <f>Sheet1!K12</f>
        <v/>
      </c>
      <c r="E8" s="572"/>
      <c r="F8" s="572"/>
      <c r="G8" s="572"/>
      <c r="H8" s="573"/>
      <c r="I8" s="21"/>
      <c r="J8" s="22" t="s">
        <v>402</v>
      </c>
      <c r="K8" s="565" t="str">
        <f>Sheet1!R14</f>
        <v/>
      </c>
      <c r="L8" s="566"/>
      <c r="M8" s="566"/>
      <c r="N8" s="567"/>
    </row>
    <row r="9" spans="1:14" ht="11.25" customHeight="1">
      <c r="A9" s="23"/>
    </row>
    <row r="10" spans="1:14" s="21" customFormat="1" ht="16.5" customHeight="1">
      <c r="A10" s="23" t="s">
        <v>616</v>
      </c>
      <c r="D10" s="575" t="s">
        <v>782</v>
      </c>
      <c r="E10" s="576"/>
      <c r="F10" s="576"/>
      <c r="G10" s="576"/>
      <c r="H10" s="577"/>
      <c r="I10" s="24" t="s">
        <v>617</v>
      </c>
    </row>
    <row r="11" spans="1:14" ht="11.25" customHeight="1">
      <c r="C11" s="21"/>
      <c r="D11" s="21"/>
      <c r="E11" s="21"/>
      <c r="F11" s="21"/>
      <c r="G11" s="25"/>
      <c r="H11" s="25"/>
      <c r="I11" s="25"/>
      <c r="J11" s="25"/>
      <c r="K11" s="25"/>
      <c r="L11" s="25"/>
      <c r="M11" s="25"/>
      <c r="N11" s="25"/>
    </row>
    <row r="12" spans="1:14" ht="16.5" customHeight="1" thickBot="1">
      <c r="A12" s="21" t="s">
        <v>404</v>
      </c>
      <c r="B12" s="21"/>
      <c r="C12" s="21"/>
      <c r="D12" s="578" t="s">
        <v>405</v>
      </c>
      <c r="E12" s="578"/>
      <c r="F12" s="578"/>
      <c r="G12" s="578" t="s">
        <v>400</v>
      </c>
      <c r="H12" s="578"/>
      <c r="I12" s="578" t="s">
        <v>8</v>
      </c>
      <c r="J12" s="578"/>
      <c r="K12" s="578" t="s">
        <v>403</v>
      </c>
      <c r="L12" s="578"/>
      <c r="M12" s="578"/>
      <c r="N12" s="578"/>
    </row>
    <row r="13" spans="1:14" ht="16.5" customHeight="1" thickTop="1">
      <c r="A13" s="21"/>
      <c r="B13" s="21"/>
      <c r="C13" s="26" t="s">
        <v>406</v>
      </c>
      <c r="D13" s="579" t="s">
        <v>783</v>
      </c>
      <c r="E13" s="580"/>
      <c r="F13" s="581"/>
      <c r="G13" s="579" t="s">
        <v>784</v>
      </c>
      <c r="H13" s="581"/>
      <c r="I13" s="582"/>
      <c r="J13" s="583"/>
      <c r="K13" s="579" t="s">
        <v>785</v>
      </c>
      <c r="L13" s="580"/>
      <c r="M13" s="580"/>
      <c r="N13" s="581"/>
    </row>
    <row r="14" spans="1:14" ht="16.5" customHeight="1">
      <c r="C14" s="26" t="s">
        <v>407</v>
      </c>
      <c r="D14" s="584"/>
      <c r="E14" s="585"/>
      <c r="F14" s="586"/>
      <c r="G14" s="584"/>
      <c r="H14" s="586"/>
      <c r="I14" s="575"/>
      <c r="J14" s="577"/>
      <c r="K14" s="584"/>
      <c r="L14" s="585"/>
      <c r="M14" s="585"/>
      <c r="N14" s="586"/>
    </row>
    <row r="15" spans="1:14" s="27" customFormat="1" ht="36" customHeight="1">
      <c r="A15" s="587" t="s">
        <v>618</v>
      </c>
      <c r="B15" s="587"/>
      <c r="C15" s="587"/>
      <c r="D15" s="587"/>
      <c r="E15" s="587"/>
      <c r="F15" s="587"/>
      <c r="G15" s="587"/>
      <c r="H15" s="587"/>
      <c r="I15" s="587"/>
      <c r="J15" s="587"/>
      <c r="K15" s="587"/>
      <c r="L15" s="587"/>
      <c r="M15" s="587"/>
      <c r="N15" s="587"/>
    </row>
    <row r="16" spans="1:14" ht="16.5" customHeight="1">
      <c r="A16" s="23" t="s">
        <v>408</v>
      </c>
      <c r="B16" s="23"/>
      <c r="C16" s="28"/>
      <c r="D16" s="19" t="s">
        <v>619</v>
      </c>
      <c r="E16" s="28"/>
      <c r="F16" s="28"/>
      <c r="G16" s="22"/>
      <c r="H16" s="29"/>
      <c r="I16" s="30"/>
      <c r="J16" s="22"/>
      <c r="K16" s="28"/>
      <c r="L16" s="28"/>
      <c r="M16" s="31"/>
      <c r="N16" s="26" t="s">
        <v>409</v>
      </c>
    </row>
    <row r="17" spans="1:14" s="33" customFormat="1" ht="15.75" customHeight="1">
      <c r="A17" s="23" t="s">
        <v>620</v>
      </c>
      <c r="B17" s="32"/>
      <c r="D17" s="34" t="s">
        <v>344</v>
      </c>
      <c r="F17" s="34" t="s">
        <v>621</v>
      </c>
      <c r="G17" s="35"/>
      <c r="H17" s="31"/>
      <c r="I17" s="36"/>
      <c r="J17" s="36"/>
      <c r="K17" s="36"/>
      <c r="L17" s="36"/>
      <c r="M17" s="36"/>
      <c r="N17" s="36"/>
    </row>
    <row r="18" spans="1:14" ht="13.5" customHeight="1">
      <c r="A18" s="32"/>
      <c r="B18" s="32"/>
      <c r="C18" s="33"/>
      <c r="D18" s="35"/>
      <c r="E18" s="33"/>
      <c r="F18" s="33"/>
      <c r="G18" s="35"/>
      <c r="H18" s="31"/>
      <c r="I18" s="36"/>
      <c r="J18" s="36"/>
      <c r="K18" s="36"/>
      <c r="L18" s="36"/>
    </row>
    <row r="19" spans="1:14" ht="21" customHeight="1">
      <c r="A19" s="574" t="s">
        <v>410</v>
      </c>
      <c r="B19" s="574"/>
      <c r="C19" s="574"/>
      <c r="D19" s="574"/>
      <c r="E19" s="574"/>
      <c r="F19" s="574"/>
      <c r="G19" s="574"/>
      <c r="H19" s="574"/>
      <c r="I19" s="574"/>
      <c r="J19" s="574"/>
      <c r="K19" s="574"/>
      <c r="L19" s="574"/>
      <c r="M19" s="574"/>
      <c r="N19" s="574"/>
    </row>
    <row r="20" spans="1:14" ht="15" customHeight="1">
      <c r="A20" s="590" t="s">
        <v>411</v>
      </c>
      <c r="B20" s="590"/>
      <c r="C20" s="590"/>
      <c r="D20" s="590"/>
      <c r="E20" s="590"/>
      <c r="F20" s="590"/>
      <c r="G20" s="590"/>
      <c r="H20" s="590"/>
      <c r="I20" s="590"/>
      <c r="J20" s="590"/>
      <c r="K20" s="590"/>
      <c r="L20" s="590"/>
      <c r="M20" s="590"/>
      <c r="N20" s="590"/>
    </row>
    <row r="21" spans="1:14" ht="15" customHeight="1">
      <c r="M21" s="591" t="s">
        <v>412</v>
      </c>
      <c r="N21" s="591"/>
    </row>
    <row r="22" spans="1:14" ht="15.75" customHeight="1">
      <c r="A22" s="21" t="s">
        <v>413</v>
      </c>
      <c r="B22" s="21"/>
      <c r="C22" s="21"/>
      <c r="D22" s="21"/>
      <c r="E22" s="21"/>
      <c r="F22" s="21"/>
      <c r="G22" s="21"/>
      <c r="H22" s="21"/>
      <c r="I22" s="21"/>
      <c r="J22" s="21"/>
      <c r="K22" s="21"/>
      <c r="L22" s="21"/>
      <c r="M22" s="588"/>
      <c r="N22" s="589"/>
    </row>
    <row r="23" spans="1:14" ht="15.75" customHeight="1">
      <c r="A23" s="21" t="s">
        <v>414</v>
      </c>
      <c r="B23" s="21"/>
      <c r="C23" s="21"/>
      <c r="D23" s="21"/>
      <c r="E23" s="21"/>
      <c r="F23" s="21"/>
      <c r="G23" s="21"/>
      <c r="H23" s="21"/>
      <c r="I23" s="21"/>
      <c r="J23" s="21"/>
      <c r="K23" s="21"/>
      <c r="L23" s="21"/>
      <c r="M23" s="588"/>
      <c r="N23" s="589"/>
    </row>
    <row r="24" spans="1:14" ht="15.75" customHeight="1">
      <c r="A24" s="21" t="s">
        <v>415</v>
      </c>
      <c r="B24" s="21"/>
      <c r="C24" s="21"/>
      <c r="D24" s="21"/>
      <c r="E24" s="21"/>
      <c r="F24" s="21"/>
      <c r="G24" s="21"/>
      <c r="H24" s="21"/>
      <c r="I24" s="21"/>
      <c r="J24" s="21"/>
      <c r="K24" s="21"/>
      <c r="L24" s="21"/>
      <c r="M24" s="588"/>
      <c r="N24" s="589"/>
    </row>
    <row r="25" spans="1:14" ht="15.75" customHeight="1">
      <c r="A25" s="21" t="s">
        <v>416</v>
      </c>
      <c r="B25" s="21"/>
      <c r="C25" s="21"/>
      <c r="D25" s="21"/>
      <c r="E25" s="21"/>
      <c r="F25" s="21"/>
      <c r="G25" s="21"/>
      <c r="H25" s="21"/>
      <c r="I25" s="21"/>
      <c r="J25" s="21"/>
      <c r="K25" s="21"/>
      <c r="L25" s="21"/>
      <c r="M25" s="588"/>
      <c r="N25" s="589"/>
    </row>
    <row r="26" spans="1:14" ht="15.75" customHeight="1">
      <c r="A26" s="21" t="s">
        <v>417</v>
      </c>
      <c r="B26" s="21"/>
      <c r="C26" s="21"/>
      <c r="D26" s="21"/>
      <c r="E26" s="21"/>
      <c r="F26" s="21"/>
      <c r="G26" s="21"/>
      <c r="H26" s="21"/>
      <c r="I26" s="21"/>
      <c r="J26" s="21"/>
      <c r="K26" s="21"/>
      <c r="L26" s="21"/>
      <c r="M26" s="588"/>
      <c r="N26" s="589"/>
    </row>
    <row r="27" spans="1:14" ht="15.75" customHeight="1">
      <c r="A27" s="21" t="s">
        <v>418</v>
      </c>
      <c r="B27" s="21"/>
      <c r="C27" s="21"/>
      <c r="D27" s="21"/>
      <c r="E27" s="21"/>
      <c r="F27" s="21"/>
      <c r="G27" s="21"/>
      <c r="H27" s="21"/>
      <c r="I27" s="21"/>
      <c r="J27" s="21"/>
      <c r="K27" s="21"/>
      <c r="L27" s="21"/>
      <c r="M27" s="588"/>
      <c r="N27" s="589"/>
    </row>
    <row r="28" spans="1:14" ht="15.75" customHeight="1">
      <c r="A28" s="21" t="s">
        <v>622</v>
      </c>
      <c r="B28" s="21"/>
      <c r="C28" s="21"/>
      <c r="D28" s="21"/>
      <c r="E28" s="21"/>
      <c r="F28" s="21"/>
      <c r="G28" s="21"/>
      <c r="H28" s="21"/>
      <c r="I28" s="21"/>
      <c r="J28" s="21"/>
      <c r="K28" s="21"/>
      <c r="L28" s="21"/>
      <c r="M28" s="588"/>
      <c r="N28" s="589"/>
    </row>
    <row r="29" spans="1:14" ht="15.75" customHeight="1">
      <c r="A29" s="21" t="s">
        <v>623</v>
      </c>
      <c r="B29" s="21"/>
      <c r="C29" s="21"/>
      <c r="D29" s="21"/>
      <c r="E29" s="21"/>
      <c r="F29" s="21"/>
      <c r="G29" s="21"/>
      <c r="H29" s="21"/>
      <c r="I29" s="21"/>
      <c r="J29" s="21"/>
      <c r="K29" s="21"/>
      <c r="L29" s="21"/>
    </row>
    <row r="30" spans="1:14" ht="15.75" customHeight="1">
      <c r="A30" s="21"/>
      <c r="B30" s="37" t="s">
        <v>624</v>
      </c>
      <c r="K30" s="106" t="str">
        <f>Sheet1!X297</f>
        <v/>
      </c>
      <c r="L30" s="28" t="s">
        <v>321</v>
      </c>
      <c r="M30" s="588"/>
      <c r="N30" s="589"/>
    </row>
    <row r="31" spans="1:14" ht="15.75" customHeight="1">
      <c r="A31" s="21"/>
      <c r="B31" s="28" t="s">
        <v>625</v>
      </c>
      <c r="C31" s="37"/>
      <c r="K31" s="107" t="str">
        <f>Sheet1!X312</f>
        <v/>
      </c>
      <c r="L31" s="28" t="s">
        <v>321</v>
      </c>
      <c r="M31" s="588"/>
      <c r="N31" s="589"/>
    </row>
    <row r="32" spans="1:14" ht="15.75" customHeight="1">
      <c r="A32" s="21" t="s">
        <v>419</v>
      </c>
      <c r="B32" s="21"/>
      <c r="C32" s="21"/>
      <c r="D32" s="21"/>
      <c r="E32" s="21"/>
      <c r="F32" s="21"/>
      <c r="G32" s="21"/>
      <c r="H32" s="21"/>
      <c r="I32" s="21"/>
      <c r="J32" s="21"/>
      <c r="K32" s="21"/>
      <c r="L32" s="21"/>
      <c r="M32" s="588"/>
      <c r="N32" s="589"/>
    </row>
    <row r="33" spans="1:14" ht="15.75" customHeight="1" thickBot="1">
      <c r="A33" s="21" t="s">
        <v>420</v>
      </c>
      <c r="B33" s="21"/>
      <c r="C33" s="21"/>
      <c r="D33" s="21"/>
      <c r="E33" s="21"/>
      <c r="F33" s="21"/>
      <c r="G33" s="38" t="s">
        <v>421</v>
      </c>
      <c r="H33" s="38" t="s">
        <v>422</v>
      </c>
      <c r="I33" s="38" t="s">
        <v>423</v>
      </c>
      <c r="J33" s="21"/>
      <c r="K33" s="21"/>
      <c r="L33" s="21"/>
    </row>
    <row r="34" spans="1:14" ht="15.75" customHeight="1" thickTop="1">
      <c r="C34" s="37" t="s">
        <v>626</v>
      </c>
      <c r="D34" s="28"/>
      <c r="E34" s="28"/>
      <c r="F34" s="39"/>
      <c r="G34" s="40" t="str">
        <f>IF(Sheet1!P523="","",Sheet1!P523)</f>
        <v/>
      </c>
      <c r="H34" s="40" t="str">
        <f>IF(Sheet1!P524="","",Sheet1!P524)</f>
        <v/>
      </c>
      <c r="I34" s="41" t="str">
        <f>IF(Sheet1!P525="","",Sheet1!P525)</f>
        <v/>
      </c>
      <c r="M34" s="588"/>
      <c r="N34" s="589"/>
    </row>
    <row r="35" spans="1:14" ht="15.75" customHeight="1">
      <c r="C35" s="37" t="s">
        <v>627</v>
      </c>
      <c r="D35" s="28"/>
      <c r="E35" s="28"/>
      <c r="F35" s="39"/>
      <c r="G35" s="42" t="str">
        <f>IF(Sheet1!T523="","",Sheet1!T523)</f>
        <v/>
      </c>
      <c r="H35" s="42" t="str">
        <f>IF(Sheet1!T524="","",Sheet1!T524)</f>
        <v/>
      </c>
      <c r="I35" s="42" t="str">
        <f>IF(Sheet1!T525="","",Sheet1!T525)</f>
        <v/>
      </c>
      <c r="M35" s="588"/>
      <c r="N35" s="589"/>
    </row>
    <row r="36" spans="1:14" ht="15.75" customHeight="1">
      <c r="A36" s="21" t="s">
        <v>628</v>
      </c>
      <c r="B36" s="21"/>
      <c r="C36" s="21"/>
      <c r="D36" s="21"/>
      <c r="E36" s="21"/>
      <c r="F36" s="21"/>
      <c r="G36" s="21"/>
      <c r="H36" s="21"/>
      <c r="I36" s="21"/>
      <c r="J36" s="21"/>
      <c r="K36" s="21"/>
      <c r="L36" s="21"/>
      <c r="M36" s="25"/>
      <c r="N36" s="25"/>
    </row>
    <row r="37" spans="1:14" ht="15.75" customHeight="1">
      <c r="A37" s="21"/>
      <c r="B37" s="21"/>
      <c r="C37" s="28" t="s">
        <v>629</v>
      </c>
      <c r="D37" s="105" t="e">
        <f>Sheet1!T536</f>
        <v>#DIV/0!</v>
      </c>
      <c r="E37" s="21"/>
      <c r="F37" s="21"/>
      <c r="G37" s="21"/>
      <c r="H37" s="21"/>
      <c r="I37" s="21"/>
      <c r="J37" s="39"/>
      <c r="K37" s="43"/>
      <c r="L37" s="43"/>
      <c r="M37" s="588"/>
      <c r="N37" s="589"/>
    </row>
    <row r="38" spans="1:14" ht="15.75" customHeight="1">
      <c r="A38" s="21"/>
      <c r="B38" s="21"/>
      <c r="C38" s="28" t="s">
        <v>630</v>
      </c>
      <c r="D38" s="105" t="e">
        <f>Sheet1!T537</f>
        <v>#DIV/0!</v>
      </c>
      <c r="E38" s="44" t="s">
        <v>631</v>
      </c>
      <c r="F38" s="21"/>
      <c r="G38" s="21"/>
      <c r="H38" s="21"/>
      <c r="I38" s="21"/>
      <c r="J38" s="39"/>
      <c r="K38" s="43"/>
      <c r="L38" s="43"/>
      <c r="M38" s="28"/>
      <c r="N38" s="28"/>
    </row>
    <row r="39" spans="1:14" ht="15.75" customHeight="1">
      <c r="A39" s="21"/>
      <c r="B39" s="21"/>
      <c r="C39" s="28" t="s">
        <v>632</v>
      </c>
      <c r="D39" s="21"/>
      <c r="E39" s="21"/>
      <c r="F39" s="21"/>
      <c r="G39" s="21"/>
      <c r="H39" s="21"/>
      <c r="I39" s="21"/>
      <c r="J39" s="39"/>
      <c r="K39" s="43"/>
      <c r="L39" s="43"/>
      <c r="M39" s="588"/>
      <c r="N39" s="589"/>
    </row>
    <row r="40" spans="1:14" ht="15.75" customHeight="1">
      <c r="A40" s="21" t="s">
        <v>633</v>
      </c>
      <c r="B40" s="21"/>
      <c r="C40" s="21"/>
      <c r="D40" s="21"/>
      <c r="E40" s="21"/>
      <c r="F40" s="21"/>
      <c r="G40" s="21"/>
      <c r="H40" s="21"/>
      <c r="I40" s="21"/>
      <c r="J40" s="21"/>
      <c r="K40" s="21"/>
      <c r="L40" s="21"/>
      <c r="M40" s="588"/>
      <c r="N40" s="589"/>
    </row>
    <row r="41" spans="1:14" ht="15.75" customHeight="1">
      <c r="A41" s="21" t="s">
        <v>634</v>
      </c>
      <c r="B41" s="21"/>
      <c r="C41" s="21"/>
      <c r="D41" s="21"/>
      <c r="E41" s="21"/>
      <c r="F41" s="21"/>
      <c r="G41" s="21"/>
      <c r="H41" s="21"/>
      <c r="I41" s="21"/>
      <c r="J41" s="21"/>
      <c r="K41" s="21"/>
      <c r="L41" s="21"/>
      <c r="M41" s="588" t="s">
        <v>559</v>
      </c>
      <c r="N41" s="589"/>
    </row>
    <row r="42" spans="1:14" ht="15.75" customHeight="1">
      <c r="A42" s="21" t="s">
        <v>635</v>
      </c>
      <c r="B42" s="21"/>
      <c r="C42" s="21"/>
      <c r="D42" s="21"/>
      <c r="E42" s="21"/>
      <c r="F42" s="21"/>
      <c r="G42" s="21"/>
      <c r="H42" s="21"/>
      <c r="I42" s="21"/>
      <c r="J42" s="21"/>
      <c r="K42" s="21"/>
      <c r="L42" s="21"/>
      <c r="M42" s="588"/>
      <c r="N42" s="589"/>
    </row>
    <row r="43" spans="1:14" ht="15.75" customHeight="1">
      <c r="A43" s="21" t="s">
        <v>636</v>
      </c>
      <c r="B43" s="21"/>
      <c r="C43" s="21"/>
      <c r="D43" s="21"/>
      <c r="E43" s="21"/>
      <c r="F43" s="21"/>
      <c r="G43" s="21"/>
      <c r="H43" s="21"/>
      <c r="I43" s="21"/>
      <c r="J43" s="21"/>
      <c r="K43" s="21"/>
      <c r="L43" s="21"/>
      <c r="M43" s="588"/>
      <c r="N43" s="586"/>
    </row>
    <row r="44" spans="1:14" ht="15.75" customHeight="1">
      <c r="A44" s="21" t="s">
        <v>637</v>
      </c>
      <c r="B44" s="21"/>
      <c r="C44" s="21"/>
      <c r="D44" s="21"/>
      <c r="E44" s="21"/>
      <c r="F44" s="21"/>
      <c r="G44" s="21"/>
      <c r="H44" s="21"/>
      <c r="I44" s="21"/>
      <c r="J44" s="21"/>
      <c r="K44" s="21"/>
      <c r="L44" s="21"/>
      <c r="M44" s="588"/>
      <c r="N44" s="589"/>
    </row>
    <row r="45" spans="1:14" ht="15.75" customHeight="1">
      <c r="A45" s="21" t="s">
        <v>638</v>
      </c>
      <c r="B45" s="21"/>
      <c r="C45" s="21"/>
      <c r="D45" s="21"/>
      <c r="E45" s="21"/>
      <c r="F45" s="21"/>
      <c r="G45" s="21"/>
      <c r="H45" s="21"/>
      <c r="I45" s="21"/>
      <c r="J45" s="21"/>
      <c r="K45" s="21"/>
      <c r="L45" s="21"/>
      <c r="M45" s="588"/>
      <c r="N45" s="589"/>
    </row>
    <row r="46" spans="1:14" ht="15.75" customHeight="1">
      <c r="A46" s="21" t="s">
        <v>639</v>
      </c>
      <c r="B46" s="21"/>
      <c r="C46" s="21"/>
      <c r="D46" s="21"/>
      <c r="E46" s="21"/>
      <c r="F46" s="21"/>
      <c r="G46" s="21"/>
      <c r="H46" s="21"/>
      <c r="I46" s="21"/>
      <c r="J46" s="21"/>
      <c r="K46" s="21"/>
      <c r="L46" s="21"/>
      <c r="M46" s="588" t="s">
        <v>559</v>
      </c>
      <c r="N46" s="589"/>
    </row>
    <row r="47" spans="1:14" ht="15.75" customHeight="1">
      <c r="A47" s="21"/>
      <c r="B47" s="21"/>
      <c r="C47" s="21"/>
      <c r="D47" s="21"/>
      <c r="E47" s="21"/>
      <c r="F47" s="21"/>
      <c r="G47" s="21"/>
      <c r="H47" s="21"/>
      <c r="I47" s="21"/>
      <c r="J47" s="21"/>
      <c r="K47" s="21"/>
      <c r="L47" s="21"/>
      <c r="M47" s="43"/>
      <c r="N47" s="43"/>
    </row>
    <row r="48" spans="1:14" ht="15.75" customHeight="1">
      <c r="A48" s="592" t="s">
        <v>640</v>
      </c>
      <c r="B48" s="592"/>
      <c r="C48" s="592"/>
      <c r="D48" s="592"/>
      <c r="E48" s="592"/>
      <c r="F48" s="592"/>
      <c r="G48" s="592"/>
      <c r="H48" s="592"/>
      <c r="I48" s="592"/>
      <c r="J48" s="592"/>
      <c r="K48" s="592"/>
      <c r="L48" s="592"/>
      <c r="M48" s="592"/>
      <c r="N48" s="592"/>
    </row>
  </sheetData>
  <customSheetViews>
    <customSheetView guid="{667C12D2-B688-4218-94B0-4FC6FD6E2246}" topLeftCell="A19">
      <selection activeCell="H34" sqref="H34"/>
      <pageMargins left="0.5" right="0.5" top="0.5" bottom="0.5" header="0.5" footer="0.25"/>
      <printOptions horizontalCentered="1"/>
      <pageSetup scale="80" orientation="portrait" r:id="rId1"/>
      <headerFooter alignWithMargins="0">
        <oddFooter>&amp;C&amp;8&amp;Z&amp;F</oddFooter>
      </headerFooter>
    </customSheetView>
  </customSheetViews>
  <mergeCells count="51">
    <mergeCell ref="A48:N48"/>
    <mergeCell ref="M34:N34"/>
    <mergeCell ref="M35:N35"/>
    <mergeCell ref="M37:N37"/>
    <mergeCell ref="M39:N39"/>
    <mergeCell ref="M40:N40"/>
    <mergeCell ref="M41:N41"/>
    <mergeCell ref="M42:N42"/>
    <mergeCell ref="M43:N43"/>
    <mergeCell ref="M44:N44"/>
    <mergeCell ref="M45:N45"/>
    <mergeCell ref="M46:N46"/>
    <mergeCell ref="M32:N32"/>
    <mergeCell ref="A20:N20"/>
    <mergeCell ref="M21:N21"/>
    <mergeCell ref="M22:N22"/>
    <mergeCell ref="M23:N23"/>
    <mergeCell ref="M24:N24"/>
    <mergeCell ref="M25:N25"/>
    <mergeCell ref="M26:N26"/>
    <mergeCell ref="M27:N27"/>
    <mergeCell ref="M28:N28"/>
    <mergeCell ref="M30:N30"/>
    <mergeCell ref="M31:N31"/>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2:N28 M37:N37 M43">
    <cfRule type="cellIs" dxfId="177" priority="7" stopIfTrue="1" operator="equal">
      <formula>"Fail"</formula>
    </cfRule>
  </conditionalFormatting>
  <conditionalFormatting sqref="M30:N32">
    <cfRule type="cellIs" dxfId="176" priority="2" stopIfTrue="1" operator="equal">
      <formula>"Fail"</formula>
    </cfRule>
  </conditionalFormatting>
  <conditionalFormatting sqref="M34:N35">
    <cfRule type="cellIs" dxfId="175" priority="4" stopIfTrue="1" operator="equal">
      <formula>"Fail"</formula>
    </cfRule>
  </conditionalFormatting>
  <conditionalFormatting sqref="M39:N42">
    <cfRule type="cellIs" dxfId="174" priority="6" stopIfTrue="1" operator="equal">
      <formula>"Fail"</formula>
    </cfRule>
  </conditionalFormatting>
  <conditionalFormatting sqref="M44:N46">
    <cfRule type="cellIs" dxfId="173" priority="1" stopIfTrue="1" operator="equal">
      <formula>"Fail"</formula>
    </cfRule>
  </conditionalFormatting>
  <dataValidations count="7">
    <dataValidation type="list" allowBlank="1" sqref="K7:N7" xr:uid="{00000000-0002-0000-0000-000000000000}">
      <formula1>Model</formula1>
    </dataValidation>
    <dataValidation type="list" allowBlank="1" showInputMessage="1" showErrorMessage="1" sqref="M37:N37 M34:N34 M22:N27 M32:N32 M30:N30" xr:uid="{00000000-0002-0000-0000-000001000000}">
      <formula1>PF</formula1>
    </dataValidation>
    <dataValidation type="list" allowBlank="1" showInputMessage="1" showErrorMessage="1" sqref="M28:N28 N39:N42 M31:N31 M35:N35 N44:N47 M39:M47" xr:uid="{00000000-0002-0000-0000-000002000000}">
      <formula1>NA</formula1>
    </dataValidation>
    <dataValidation type="list" allowBlank="1" showInputMessage="1" sqref="G34" xr:uid="{00000000-0002-0000-0000-000003000000}">
      <formula1>FiberList</formula1>
    </dataValidation>
    <dataValidation type="list" allowBlank="1" showInputMessage="1" sqref="G35" xr:uid="{00000000-0002-0000-0000-000004000000}">
      <formula1>"FiberList"</formula1>
    </dataValidation>
    <dataValidation type="list" allowBlank="1" showInputMessage="1" sqref="H34:I35" xr:uid="{00000000-0002-0000-0000-000005000000}">
      <formula1>SpeckMassList</formula1>
    </dataValidation>
    <dataValidation allowBlank="1" showInputMessage="1" sqref="D37:D38" xr:uid="{00000000-0002-0000-0000-000006000000}"/>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8193" r:id="rId5" name="Check Box 1">
              <controlPr defaultSize="0" autoFill="0" autoLine="0" autoPict="0">
                <anchor moveWithCells="1">
                  <from>
                    <xdr:col>8</xdr:col>
                    <xdr:colOff>0</xdr:colOff>
                    <xdr:row>12</xdr:row>
                    <xdr:rowOff>0</xdr:rowOff>
                  </from>
                  <to>
                    <xdr:col>8</xdr:col>
                    <xdr:colOff>541020</xdr:colOff>
                    <xdr:row>13</xdr:row>
                    <xdr:rowOff>7620</xdr:rowOff>
                  </to>
                </anchor>
              </controlPr>
            </control>
          </mc:Choice>
        </mc:AlternateContent>
        <mc:AlternateContent xmlns:mc="http://schemas.openxmlformats.org/markup-compatibility/2006">
          <mc:Choice Requires="x14">
            <control shapeId="8194" r:id="rId6" name="Check Box 2">
              <controlPr defaultSize="0" autoFill="0" autoLine="0" autoPict="0">
                <anchor moveWithCells="1">
                  <from>
                    <xdr:col>9</xdr:col>
                    <xdr:colOff>0</xdr:colOff>
                    <xdr:row>12</xdr:row>
                    <xdr:rowOff>0</xdr:rowOff>
                  </from>
                  <to>
                    <xdr:col>9</xdr:col>
                    <xdr:colOff>541020</xdr:colOff>
                    <xdr:row>13</xdr:row>
                    <xdr:rowOff>7620</xdr:rowOff>
                  </to>
                </anchor>
              </controlPr>
            </control>
          </mc:Choice>
        </mc:AlternateContent>
        <mc:AlternateContent xmlns:mc="http://schemas.openxmlformats.org/markup-compatibility/2006">
          <mc:Choice Requires="x14">
            <control shapeId="8195" r:id="rId7" name="Check Box 3">
              <controlPr defaultSize="0" autoFill="0" autoLine="0" autoPict="0">
                <anchor moveWithCells="1">
                  <from>
                    <xdr:col>8</xdr:col>
                    <xdr:colOff>0</xdr:colOff>
                    <xdr:row>13</xdr:row>
                    <xdr:rowOff>0</xdr:rowOff>
                  </from>
                  <to>
                    <xdr:col>8</xdr:col>
                    <xdr:colOff>541020</xdr:colOff>
                    <xdr:row>14</xdr:row>
                    <xdr:rowOff>7620</xdr:rowOff>
                  </to>
                </anchor>
              </controlPr>
            </control>
          </mc:Choice>
        </mc:AlternateContent>
        <mc:AlternateContent xmlns:mc="http://schemas.openxmlformats.org/markup-compatibility/2006">
          <mc:Choice Requires="x14">
            <control shapeId="8196" r:id="rId8" name="Check Box 4">
              <controlPr defaultSize="0" autoFill="0" autoLine="0" autoPict="0">
                <anchor moveWithCells="1">
                  <from>
                    <xdr:col>9</xdr:col>
                    <xdr:colOff>0</xdr:colOff>
                    <xdr:row>13</xdr:row>
                    <xdr:rowOff>0</xdr:rowOff>
                  </from>
                  <to>
                    <xdr:col>9</xdr:col>
                    <xdr:colOff>541020</xdr:colOff>
                    <xdr:row>14</xdr:row>
                    <xdr:rowOff>7620</xdr:rowOff>
                  </to>
                </anchor>
              </controlPr>
            </control>
          </mc:Choice>
        </mc:AlternateContent>
        <mc:AlternateContent xmlns:mc="http://schemas.openxmlformats.org/markup-compatibility/2006">
          <mc:Choice Requires="x14">
            <control shapeId="8197" r:id="rId9" name="Check Box 5">
              <controlPr defaultSize="0" autoFill="0" autoLine="0" autoPict="0">
                <anchor moveWithCells="1">
                  <from>
                    <xdr:col>2</xdr:col>
                    <xdr:colOff>922020</xdr:colOff>
                    <xdr:row>15</xdr:row>
                    <xdr:rowOff>0</xdr:rowOff>
                  </from>
                  <to>
                    <xdr:col>3</xdr:col>
                    <xdr:colOff>76200</xdr:colOff>
                    <xdr:row>16</xdr:row>
                    <xdr:rowOff>7620</xdr:rowOff>
                  </to>
                </anchor>
              </controlPr>
            </control>
          </mc:Choice>
        </mc:AlternateContent>
        <mc:AlternateContent xmlns:mc="http://schemas.openxmlformats.org/markup-compatibility/2006">
          <mc:Choice Requires="x14">
            <control shapeId="8198" r:id="rId10" name="Check Box 6">
              <controlPr defaultSize="0" autoFill="0" autoLine="0" autoPict="0">
                <anchor moveWithCells="1">
                  <from>
                    <xdr:col>11</xdr:col>
                    <xdr:colOff>411480</xdr:colOff>
                    <xdr:row>15</xdr:row>
                    <xdr:rowOff>0</xdr:rowOff>
                  </from>
                  <to>
                    <xdr:col>12</xdr:col>
                    <xdr:colOff>137160</xdr:colOff>
                    <xdr:row>16</xdr:row>
                    <xdr:rowOff>7620</xdr:rowOff>
                  </to>
                </anchor>
              </controlPr>
            </control>
          </mc:Choice>
        </mc:AlternateContent>
        <mc:AlternateContent xmlns:mc="http://schemas.openxmlformats.org/markup-compatibility/2006">
          <mc:Choice Requires="x14">
            <control shapeId="8199" r:id="rId11" name="Check Box 7">
              <controlPr defaultSize="0" autoFill="0" autoLine="0" autoPict="0">
                <anchor moveWithCells="1">
                  <from>
                    <xdr:col>2</xdr:col>
                    <xdr:colOff>922020</xdr:colOff>
                    <xdr:row>16</xdr:row>
                    <xdr:rowOff>7620</xdr:rowOff>
                  </from>
                  <to>
                    <xdr:col>3</xdr:col>
                    <xdr:colOff>76200</xdr:colOff>
                    <xdr:row>17</xdr:row>
                    <xdr:rowOff>0</xdr:rowOff>
                  </to>
                </anchor>
              </controlPr>
            </control>
          </mc:Choice>
        </mc:AlternateContent>
        <mc:AlternateContent xmlns:mc="http://schemas.openxmlformats.org/markup-compatibility/2006">
          <mc:Choice Requires="x14">
            <control shapeId="8200" r:id="rId12" name="Check Box 8">
              <controlPr defaultSize="0" autoFill="0" autoLine="0" autoPict="0">
                <anchor moveWithCells="1">
                  <from>
                    <xdr:col>4</xdr:col>
                    <xdr:colOff>236220</xdr:colOff>
                    <xdr:row>16</xdr:row>
                    <xdr:rowOff>7620</xdr:rowOff>
                  </from>
                  <to>
                    <xdr:col>5</xdr:col>
                    <xdr:colOff>106680</xdr:colOff>
                    <xdr:row>17</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29"/>
  <sheetViews>
    <sheetView workbookViewId="0"/>
  </sheetViews>
  <sheetFormatPr defaultColWidth="9" defaultRowHeight="13.8"/>
  <cols>
    <col min="1" max="23" width="8.19921875" style="3" customWidth="1"/>
    <col min="24" max="16384" width="9" style="1"/>
  </cols>
  <sheetData>
    <row r="1" spans="1:3">
      <c r="A1" s="7" t="s">
        <v>541</v>
      </c>
    </row>
    <row r="2" spans="1:3">
      <c r="B2" s="3" t="s">
        <v>542</v>
      </c>
    </row>
    <row r="3" spans="1:3">
      <c r="B3" s="3" t="s">
        <v>543</v>
      </c>
    </row>
    <row r="4" spans="1:3">
      <c r="B4" s="3" t="s">
        <v>544</v>
      </c>
    </row>
    <row r="5" spans="1:3">
      <c r="B5" s="3" t="s">
        <v>545</v>
      </c>
    </row>
    <row r="6" spans="1:3">
      <c r="B6" s="3" t="s">
        <v>546</v>
      </c>
    </row>
    <row r="8" spans="1:3">
      <c r="A8" s="7" t="s">
        <v>547</v>
      </c>
    </row>
    <row r="9" spans="1:3">
      <c r="A9" s="7"/>
      <c r="B9" s="3" t="s">
        <v>548</v>
      </c>
    </row>
    <row r="10" spans="1:3">
      <c r="A10" s="7"/>
      <c r="B10" s="3" t="s">
        <v>549</v>
      </c>
    </row>
    <row r="11" spans="1:3">
      <c r="B11" s="8" t="s">
        <v>550</v>
      </c>
      <c r="C11" s="8" t="s">
        <v>551</v>
      </c>
    </row>
    <row r="12" spans="1:3">
      <c r="B12" s="9">
        <v>29</v>
      </c>
      <c r="C12" s="10">
        <f>IF(B12&lt;A22,B12+B22+B12*C22+B12^2*D22+B12^3*E22+B12^4*F22+B12^5*G22+B12^6*H22,B12+B23+B12*C23+B12^2*D23+B12^3*E23+B12^4*F23+B12^5*G23+B12^6*H23)</f>
        <v>30.282068178701138</v>
      </c>
    </row>
    <row r="14" spans="1:3">
      <c r="A14" s="7" t="s">
        <v>552</v>
      </c>
    </row>
    <row r="15" spans="1:3">
      <c r="A15" s="7"/>
      <c r="B15" s="3" t="s">
        <v>553</v>
      </c>
    </row>
    <row r="16" spans="1:3">
      <c r="A16" s="7"/>
      <c r="B16" s="3" t="s">
        <v>554</v>
      </c>
    </row>
    <row r="17" spans="1:8">
      <c r="B17" s="8" t="s">
        <v>550</v>
      </c>
      <c r="C17" s="8" t="s">
        <v>551</v>
      </c>
    </row>
    <row r="18" spans="1:8">
      <c r="B18" s="9">
        <v>37.1</v>
      </c>
      <c r="C18" s="10">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conditionalFormatting sqref="C12">
    <cfRule type="cellIs" dxfId="5" priority="1" operator="lessThan">
      <formula>21.8</formula>
    </cfRule>
    <cfRule type="cellIs" dxfId="4" priority="2" operator="between">
      <formula>24</formula>
      <formula>27</formula>
    </cfRule>
    <cfRule type="cellIs" dxfId="3" priority="3" operator="greaterThanOrEqual">
      <formula>40</formula>
    </cfRule>
  </conditionalFormatting>
  <conditionalFormatting sqref="C18">
    <cfRule type="cellIs" dxfId="2" priority="4" operator="lessThan">
      <formula>21.8</formula>
    </cfRule>
    <cfRule type="cellIs" dxfId="1" priority="5" operator="between">
      <formula>25.35</formula>
      <formula>31.55</formula>
    </cfRule>
    <cfRule type="cellIs" dxfId="0" priority="6"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7"/>
  <sheetViews>
    <sheetView workbookViewId="0"/>
  </sheetViews>
  <sheetFormatPr defaultColWidth="9" defaultRowHeight="13.8"/>
  <cols>
    <col min="1" max="1" width="9.5" style="3" customWidth="1"/>
    <col min="2" max="16384" width="9" style="1"/>
  </cols>
  <sheetData>
    <row r="1" spans="1:1">
      <c r="A1" s="7" t="s">
        <v>555</v>
      </c>
    </row>
    <row r="2" spans="1:1">
      <c r="A2" s="3" t="s">
        <v>556</v>
      </c>
    </row>
    <row r="3" spans="1:1">
      <c r="A3" s="3" t="s">
        <v>557</v>
      </c>
    </row>
    <row r="5" spans="1:1">
      <c r="A5" s="7" t="s">
        <v>558</v>
      </c>
    </row>
    <row r="6" spans="1:1">
      <c r="A6" s="3" t="s">
        <v>556</v>
      </c>
    </row>
    <row r="7" spans="1:1">
      <c r="A7" s="3" t="s">
        <v>557</v>
      </c>
    </row>
    <row r="8" spans="1:1">
      <c r="A8" s="3" t="s">
        <v>559</v>
      </c>
    </row>
    <row r="10" spans="1:1">
      <c r="A10" s="11" t="s">
        <v>560</v>
      </c>
    </row>
    <row r="11" spans="1:1">
      <c r="A11" s="12">
        <v>6</v>
      </c>
    </row>
    <row r="12" spans="1:1">
      <c r="A12" s="12">
        <v>5.5</v>
      </c>
    </row>
    <row r="13" spans="1:1">
      <c r="A13" s="12">
        <v>5</v>
      </c>
    </row>
    <row r="14" spans="1:1">
      <c r="A14" s="12">
        <v>4.5</v>
      </c>
    </row>
    <row r="15" spans="1:1">
      <c r="A15" s="12">
        <v>4</v>
      </c>
    </row>
    <row r="16" spans="1:1">
      <c r="A16" s="12">
        <v>3.5</v>
      </c>
    </row>
    <row r="17" spans="1:1">
      <c r="A17" s="12">
        <v>3</v>
      </c>
    </row>
    <row r="18" spans="1:1">
      <c r="A18" s="12">
        <v>2.5</v>
      </c>
    </row>
    <row r="19" spans="1:1">
      <c r="A19" s="12">
        <v>2</v>
      </c>
    </row>
    <row r="20" spans="1:1">
      <c r="A20" s="12">
        <v>1.5</v>
      </c>
    </row>
    <row r="21" spans="1:1">
      <c r="A21" s="12">
        <v>1</v>
      </c>
    </row>
    <row r="22" spans="1:1">
      <c r="A22" s="12">
        <v>0.5</v>
      </c>
    </row>
    <row r="23" spans="1:1">
      <c r="A23" s="13"/>
    </row>
    <row r="24" spans="1:1">
      <c r="A24" s="17" t="s">
        <v>400</v>
      </c>
    </row>
    <row r="25" spans="1:1">
      <c r="A25" s="18" t="s">
        <v>571</v>
      </c>
    </row>
    <row r="26" spans="1:1">
      <c r="A26" s="18" t="s">
        <v>609</v>
      </c>
    </row>
    <row r="27" spans="1:1">
      <c r="A27" s="525" t="s">
        <v>708</v>
      </c>
    </row>
  </sheetData>
  <customSheetViews>
    <customSheetView guid="{667C12D2-B688-4218-94B0-4FC6FD6E2246}">
      <selection activeCell="A11" sqref="A11:A22"/>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sqref="A1:L1"/>
    </sheetView>
  </sheetViews>
  <sheetFormatPr defaultColWidth="9" defaultRowHeight="13.2"/>
  <cols>
    <col min="1" max="1" width="3.3984375" style="19" customWidth="1"/>
    <col min="2" max="2" width="18.09765625" style="19" customWidth="1"/>
    <col min="3" max="4" width="8.59765625" style="19" customWidth="1"/>
    <col min="5" max="5" width="5.69921875" style="19" customWidth="1"/>
    <col min="6" max="6" width="3.19921875" style="19" customWidth="1"/>
    <col min="7" max="7" width="13.69921875" style="19" customWidth="1"/>
    <col min="8" max="8" width="11.09765625" style="19" customWidth="1"/>
    <col min="9" max="9" width="9.19921875" style="19" customWidth="1"/>
    <col min="10" max="10" width="8.3984375" style="19" customWidth="1"/>
    <col min="11" max="11" width="9" style="19"/>
    <col min="12" max="12" width="4.09765625" style="19" customWidth="1"/>
    <col min="13" max="16384" width="9" style="19"/>
  </cols>
  <sheetData>
    <row r="1" spans="1:12" ht="27" customHeight="1">
      <c r="A1" s="564" t="s">
        <v>391</v>
      </c>
      <c r="B1" s="564"/>
      <c r="C1" s="564"/>
      <c r="D1" s="564"/>
      <c r="E1" s="564"/>
      <c r="F1" s="564"/>
      <c r="G1" s="564"/>
      <c r="H1" s="564"/>
      <c r="I1" s="564"/>
      <c r="J1" s="564"/>
      <c r="K1" s="564"/>
      <c r="L1" s="564"/>
    </row>
    <row r="2" spans="1:12" ht="18" customHeight="1">
      <c r="A2" s="596" t="s">
        <v>641</v>
      </c>
      <c r="B2" s="597"/>
      <c r="C2" s="597"/>
      <c r="D2" s="597"/>
      <c r="E2" s="597"/>
      <c r="F2" s="597"/>
      <c r="G2" s="597"/>
      <c r="H2" s="597"/>
      <c r="I2" s="597"/>
      <c r="J2" s="597"/>
      <c r="K2" s="597"/>
      <c r="L2" s="597"/>
    </row>
    <row r="3" spans="1:12" ht="15.75" customHeight="1"/>
    <row r="4" spans="1:12" ht="24" customHeight="1">
      <c r="A4" s="598" t="s">
        <v>425</v>
      </c>
      <c r="B4" s="598"/>
      <c r="C4" s="598"/>
      <c r="D4" s="598"/>
      <c r="E4" s="598"/>
      <c r="F4" s="598"/>
      <c r="G4" s="598"/>
      <c r="H4" s="598"/>
      <c r="I4" s="598"/>
      <c r="J4" s="598"/>
      <c r="K4" s="598"/>
      <c r="L4" s="598"/>
    </row>
    <row r="5" spans="1:12" ht="42" customHeight="1">
      <c r="A5" s="599" t="s">
        <v>642</v>
      </c>
      <c r="B5" s="599"/>
      <c r="C5" s="599"/>
      <c r="D5" s="599"/>
      <c r="E5" s="599"/>
      <c r="F5" s="599"/>
      <c r="G5" s="599"/>
      <c r="H5" s="599"/>
      <c r="I5" s="599"/>
      <c r="J5" s="599"/>
      <c r="K5" s="599"/>
      <c r="L5" s="599"/>
    </row>
    <row r="6" spans="1:12" ht="15" customHeight="1">
      <c r="A6" s="45" t="s">
        <v>643</v>
      </c>
      <c r="B6" s="46"/>
      <c r="C6" s="46"/>
      <c r="D6" s="46"/>
      <c r="E6" s="46"/>
      <c r="F6" s="46"/>
      <c r="G6" s="46"/>
      <c r="H6" s="46"/>
      <c r="I6" s="47"/>
      <c r="J6" s="48"/>
      <c r="K6" s="48"/>
      <c r="L6" s="49"/>
    </row>
    <row r="7" spans="1:12" ht="15" customHeight="1">
      <c r="A7" s="50" t="s">
        <v>644</v>
      </c>
      <c r="B7" s="51"/>
      <c r="C7" s="51"/>
      <c r="D7" s="51"/>
      <c r="E7" s="51"/>
      <c r="F7" s="51"/>
      <c r="G7" s="51"/>
      <c r="H7" s="51"/>
      <c r="I7" s="51"/>
      <c r="J7" s="51"/>
      <c r="K7" s="51"/>
      <c r="L7" s="52"/>
    </row>
    <row r="8" spans="1:12" ht="15" customHeight="1">
      <c r="J8" s="600"/>
      <c r="K8" s="600"/>
      <c r="L8" s="600"/>
    </row>
    <row r="9" spans="1:12" ht="15" customHeight="1">
      <c r="H9" s="53" t="s">
        <v>426</v>
      </c>
      <c r="I9" s="33"/>
      <c r="J9" s="591" t="s">
        <v>412</v>
      </c>
      <c r="K9" s="591"/>
      <c r="L9" s="591"/>
    </row>
    <row r="10" spans="1:12" ht="15.75" customHeight="1">
      <c r="A10" s="54" t="s">
        <v>427</v>
      </c>
      <c r="B10" s="28" t="s">
        <v>645</v>
      </c>
      <c r="H10" s="55" t="s">
        <v>428</v>
      </c>
      <c r="J10" s="593" t="s">
        <v>559</v>
      </c>
      <c r="K10" s="594"/>
      <c r="L10" s="595"/>
    </row>
    <row r="11" spans="1:12" ht="15.75" customHeight="1">
      <c r="A11" s="56" t="s">
        <v>429</v>
      </c>
      <c r="B11" s="28" t="s">
        <v>430</v>
      </c>
      <c r="H11" s="55" t="s">
        <v>428</v>
      </c>
      <c r="J11" s="593"/>
      <c r="K11" s="594"/>
      <c r="L11" s="595"/>
    </row>
    <row r="12" spans="1:12" ht="15.75" customHeight="1">
      <c r="A12" s="56" t="s">
        <v>431</v>
      </c>
      <c r="B12" s="28" t="s">
        <v>170</v>
      </c>
      <c r="H12" s="55" t="s">
        <v>428</v>
      </c>
      <c r="J12" s="593"/>
      <c r="K12" s="594"/>
      <c r="L12" s="595"/>
    </row>
    <row r="13" spans="1:12" ht="15.75" customHeight="1">
      <c r="A13" s="56" t="s">
        <v>432</v>
      </c>
      <c r="B13" s="28" t="s">
        <v>433</v>
      </c>
      <c r="H13" s="55" t="s">
        <v>428</v>
      </c>
      <c r="J13" s="593"/>
      <c r="K13" s="594"/>
      <c r="L13" s="595"/>
    </row>
    <row r="14" spans="1:12" ht="15.75" customHeight="1">
      <c r="A14" s="56" t="s">
        <v>434</v>
      </c>
      <c r="B14" s="28" t="s">
        <v>435</v>
      </c>
      <c r="H14" s="55" t="s">
        <v>428</v>
      </c>
      <c r="J14" s="593"/>
      <c r="K14" s="594"/>
      <c r="L14" s="595"/>
    </row>
    <row r="15" spans="1:12" ht="15.75" customHeight="1">
      <c r="A15" s="56" t="s">
        <v>436</v>
      </c>
      <c r="B15" s="28" t="s">
        <v>437</v>
      </c>
      <c r="H15" s="55" t="s">
        <v>428</v>
      </c>
      <c r="J15" s="593"/>
      <c r="K15" s="594"/>
      <c r="L15" s="595"/>
    </row>
    <row r="16" spans="1:12" ht="15.75" customHeight="1">
      <c r="A16" s="56" t="s">
        <v>438</v>
      </c>
      <c r="B16" s="29" t="s">
        <v>161</v>
      </c>
      <c r="H16" s="55" t="s">
        <v>439</v>
      </c>
      <c r="J16" s="593"/>
      <c r="K16" s="594"/>
      <c r="L16" s="595"/>
    </row>
    <row r="17" spans="1:12" ht="15.75" customHeight="1">
      <c r="A17" s="56" t="s">
        <v>440</v>
      </c>
      <c r="B17" s="29" t="s">
        <v>441</v>
      </c>
      <c r="H17" s="55" t="s">
        <v>442</v>
      </c>
      <c r="J17" s="593"/>
      <c r="K17" s="594"/>
      <c r="L17" s="595"/>
    </row>
    <row r="18" spans="1:12" ht="15.75" customHeight="1">
      <c r="A18" s="54" t="s">
        <v>443</v>
      </c>
      <c r="B18" s="28" t="s">
        <v>444</v>
      </c>
      <c r="H18" s="55" t="s">
        <v>445</v>
      </c>
      <c r="J18" s="593"/>
      <c r="K18" s="594"/>
      <c r="L18" s="595"/>
    </row>
    <row r="19" spans="1:12" ht="15.75" customHeight="1">
      <c r="A19" s="54" t="s">
        <v>446</v>
      </c>
      <c r="B19" s="28" t="s">
        <v>447</v>
      </c>
      <c r="H19" s="55" t="s">
        <v>448</v>
      </c>
      <c r="J19" s="593"/>
      <c r="K19" s="594"/>
      <c r="L19" s="595"/>
    </row>
    <row r="20" spans="1:12" ht="15.75" customHeight="1">
      <c r="A20" s="54" t="s">
        <v>449</v>
      </c>
      <c r="B20" s="28" t="s">
        <v>646</v>
      </c>
      <c r="H20" s="55" t="s">
        <v>448</v>
      </c>
      <c r="J20" s="593"/>
      <c r="K20" s="594"/>
      <c r="L20" s="595"/>
    </row>
    <row r="21" spans="1:12" ht="15.75" customHeight="1">
      <c r="A21" s="54" t="s">
        <v>450</v>
      </c>
      <c r="B21" s="28" t="s">
        <v>647</v>
      </c>
      <c r="H21" s="55" t="s">
        <v>648</v>
      </c>
      <c r="J21" s="593"/>
      <c r="K21" s="594"/>
      <c r="L21" s="595"/>
    </row>
    <row r="22" spans="1:12" ht="15.75" customHeight="1">
      <c r="A22" s="54" t="s">
        <v>649</v>
      </c>
      <c r="B22" s="28" t="s">
        <v>650</v>
      </c>
      <c r="H22" s="55" t="s">
        <v>651</v>
      </c>
      <c r="J22" s="593"/>
      <c r="K22" s="594"/>
      <c r="L22" s="595"/>
    </row>
    <row r="23" spans="1:12" ht="15.75" customHeight="1"/>
    <row r="24" spans="1:12" ht="24" customHeight="1">
      <c r="A24" s="598" t="s">
        <v>451</v>
      </c>
      <c r="B24" s="598"/>
      <c r="C24" s="598"/>
      <c r="D24" s="598"/>
      <c r="E24" s="598"/>
      <c r="F24" s="598"/>
      <c r="G24" s="598"/>
      <c r="H24" s="598"/>
      <c r="I24" s="598"/>
      <c r="J24" s="598"/>
      <c r="K24" s="598"/>
      <c r="L24" s="598"/>
    </row>
    <row r="25" spans="1:12" ht="15" customHeight="1"/>
    <row r="26" spans="1:12" ht="241.5" customHeight="1">
      <c r="A26" s="601"/>
      <c r="B26" s="602"/>
      <c r="C26" s="602"/>
      <c r="D26" s="602"/>
      <c r="E26" s="602"/>
      <c r="F26" s="602"/>
      <c r="G26" s="602"/>
      <c r="H26" s="602"/>
      <c r="I26" s="602"/>
      <c r="J26" s="602"/>
      <c r="K26" s="602"/>
      <c r="L26" s="603"/>
    </row>
    <row r="27" spans="1:12" ht="15" customHeight="1" thickBot="1"/>
    <row r="28" spans="1:12" ht="204.75" customHeight="1" thickBot="1">
      <c r="A28" s="604" t="s">
        <v>652</v>
      </c>
      <c r="B28" s="605"/>
      <c r="C28" s="605"/>
      <c r="D28" s="605"/>
      <c r="E28" s="605"/>
      <c r="F28" s="605"/>
      <c r="G28" s="605"/>
      <c r="H28" s="605"/>
      <c r="I28" s="605"/>
      <c r="J28" s="605"/>
      <c r="K28" s="605"/>
      <c r="L28" s="606"/>
    </row>
    <row r="33" spans="2:12" ht="18" customHeight="1">
      <c r="B33" s="21"/>
      <c r="C33" s="21"/>
      <c r="D33" s="21"/>
      <c r="E33" s="21"/>
      <c r="F33" s="21"/>
      <c r="G33" s="21"/>
      <c r="H33" s="21"/>
      <c r="I33" s="21"/>
      <c r="J33" s="21"/>
      <c r="K33" s="21"/>
      <c r="L33" s="21"/>
    </row>
  </sheetData>
  <customSheetViews>
    <customSheetView guid="{667C12D2-B688-4218-94B0-4FC6FD6E2246}">
      <selection sqref="A1:L1"/>
      <pageMargins left="0.5" right="0.5" top="0.5" bottom="0.5" header="0.5" footer="0.25"/>
      <printOptions horizontalCentered="1"/>
      <pageSetup scale="80" orientation="portrait" r:id="rId1"/>
      <headerFooter alignWithMargins="0">
        <oddFooter>&amp;C&amp;8&amp;Z&amp;F</oddFooter>
      </headerFooter>
    </customSheetView>
  </customSheetViews>
  <mergeCells count="22">
    <mergeCell ref="J22:L22"/>
    <mergeCell ref="A24:L24"/>
    <mergeCell ref="A26:L26"/>
    <mergeCell ref="A28:L28"/>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10:L19 J20">
    <cfRule type="cellIs" dxfId="172" priority="2" stopIfTrue="1" operator="equal">
      <formula>"Fail"</formula>
    </cfRule>
  </conditionalFormatting>
  <conditionalFormatting sqref="J21:L22">
    <cfRule type="cellIs" dxfId="171" priority="1" stopIfTrue="1" operator="equal">
      <formula>"Fail"</formula>
    </cfRule>
  </conditionalFormatting>
  <dataValidations count="2">
    <dataValidation type="list" allowBlank="1" showInputMessage="1" showErrorMessage="1" sqref="J11:L19" xr:uid="{00000000-0002-0000-0100-000000000000}">
      <formula1>PF</formula1>
    </dataValidation>
    <dataValidation type="list" allowBlank="1" showInputMessage="1" showErrorMessage="1" sqref="J21:L22 J10:L10 J20" xr:uid="{00000000-0002-0000-0100-000001000000}">
      <formula1>NA</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45"/>
  <sheetViews>
    <sheetView workbookViewId="0">
      <selection sqref="A1:M1"/>
    </sheetView>
  </sheetViews>
  <sheetFormatPr defaultColWidth="8.69921875" defaultRowHeight="13.2"/>
  <cols>
    <col min="1" max="1" width="5.09765625" style="19" customWidth="1"/>
    <col min="2" max="2" width="5.69921875" style="19" customWidth="1"/>
    <col min="3" max="3" width="15.59765625" style="19" customWidth="1"/>
    <col min="4" max="4" width="12.19921875" style="19" customWidth="1"/>
    <col min="5" max="5" width="5.8984375" style="19" customWidth="1"/>
    <col min="6" max="7" width="4.19921875" style="19" customWidth="1"/>
    <col min="8" max="8" width="7.69921875" style="19" customWidth="1"/>
    <col min="9" max="9" width="9.5" style="19" customWidth="1"/>
    <col min="10" max="10" width="10.5" style="19" customWidth="1"/>
    <col min="11" max="11" width="8.69921875" style="19" customWidth="1"/>
    <col min="12" max="12" width="7.69921875" style="19" customWidth="1"/>
    <col min="13" max="13" width="8.69921875" style="19" customWidth="1"/>
    <col min="14" max="16384" width="8.69921875" style="19"/>
  </cols>
  <sheetData>
    <row r="1" spans="1:13" ht="24.6">
      <c r="A1" s="564" t="s">
        <v>742</v>
      </c>
      <c r="B1" s="564"/>
      <c r="C1" s="564"/>
      <c r="D1" s="564"/>
      <c r="E1" s="564"/>
      <c r="F1" s="564"/>
      <c r="G1" s="564"/>
      <c r="H1" s="564"/>
      <c r="I1" s="564"/>
      <c r="J1" s="564"/>
      <c r="K1" s="564"/>
      <c r="L1" s="564"/>
      <c r="M1" s="564"/>
    </row>
    <row r="2" spans="1:13" ht="24.6">
      <c r="A2" s="564" t="s">
        <v>741</v>
      </c>
      <c r="B2" s="564"/>
      <c r="C2" s="564"/>
      <c r="D2" s="564"/>
      <c r="E2" s="564"/>
      <c r="F2" s="564"/>
      <c r="G2" s="564"/>
      <c r="H2" s="564"/>
      <c r="I2" s="564"/>
      <c r="J2" s="564"/>
      <c r="K2" s="564"/>
      <c r="L2" s="564"/>
      <c r="M2" s="564"/>
    </row>
    <row r="3" spans="1:13" ht="15" customHeight="1">
      <c r="A3" s="20"/>
      <c r="B3" s="20"/>
      <c r="C3" s="20"/>
      <c r="D3" s="20"/>
      <c r="E3" s="20"/>
      <c r="F3" s="20"/>
      <c r="G3" s="20"/>
      <c r="H3" s="20"/>
      <c r="I3" s="20"/>
      <c r="J3" s="20"/>
      <c r="K3" s="20"/>
      <c r="L3" s="20"/>
      <c r="M3" s="20"/>
    </row>
    <row r="4" spans="1:13" ht="18" customHeight="1">
      <c r="A4" s="21" t="s">
        <v>392</v>
      </c>
      <c r="B4" s="21"/>
      <c r="C4" s="565" t="s">
        <v>673</v>
      </c>
      <c r="D4" s="566"/>
      <c r="E4" s="566"/>
      <c r="F4" s="566"/>
      <c r="G4" s="566"/>
      <c r="H4" s="567"/>
      <c r="I4" s="21"/>
      <c r="J4" s="22" t="s">
        <v>393</v>
      </c>
      <c r="K4" s="568"/>
      <c r="L4" s="569"/>
      <c r="M4" s="570"/>
    </row>
    <row r="5" spans="1:13" ht="18" customHeight="1">
      <c r="A5" s="21" t="s">
        <v>394</v>
      </c>
      <c r="B5" s="21"/>
      <c r="C5" s="565" t="s">
        <v>674</v>
      </c>
      <c r="D5" s="566"/>
      <c r="E5" s="566"/>
      <c r="F5" s="566"/>
      <c r="G5" s="566"/>
      <c r="H5" s="567"/>
      <c r="I5" s="21"/>
      <c r="J5" s="22" t="s">
        <v>395</v>
      </c>
      <c r="K5" s="568">
        <f>Sheet1!P7</f>
        <v>0</v>
      </c>
      <c r="L5" s="569"/>
      <c r="M5" s="570"/>
    </row>
    <row r="6" spans="1:13" ht="18" customHeight="1">
      <c r="A6" s="21" t="s">
        <v>398</v>
      </c>
      <c r="B6" s="21"/>
      <c r="C6" s="21"/>
      <c r="D6" s="608" t="str">
        <f>Sheet1!R17</f>
        <v/>
      </c>
      <c r="E6" s="609"/>
      <c r="F6" s="609"/>
      <c r="G6" s="609"/>
      <c r="H6" s="610"/>
      <c r="I6" s="21"/>
      <c r="J6" s="22" t="s">
        <v>400</v>
      </c>
      <c r="K6" s="608" t="str">
        <f>Sheet1!R18</f>
        <v/>
      </c>
      <c r="L6" s="609"/>
      <c r="M6" s="610"/>
    </row>
    <row r="7" spans="1:13" ht="18" customHeight="1">
      <c r="A7" s="21" t="s">
        <v>401</v>
      </c>
      <c r="B7" s="21"/>
      <c r="C7" s="21"/>
      <c r="D7" s="611" t="str">
        <f>Sheet1!V12</f>
        <v/>
      </c>
      <c r="E7" s="612"/>
      <c r="F7" s="612"/>
      <c r="G7" s="612"/>
      <c r="H7" s="613"/>
      <c r="I7" s="21"/>
      <c r="J7" s="22" t="s">
        <v>402</v>
      </c>
      <c r="K7" s="565" t="str">
        <f>Sheet1!R14</f>
        <v/>
      </c>
      <c r="L7" s="566"/>
      <c r="M7" s="567"/>
    </row>
    <row r="8" spans="1:13" ht="18" customHeight="1">
      <c r="A8" s="21" t="s">
        <v>740</v>
      </c>
      <c r="B8" s="21"/>
      <c r="C8" s="21"/>
      <c r="D8" s="588" t="s">
        <v>559</v>
      </c>
      <c r="E8" s="614"/>
      <c r="F8" s="614"/>
      <c r="G8" s="614"/>
      <c r="H8" s="589"/>
      <c r="I8" s="21"/>
      <c r="J8" s="22" t="s">
        <v>739</v>
      </c>
      <c r="K8" s="565" t="s">
        <v>559</v>
      </c>
      <c r="L8" s="566"/>
      <c r="M8" s="567"/>
    </row>
    <row r="9" spans="1:13" ht="18" customHeight="1">
      <c r="A9" s="21" t="s">
        <v>738</v>
      </c>
      <c r="B9" s="21"/>
      <c r="C9" s="21"/>
      <c r="D9" s="588" t="s">
        <v>559</v>
      </c>
      <c r="E9" s="614"/>
      <c r="F9" s="614"/>
      <c r="G9" s="614"/>
      <c r="H9" s="589"/>
      <c r="I9" s="21"/>
      <c r="J9" s="22" t="s">
        <v>400</v>
      </c>
      <c r="K9" s="565" t="s">
        <v>559</v>
      </c>
      <c r="L9" s="566"/>
      <c r="M9" s="567"/>
    </row>
    <row r="10" spans="1:13" ht="18" customHeight="1">
      <c r="A10" s="21" t="s">
        <v>737</v>
      </c>
      <c r="B10" s="21"/>
      <c r="C10" s="21"/>
      <c r="D10" s="588" t="str">
        <f>Sheet1!R17</f>
        <v/>
      </c>
      <c r="E10" s="614"/>
      <c r="F10" s="614"/>
      <c r="G10" s="614"/>
      <c r="H10" s="589"/>
      <c r="I10" s="21"/>
      <c r="J10" s="22" t="s">
        <v>400</v>
      </c>
      <c r="K10" s="565" t="str">
        <f>Sheet1!R18</f>
        <v/>
      </c>
      <c r="L10" s="566"/>
      <c r="M10" s="567"/>
    </row>
    <row r="11" spans="1:13" ht="18" customHeight="1">
      <c r="A11" s="21" t="s">
        <v>396</v>
      </c>
      <c r="B11" s="21"/>
      <c r="C11" s="21"/>
      <c r="D11" s="588" t="str">
        <f>Sheet1!X7</f>
        <v>Eugene Mah</v>
      </c>
      <c r="E11" s="614"/>
      <c r="F11" s="614"/>
      <c r="G11" s="614"/>
      <c r="H11" s="589"/>
      <c r="I11" s="21"/>
      <c r="J11" s="22" t="s">
        <v>397</v>
      </c>
      <c r="K11" s="565"/>
      <c r="L11" s="566"/>
      <c r="M11" s="567"/>
    </row>
    <row r="12" spans="1:13" ht="18" customHeight="1">
      <c r="A12" s="21"/>
      <c r="B12" s="21"/>
      <c r="C12" s="21"/>
      <c r="D12" s="532"/>
      <c r="E12" s="532"/>
      <c r="F12" s="532"/>
      <c r="G12" s="532"/>
      <c r="H12" s="532"/>
      <c r="I12" s="21"/>
      <c r="J12" s="22"/>
      <c r="K12" s="531"/>
      <c r="L12" s="531"/>
      <c r="M12" s="531"/>
    </row>
    <row r="13" spans="1:13" ht="18" customHeight="1">
      <c r="A13" s="574" t="s">
        <v>410</v>
      </c>
      <c r="B13" s="574"/>
      <c r="C13" s="574"/>
      <c r="D13" s="574"/>
      <c r="E13" s="574"/>
      <c r="F13" s="574"/>
      <c r="G13" s="574"/>
      <c r="H13" s="574"/>
      <c r="I13" s="574"/>
      <c r="J13" s="574"/>
      <c r="K13" s="574"/>
      <c r="L13" s="574"/>
      <c r="M13" s="574"/>
    </row>
    <row r="14" spans="1:13" ht="18" customHeight="1">
      <c r="M14" s="53" t="s">
        <v>412</v>
      </c>
    </row>
    <row r="15" spans="1:13" ht="18" customHeight="1">
      <c r="A15" s="21" t="s">
        <v>736</v>
      </c>
      <c r="B15" s="21"/>
      <c r="C15" s="28"/>
      <c r="D15" s="21"/>
      <c r="E15" s="21"/>
      <c r="F15" s="21"/>
      <c r="G15" s="21"/>
      <c r="H15" s="21"/>
      <c r="I15" s="21"/>
      <c r="J15" s="21"/>
      <c r="K15" s="21"/>
      <c r="L15" s="21"/>
      <c r="M15" s="540"/>
    </row>
    <row r="16" spans="1:13" ht="18" customHeight="1">
      <c r="A16" s="21" t="s">
        <v>414</v>
      </c>
      <c r="B16" s="21"/>
      <c r="C16" s="21"/>
      <c r="D16" s="21"/>
      <c r="E16" s="21"/>
      <c r="F16" s="21"/>
      <c r="G16" s="21"/>
      <c r="H16" s="21"/>
      <c r="I16" s="21"/>
      <c r="J16" s="21"/>
      <c r="K16" s="21"/>
      <c r="L16" s="21"/>
      <c r="M16" s="530"/>
    </row>
    <row r="17" spans="1:13" ht="18" customHeight="1">
      <c r="A17" s="28"/>
      <c r="B17" s="28"/>
      <c r="C17" s="37" t="s">
        <v>735</v>
      </c>
      <c r="D17" s="28"/>
      <c r="E17" s="28"/>
      <c r="F17" s="28"/>
      <c r="G17" s="28"/>
      <c r="H17" s="28"/>
      <c r="I17" s="28"/>
      <c r="J17" s="28"/>
      <c r="K17" s="28"/>
      <c r="L17" s="28"/>
      <c r="M17" s="540"/>
    </row>
    <row r="18" spans="1:13" ht="18" customHeight="1">
      <c r="A18" s="28"/>
      <c r="B18" s="28"/>
      <c r="C18" s="37" t="s">
        <v>734</v>
      </c>
      <c r="D18" s="28"/>
      <c r="E18" s="28"/>
      <c r="F18" s="28"/>
      <c r="G18" s="28"/>
      <c r="H18" s="28"/>
      <c r="I18" s="28"/>
      <c r="J18" s="28"/>
      <c r="K18" s="28"/>
      <c r="L18" s="28"/>
      <c r="M18" s="540"/>
    </row>
    <row r="19" spans="1:13" ht="18" customHeight="1">
      <c r="A19" s="21" t="s">
        <v>733</v>
      </c>
      <c r="B19" s="21"/>
      <c r="C19" s="21"/>
      <c r="D19" s="21"/>
      <c r="E19" s="21"/>
      <c r="F19" s="21"/>
      <c r="G19" s="21"/>
      <c r="H19" s="21"/>
      <c r="I19" s="21"/>
      <c r="J19" s="21"/>
      <c r="K19" s="21"/>
      <c r="L19" s="21"/>
      <c r="M19" s="529"/>
    </row>
    <row r="20" spans="1:13" ht="18" customHeight="1">
      <c r="A20" s="28"/>
      <c r="B20" s="28"/>
      <c r="C20" s="37" t="s">
        <v>732</v>
      </c>
      <c r="D20" s="28"/>
      <c r="E20" s="28"/>
      <c r="F20" s="28"/>
      <c r="G20" s="28"/>
      <c r="H20" s="28"/>
      <c r="I20" s="28"/>
      <c r="J20" s="28"/>
      <c r="K20" s="28"/>
      <c r="L20" s="28"/>
      <c r="M20" s="540" t="s">
        <v>559</v>
      </c>
    </row>
    <row r="21" spans="1:13" ht="18" customHeight="1">
      <c r="A21" s="28"/>
      <c r="B21" s="28"/>
      <c r="C21" s="37" t="s">
        <v>731</v>
      </c>
      <c r="D21" s="28"/>
      <c r="E21" s="28"/>
      <c r="F21" s="28"/>
      <c r="G21" s="28"/>
      <c r="H21" s="28"/>
      <c r="I21" s="28"/>
      <c r="J21" s="28"/>
      <c r="K21" s="28"/>
      <c r="L21" s="28"/>
      <c r="M21" s="540"/>
    </row>
    <row r="22" spans="1:13" ht="18" customHeight="1">
      <c r="A22" s="21" t="s">
        <v>416</v>
      </c>
      <c r="B22" s="21"/>
      <c r="C22" s="21"/>
      <c r="D22" s="21"/>
      <c r="E22" s="21"/>
      <c r="F22" s="21"/>
      <c r="G22" s="21"/>
      <c r="H22" s="21"/>
      <c r="I22" s="21"/>
      <c r="J22" s="21"/>
      <c r="K22" s="21"/>
      <c r="L22" s="21"/>
      <c r="M22" s="528"/>
    </row>
    <row r="23" spans="1:13" ht="18" customHeight="1">
      <c r="A23" s="21"/>
      <c r="B23" s="21"/>
      <c r="C23" s="37" t="s">
        <v>730</v>
      </c>
      <c r="D23" s="21"/>
      <c r="E23" s="21"/>
      <c r="F23" s="21"/>
      <c r="G23" s="21"/>
      <c r="H23" s="21"/>
      <c r="I23" s="21"/>
      <c r="J23" s="21"/>
      <c r="K23" s="21"/>
      <c r="L23" s="21"/>
      <c r="M23" s="540"/>
    </row>
    <row r="24" spans="1:13" ht="18" customHeight="1">
      <c r="A24" s="21"/>
      <c r="B24" s="21"/>
      <c r="C24" s="37" t="s">
        <v>729</v>
      </c>
      <c r="D24" s="21"/>
      <c r="E24" s="21"/>
      <c r="F24" s="21"/>
      <c r="G24" s="21"/>
      <c r="H24" s="21"/>
      <c r="I24" s="21"/>
      <c r="J24" s="21"/>
      <c r="K24" s="21"/>
      <c r="L24" s="21"/>
      <c r="M24" s="540"/>
    </row>
    <row r="25" spans="1:13" ht="18" customHeight="1">
      <c r="A25" s="21" t="s">
        <v>728</v>
      </c>
      <c r="B25" s="21"/>
      <c r="C25" s="21"/>
      <c r="D25" s="21"/>
      <c r="E25" s="21"/>
      <c r="F25" s="21"/>
      <c r="G25" s="21"/>
      <c r="H25" s="21"/>
      <c r="I25" s="21"/>
      <c r="J25" s="21"/>
      <c r="K25" s="21"/>
      <c r="L25" s="21"/>
      <c r="M25" s="528"/>
    </row>
    <row r="26" spans="1:13" ht="18" customHeight="1">
      <c r="A26" s="21"/>
      <c r="B26" s="21"/>
      <c r="C26" s="37" t="s">
        <v>727</v>
      </c>
      <c r="D26" s="21"/>
      <c r="E26" s="21"/>
      <c r="F26" s="21"/>
      <c r="G26" s="21"/>
      <c r="H26" s="21"/>
      <c r="I26" s="21"/>
      <c r="J26" s="21"/>
      <c r="K26" s="21"/>
      <c r="L26" s="21"/>
      <c r="M26" s="540"/>
    </row>
    <row r="27" spans="1:13" ht="18" customHeight="1">
      <c r="A27" s="21" t="s">
        <v>726</v>
      </c>
      <c r="B27" s="21"/>
      <c r="C27" s="21"/>
      <c r="D27" s="21"/>
      <c r="E27" s="21"/>
      <c r="F27" s="21"/>
      <c r="G27" s="21"/>
      <c r="H27" s="21"/>
      <c r="I27" s="21"/>
      <c r="J27" s="21"/>
      <c r="K27" s="21"/>
      <c r="L27" s="21"/>
      <c r="M27" s="21"/>
    </row>
    <row r="28" spans="1:13" ht="18" customHeight="1">
      <c r="A28" s="21"/>
      <c r="B28" s="21"/>
      <c r="C28" s="28" t="s">
        <v>725</v>
      </c>
      <c r="D28" s="21"/>
      <c r="E28" s="21"/>
      <c r="F28" s="21"/>
      <c r="G28" s="21"/>
      <c r="H28" s="21"/>
      <c r="I28" s="21"/>
      <c r="J28" s="21"/>
      <c r="K28" s="21"/>
      <c r="L28" s="21"/>
      <c r="M28" s="540"/>
    </row>
    <row r="29" spans="1:13" ht="18" customHeight="1">
      <c r="A29" s="21" t="s">
        <v>724</v>
      </c>
      <c r="B29" s="21"/>
      <c r="C29" s="21"/>
      <c r="D29" s="21"/>
      <c r="E29" s="21"/>
      <c r="F29" s="21"/>
      <c r="G29" s="21"/>
      <c r="H29" s="21"/>
      <c r="I29" s="21"/>
      <c r="J29" s="21"/>
      <c r="K29" s="21"/>
      <c r="L29" s="21"/>
      <c r="M29" s="21"/>
    </row>
    <row r="30" spans="1:13" ht="18" customHeight="1">
      <c r="A30" s="21"/>
      <c r="B30" s="21"/>
      <c r="C30" s="28" t="s">
        <v>723</v>
      </c>
      <c r="D30" s="21"/>
      <c r="E30" s="21"/>
      <c r="F30" s="21"/>
      <c r="G30" s="21"/>
      <c r="H30" s="21"/>
      <c r="I30" s="21"/>
      <c r="J30" s="21"/>
      <c r="K30" s="21"/>
      <c r="L30" s="21"/>
      <c r="M30" s="540"/>
    </row>
    <row r="31" spans="1:13" ht="18" customHeight="1">
      <c r="A31" s="21" t="s">
        <v>722</v>
      </c>
      <c r="B31" s="21"/>
      <c r="C31" s="21"/>
      <c r="D31" s="21"/>
      <c r="E31" s="21"/>
      <c r="F31" s="21"/>
      <c r="G31" s="21"/>
      <c r="H31" s="21"/>
      <c r="I31" s="21"/>
      <c r="J31" s="21"/>
      <c r="K31" s="21"/>
      <c r="L31" s="21"/>
      <c r="M31" s="21"/>
    </row>
    <row r="32" spans="1:13" ht="18" customHeight="1">
      <c r="A32" s="21"/>
      <c r="B32" s="21"/>
      <c r="C32" s="37" t="s">
        <v>721</v>
      </c>
      <c r="K32" s="527"/>
      <c r="L32" s="28"/>
      <c r="M32" s="540"/>
    </row>
    <row r="33" spans="1:13" ht="18" customHeight="1">
      <c r="A33" s="21"/>
      <c r="B33" s="21"/>
      <c r="C33" s="37" t="s">
        <v>720</v>
      </c>
      <c r="K33" s="541" t="str">
        <f>Sheet1!X373</f>
        <v/>
      </c>
      <c r="L33" s="28" t="s">
        <v>321</v>
      </c>
      <c r="M33" s="540"/>
    </row>
    <row r="34" spans="1:13" ht="18" customHeight="1">
      <c r="A34" s="21" t="s">
        <v>719</v>
      </c>
      <c r="B34" s="21"/>
      <c r="C34" s="21"/>
      <c r="D34" s="21"/>
      <c r="E34" s="21"/>
      <c r="F34" s="21"/>
      <c r="G34" s="21"/>
      <c r="H34" s="21"/>
      <c r="I34" s="21"/>
      <c r="J34" s="21"/>
      <c r="K34" s="21"/>
      <c r="L34" s="21"/>
      <c r="M34" s="526"/>
    </row>
    <row r="35" spans="1:13" ht="18" customHeight="1">
      <c r="A35" s="21"/>
      <c r="B35" s="21"/>
      <c r="C35" s="37" t="s">
        <v>718</v>
      </c>
      <c r="D35" s="28"/>
      <c r="E35" s="28"/>
      <c r="F35" s="28"/>
      <c r="G35" s="28"/>
      <c r="H35" s="28"/>
      <c r="I35" s="28"/>
      <c r="J35" s="28"/>
      <c r="K35" s="21"/>
      <c r="L35" s="21"/>
      <c r="M35" s="540"/>
    </row>
    <row r="36" spans="1:13" ht="18" customHeight="1">
      <c r="A36" s="21"/>
      <c r="B36" s="21"/>
      <c r="C36" s="37" t="s">
        <v>717</v>
      </c>
      <c r="D36" s="28" t="s">
        <v>716</v>
      </c>
      <c r="F36" s="28"/>
      <c r="G36" s="28"/>
      <c r="H36" s="28"/>
      <c r="I36" s="28"/>
      <c r="J36" s="28" t="s">
        <v>715</v>
      </c>
      <c r="L36" s="21"/>
    </row>
    <row r="37" spans="1:13" ht="18" customHeight="1">
      <c r="A37" s="21"/>
      <c r="B37" s="21"/>
      <c r="C37" s="37" t="s">
        <v>714</v>
      </c>
      <c r="D37" s="28"/>
      <c r="E37" s="28"/>
      <c r="F37" s="39"/>
      <c r="G37" s="39" t="s">
        <v>421</v>
      </c>
      <c r="H37" s="542">
        <f>Sheet1!V523</f>
        <v>0</v>
      </c>
      <c r="I37" s="39" t="s">
        <v>422</v>
      </c>
      <c r="J37" s="542">
        <f>Sheet1!V524</f>
        <v>0</v>
      </c>
      <c r="K37" s="39" t="s">
        <v>423</v>
      </c>
      <c r="L37" s="542">
        <f>Sheet1!V525</f>
        <v>0</v>
      </c>
      <c r="M37" s="517"/>
    </row>
    <row r="38" spans="1:13" ht="18" customHeight="1">
      <c r="A38" s="21" t="s">
        <v>713</v>
      </c>
      <c r="B38" s="21"/>
      <c r="C38" s="21"/>
      <c r="D38" s="21"/>
      <c r="E38" s="21"/>
      <c r="F38" s="21"/>
      <c r="G38" s="21"/>
      <c r="H38" s="21"/>
      <c r="I38" s="21"/>
      <c r="J38" s="21"/>
      <c r="K38" s="21"/>
      <c r="L38" s="21"/>
      <c r="M38" s="21"/>
    </row>
    <row r="39" spans="1:13" ht="18" customHeight="1">
      <c r="A39" s="21"/>
      <c r="B39" s="21"/>
      <c r="C39" s="28" t="s">
        <v>712</v>
      </c>
      <c r="D39" s="21"/>
      <c r="E39" s="21"/>
      <c r="F39" s="21"/>
      <c r="G39" s="21"/>
      <c r="H39" s="21"/>
      <c r="I39" s="21"/>
      <c r="J39" s="21"/>
      <c r="K39" s="21"/>
      <c r="L39" s="21"/>
      <c r="M39" s="540"/>
    </row>
    <row r="40" spans="1:13" ht="12" customHeight="1">
      <c r="A40" s="21"/>
      <c r="B40" s="21"/>
      <c r="C40" s="28"/>
      <c r="D40" s="21"/>
      <c r="E40" s="21"/>
      <c r="F40" s="21"/>
      <c r="G40" s="21"/>
      <c r="H40" s="21"/>
      <c r="I40" s="21"/>
      <c r="J40" s="21"/>
      <c r="K40" s="21"/>
      <c r="L40" s="21"/>
      <c r="M40" s="21"/>
    </row>
    <row r="41" spans="1:13" ht="36" customHeight="1">
      <c r="A41" s="21"/>
      <c r="B41" s="21"/>
      <c r="C41" s="607" t="s">
        <v>711</v>
      </c>
      <c r="D41" s="602"/>
      <c r="E41" s="602"/>
      <c r="F41" s="602"/>
      <c r="G41" s="602"/>
      <c r="H41" s="602"/>
      <c r="I41" s="602"/>
      <c r="J41" s="602"/>
      <c r="K41" s="602"/>
      <c r="L41" s="602"/>
      <c r="M41" s="603"/>
    </row>
    <row r="42" spans="1:13" ht="18" customHeight="1">
      <c r="A42" s="21" t="s">
        <v>710</v>
      </c>
      <c r="B42" s="21"/>
      <c r="C42" s="21"/>
      <c r="D42" s="21"/>
      <c r="E42" s="21"/>
      <c r="F42" s="21"/>
      <c r="G42" s="21"/>
      <c r="H42" s="21"/>
      <c r="I42" s="21"/>
      <c r="J42" s="21"/>
      <c r="K42" s="21"/>
      <c r="L42" s="21"/>
      <c r="M42" s="21"/>
    </row>
    <row r="43" spans="1:13" ht="18" customHeight="1">
      <c r="A43" s="21"/>
      <c r="B43" s="21"/>
      <c r="C43" s="28" t="s">
        <v>709</v>
      </c>
      <c r="D43" s="21"/>
      <c r="E43" s="21"/>
      <c r="F43" s="21"/>
      <c r="G43" s="21"/>
      <c r="H43" s="21"/>
      <c r="I43" s="21"/>
      <c r="J43" s="21"/>
      <c r="K43" s="21"/>
      <c r="L43" s="21"/>
      <c r="M43" s="540"/>
    </row>
    <row r="44" spans="1:13" ht="18" customHeight="1"/>
    <row r="45" spans="1:13" ht="18" customHeight="1">
      <c r="A45" s="592" t="s">
        <v>640</v>
      </c>
      <c r="B45" s="592"/>
      <c r="C45" s="592"/>
      <c r="D45" s="592"/>
      <c r="E45" s="592"/>
      <c r="F45" s="592"/>
      <c r="G45" s="592"/>
      <c r="H45" s="592"/>
      <c r="I45" s="592"/>
      <c r="J45" s="592"/>
      <c r="K45" s="592"/>
      <c r="L45" s="592"/>
      <c r="M45" s="592"/>
    </row>
  </sheetData>
  <customSheetViews>
    <customSheetView guid="{667C12D2-B688-4218-94B0-4FC6FD6E2246}" showGridLines="0" fitToPage="1" topLeftCell="A31">
      <selection activeCell="C28" sqref="C28"/>
      <pageMargins left="0.75" right="0.75" top="0.75" bottom="0.75" header="0" footer="0.25"/>
      <printOptions horizontalCentered="1"/>
      <pageSetup scale="77" orientation="portrait" r:id="rId1"/>
      <headerFooter alignWithMargins="0">
        <oddFooter>&amp;L&amp;8&amp;Z&amp;F</oddFooter>
      </headerFooter>
    </customSheetView>
  </customSheetViews>
  <mergeCells count="21">
    <mergeCell ref="A1:M1"/>
    <mergeCell ref="D8:H8"/>
    <mergeCell ref="K8:M8"/>
    <mergeCell ref="K6:M6"/>
    <mergeCell ref="A2:M2"/>
    <mergeCell ref="K4:M4"/>
    <mergeCell ref="K5:M5"/>
    <mergeCell ref="A45:M45"/>
    <mergeCell ref="C4:H4"/>
    <mergeCell ref="C5:H5"/>
    <mergeCell ref="C41:M41"/>
    <mergeCell ref="A13:M13"/>
    <mergeCell ref="K10:M10"/>
    <mergeCell ref="K11:M11"/>
    <mergeCell ref="D6:H6"/>
    <mergeCell ref="D7:H7"/>
    <mergeCell ref="K7:M7"/>
    <mergeCell ref="D9:H9"/>
    <mergeCell ref="K9:M9"/>
    <mergeCell ref="D10:H10"/>
    <mergeCell ref="D11:H11"/>
  </mergeCells>
  <conditionalFormatting sqref="K33">
    <cfRule type="cellIs" dxfId="170" priority="1" operator="greaterThan">
      <formula>3</formula>
    </cfRule>
  </conditionalFormatting>
  <conditionalFormatting sqref="M15 M17:M18 M20:M21 M23:M24 M26 M28 M30 M32:M33 M35 M39 M43">
    <cfRule type="cellIs" dxfId="169" priority="2" operator="equal">
      <formula>"Fail"</formula>
    </cfRule>
  </conditionalFormatting>
  <dataValidations count="5">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xr:uid="{00000000-0002-0000-0200-000000000000}">
      <formula1>NA</formula1>
    </dataValidation>
    <dataValidation type="list" allowBlank="1" showInputMessage="1" showErrorMessage="1" sqref="WLV98307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WVR98307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xr:uid="{00000000-0002-0000-0200-000001000000}">
      <formula1>SpeckMassLst</formula1>
    </dataValidation>
    <dataValidation type="list" allowBlank="1" showInputMessage="1" showErrorMessage="1" sqref="WVP98307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xr:uid="{00000000-0002-0000-0200-000002000000}">
      <formula1>FiberLst</formula1>
    </dataValidation>
    <dataValidation type="list" allowBlank="1" showInputMessage="1" sqref="H37" xr:uid="{00000000-0002-0000-0200-000003000000}">
      <formula1>FiberList</formula1>
    </dataValidation>
    <dataValidation type="list" allowBlank="1" showInputMessage="1" sqref="J37 L37" xr:uid="{00000000-0002-0000-0200-000004000000}">
      <formula1>SpeckMassList</formula1>
    </dataValidation>
  </dataValidations>
  <printOptions horizontalCentered="1"/>
  <pageMargins left="0.75" right="0.75" top="0.75" bottom="0.75" header="0" footer="0.25"/>
  <pageSetup scale="77" orientation="portrait" r:id="rId2"/>
  <headerFooter alignWithMargins="0">
    <oddFooter>&amp;L&amp;8&amp;Z&amp;F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483" r:id="rId5" name="Check Box 3">
              <controlPr defaultSize="0" autoFill="0" autoLine="0" autoPict="0">
                <anchor moveWithCells="1">
                  <from>
                    <xdr:col>2</xdr:col>
                    <xdr:colOff>998220</xdr:colOff>
                    <xdr:row>35</xdr:row>
                    <xdr:rowOff>22860</xdr:rowOff>
                  </from>
                  <to>
                    <xdr:col>3</xdr:col>
                    <xdr:colOff>137160</xdr:colOff>
                    <xdr:row>36</xdr:row>
                    <xdr:rowOff>7620</xdr:rowOff>
                  </to>
                </anchor>
              </controlPr>
            </control>
          </mc:Choice>
        </mc:AlternateContent>
        <mc:AlternateContent xmlns:mc="http://schemas.openxmlformats.org/markup-compatibility/2006">
          <mc:Choice Requires="x14">
            <control shapeId="20484" r:id="rId6" name="Check Box 4">
              <controlPr defaultSize="0" autoFill="0" autoLine="0" autoPict="0">
                <anchor moveWithCells="1">
                  <from>
                    <xdr:col>8</xdr:col>
                    <xdr:colOff>556260</xdr:colOff>
                    <xdr:row>35</xdr:row>
                    <xdr:rowOff>22860</xdr:rowOff>
                  </from>
                  <to>
                    <xdr:col>9</xdr:col>
                    <xdr:colOff>144780</xdr:colOff>
                    <xdr:row>36</xdr:row>
                    <xdr:rowOff>7620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5000000}">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6"/>
  <sheetViews>
    <sheetView workbookViewId="0">
      <selection sqref="A1:J1"/>
    </sheetView>
  </sheetViews>
  <sheetFormatPr defaultColWidth="8.69921875" defaultRowHeight="13.2"/>
  <cols>
    <col min="1" max="1" width="3.5" style="19" customWidth="1"/>
    <col min="2" max="2" width="18.59765625" style="19" customWidth="1"/>
    <col min="3" max="4" width="8.8984375" style="19" customWidth="1"/>
    <col min="5" max="5" width="5.8984375" style="19" customWidth="1"/>
    <col min="6" max="6" width="3.19921875" style="19" customWidth="1"/>
    <col min="7" max="7" width="14.09765625" style="19" customWidth="1"/>
    <col min="8" max="8" width="11.3984375" style="19" customWidth="1"/>
    <col min="9" max="9" width="9.5" style="19" customWidth="1"/>
    <col min="10" max="10" width="15.19921875" style="19" customWidth="1"/>
    <col min="11" max="16384" width="8.69921875" style="19"/>
  </cols>
  <sheetData>
    <row r="1" spans="1:10" ht="24.6">
      <c r="A1" s="564" t="s">
        <v>742</v>
      </c>
      <c r="B1" s="564"/>
      <c r="C1" s="564"/>
      <c r="D1" s="564"/>
      <c r="E1" s="564"/>
      <c r="F1" s="564"/>
      <c r="G1" s="564"/>
      <c r="H1" s="564"/>
      <c r="I1" s="564"/>
      <c r="J1" s="564"/>
    </row>
    <row r="2" spans="1:10" ht="24.6">
      <c r="A2" s="564" t="s">
        <v>763</v>
      </c>
      <c r="B2" s="615"/>
      <c r="C2" s="615"/>
      <c r="D2" s="615"/>
      <c r="E2" s="615"/>
      <c r="F2" s="615"/>
      <c r="G2" s="615"/>
      <c r="H2" s="615"/>
      <c r="I2" s="615"/>
      <c r="J2" s="615"/>
    </row>
    <row r="5" spans="1:10" ht="22.8">
      <c r="A5" s="534" t="s">
        <v>762</v>
      </c>
      <c r="B5" s="536"/>
      <c r="C5" s="533"/>
      <c r="D5" s="533"/>
      <c r="E5" s="533"/>
      <c r="F5" s="533"/>
      <c r="G5" s="533"/>
      <c r="H5" s="533"/>
      <c r="I5" s="533"/>
      <c r="J5" s="533"/>
    </row>
    <row r="6" spans="1:10" ht="23.25" customHeight="1">
      <c r="J6" s="517"/>
    </row>
    <row r="7" spans="1:10" ht="15.75" customHeight="1">
      <c r="H7" s="535" t="s">
        <v>761</v>
      </c>
      <c r="J7" s="517" t="s">
        <v>412</v>
      </c>
    </row>
    <row r="8" spans="1:10" ht="18" customHeight="1">
      <c r="A8" s="54" t="s">
        <v>427</v>
      </c>
      <c r="B8" s="28" t="s">
        <v>760</v>
      </c>
      <c r="H8" s="55" t="s">
        <v>757</v>
      </c>
      <c r="J8" s="539"/>
    </row>
    <row r="9" spans="1:10" ht="18" customHeight="1">
      <c r="A9" s="54" t="s">
        <v>429</v>
      </c>
      <c r="B9" s="28" t="s">
        <v>759</v>
      </c>
      <c r="H9" s="55" t="s">
        <v>757</v>
      </c>
      <c r="J9" s="539" t="s">
        <v>559</v>
      </c>
    </row>
    <row r="10" spans="1:10" ht="18" customHeight="1">
      <c r="A10" s="54" t="s">
        <v>431</v>
      </c>
      <c r="B10" s="28" t="s">
        <v>758</v>
      </c>
      <c r="H10" s="55" t="s">
        <v>757</v>
      </c>
      <c r="J10" s="539" t="s">
        <v>559</v>
      </c>
    </row>
    <row r="11" spans="1:10" ht="18" customHeight="1">
      <c r="A11" s="56" t="s">
        <v>432</v>
      </c>
      <c r="B11" s="28" t="s">
        <v>756</v>
      </c>
      <c r="H11" s="55" t="s">
        <v>428</v>
      </c>
      <c r="J11" s="539"/>
    </row>
    <row r="12" spans="1:10" ht="18" customHeight="1">
      <c r="A12" s="54" t="s">
        <v>434</v>
      </c>
      <c r="B12" s="28" t="s">
        <v>755</v>
      </c>
      <c r="H12" s="55" t="s">
        <v>428</v>
      </c>
      <c r="J12" s="539" t="s">
        <v>559</v>
      </c>
    </row>
    <row r="13" spans="1:10" ht="18" customHeight="1">
      <c r="A13" s="56" t="s">
        <v>436</v>
      </c>
      <c r="B13" s="28" t="s">
        <v>754</v>
      </c>
      <c r="H13" s="55" t="s">
        <v>428</v>
      </c>
      <c r="J13" s="539"/>
    </row>
    <row r="14" spans="1:10" ht="18" customHeight="1">
      <c r="A14" s="54" t="s">
        <v>438</v>
      </c>
      <c r="B14" s="29" t="s">
        <v>753</v>
      </c>
      <c r="H14" s="55" t="s">
        <v>442</v>
      </c>
      <c r="J14" s="539" t="s">
        <v>559</v>
      </c>
    </row>
    <row r="15" spans="1:10" ht="18" customHeight="1">
      <c r="A15" s="54" t="s">
        <v>440</v>
      </c>
      <c r="B15" s="29" t="s">
        <v>441</v>
      </c>
      <c r="H15" s="55" t="s">
        <v>442</v>
      </c>
      <c r="J15" s="539"/>
    </row>
    <row r="16" spans="1:10" ht="18" customHeight="1">
      <c r="A16" s="54" t="s">
        <v>443</v>
      </c>
      <c r="B16" s="28" t="s">
        <v>752</v>
      </c>
      <c r="H16" s="55" t="s">
        <v>445</v>
      </c>
      <c r="J16" s="539" t="s">
        <v>559</v>
      </c>
    </row>
    <row r="17" spans="1:10" ht="18" customHeight="1">
      <c r="A17" s="54" t="s">
        <v>446</v>
      </c>
      <c r="B17" s="28" t="s">
        <v>447</v>
      </c>
      <c r="H17" s="55" t="s">
        <v>448</v>
      </c>
      <c r="J17" s="539"/>
    </row>
    <row r="18" spans="1:10" ht="18" customHeight="1">
      <c r="A18" s="54" t="s">
        <v>449</v>
      </c>
      <c r="B18" s="28" t="s">
        <v>751</v>
      </c>
      <c r="H18" s="55" t="s">
        <v>448</v>
      </c>
      <c r="J18" s="539"/>
    </row>
    <row r="19" spans="1:10" ht="18" customHeight="1">
      <c r="A19" s="54" t="s">
        <v>450</v>
      </c>
      <c r="B19" s="28" t="s">
        <v>750</v>
      </c>
      <c r="H19" s="55" t="s">
        <v>448</v>
      </c>
      <c r="J19" s="539" t="s">
        <v>559</v>
      </c>
    </row>
    <row r="20" spans="1:10" ht="18" customHeight="1">
      <c r="A20" s="54" t="s">
        <v>649</v>
      </c>
      <c r="B20" s="28" t="s">
        <v>749</v>
      </c>
      <c r="H20" s="55" t="s">
        <v>448</v>
      </c>
      <c r="J20" s="539" t="s">
        <v>559</v>
      </c>
    </row>
    <row r="21" spans="1:10" ht="18" customHeight="1">
      <c r="A21" s="56" t="s">
        <v>748</v>
      </c>
      <c r="B21" s="28" t="s">
        <v>747</v>
      </c>
      <c r="H21" s="55" t="s">
        <v>746</v>
      </c>
      <c r="J21" s="539" t="s">
        <v>559</v>
      </c>
    </row>
    <row r="22" spans="1:10" ht="18" customHeight="1">
      <c r="A22" s="56" t="s">
        <v>745</v>
      </c>
      <c r="B22" s="28" t="s">
        <v>744</v>
      </c>
      <c r="H22" s="55" t="s">
        <v>743</v>
      </c>
      <c r="J22" s="539" t="s">
        <v>556</v>
      </c>
    </row>
    <row r="23" spans="1:10" ht="18" customHeight="1"/>
    <row r="24" spans="1:10" ht="23.25" customHeight="1">
      <c r="A24" s="534" t="s">
        <v>451</v>
      </c>
      <c r="B24" s="533"/>
      <c r="C24" s="533"/>
      <c r="D24" s="533"/>
      <c r="E24" s="533"/>
      <c r="F24" s="533"/>
      <c r="G24" s="533"/>
      <c r="H24" s="533"/>
      <c r="I24" s="533"/>
      <c r="J24" s="533"/>
    </row>
    <row r="25" spans="1:10" ht="8.25" customHeight="1"/>
    <row r="26" spans="1:10" ht="266.25" customHeight="1">
      <c r="A26" s="607" t="s">
        <v>176</v>
      </c>
      <c r="B26" s="616"/>
      <c r="C26" s="616"/>
      <c r="D26" s="616"/>
      <c r="E26" s="616"/>
      <c r="F26" s="616"/>
      <c r="G26" s="616"/>
      <c r="H26" s="616"/>
      <c r="I26" s="616"/>
      <c r="J26" s="617"/>
    </row>
  </sheetData>
  <customSheetViews>
    <customSheetView guid="{667C12D2-B688-4218-94B0-4FC6FD6E2246}" showGridLines="0">
      <selection activeCell="J21" sqref="J21"/>
      <pageMargins left="0.75" right="0.75" top="0.75" bottom="0.75" header="0.5" footer="0.5"/>
      <printOptions horizontalCentered="1"/>
      <pageSetup scale="77" orientation="portrait" r:id="rId1"/>
      <headerFooter alignWithMargins="0">
        <oddFooter>&amp;L&amp;8&amp;Z&amp;F</oddFooter>
      </headerFooter>
    </customSheetView>
  </customSheetViews>
  <mergeCells count="3">
    <mergeCell ref="A1:J1"/>
    <mergeCell ref="A2:J2"/>
    <mergeCell ref="A26:J26"/>
  </mergeCells>
  <conditionalFormatting sqref="J8:J22">
    <cfRule type="cellIs" dxfId="168" priority="1" operator="equal">
      <formula>"Fail"</formula>
    </cfRule>
  </conditionalFormatting>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xr:uid="{00000000-0002-0000-0300-000000000000}">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xr:uid="{00000000-0002-0000-0300-000001000000}">
      <formula1>NA</formula1>
    </dataValidation>
  </dataValidations>
  <printOptions horizontalCentered="1"/>
  <pageMargins left="0.75" right="0.75" top="0.75" bottom="0.75" header="0.5" footer="0.5"/>
  <pageSetup scale="77" orientation="portrait" r:id="rId2"/>
  <headerFooter alignWithMargins="0">
    <oddFooter>&amp;L&amp;8&amp;Z&amp;F</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9"/>
  <sheetViews>
    <sheetView workbookViewId="0">
      <selection activeCell="G7" sqref="G7"/>
    </sheetView>
  </sheetViews>
  <sheetFormatPr defaultRowHeight="13.2"/>
  <cols>
    <col min="1" max="1" width="13.5" style="19" customWidth="1"/>
    <col min="2" max="2" width="6.5" style="19" customWidth="1"/>
    <col min="3" max="3" width="36.19921875" style="19" customWidth="1"/>
    <col min="4" max="4" width="9.8984375" style="19" customWidth="1"/>
    <col min="5" max="5" width="15.5" style="19" customWidth="1"/>
    <col min="6" max="7" width="9" style="19"/>
    <col min="8" max="8" width="10.8984375" style="19" customWidth="1"/>
    <col min="9" max="256" width="9" style="19"/>
    <col min="257" max="257" width="13.5" style="19" customWidth="1"/>
    <col min="258" max="258" width="6.5" style="19" customWidth="1"/>
    <col min="259" max="259" width="36.19921875" style="19" customWidth="1"/>
    <col min="260" max="260" width="9.8984375" style="19" customWidth="1"/>
    <col min="261" max="261" width="15.5" style="19" customWidth="1"/>
    <col min="262" max="263" width="9" style="19"/>
    <col min="264" max="264" width="10.8984375" style="19" customWidth="1"/>
    <col min="265" max="512" width="9" style="19"/>
    <col min="513" max="513" width="13.5" style="19" customWidth="1"/>
    <col min="514" max="514" width="6.5" style="19" customWidth="1"/>
    <col min="515" max="515" width="36.19921875" style="19" customWidth="1"/>
    <col min="516" max="516" width="9.8984375" style="19" customWidth="1"/>
    <col min="517" max="517" width="15.5" style="19" customWidth="1"/>
    <col min="518" max="519" width="9" style="19"/>
    <col min="520" max="520" width="10.8984375" style="19" customWidth="1"/>
    <col min="521" max="768" width="9" style="19"/>
    <col min="769" max="769" width="13.5" style="19" customWidth="1"/>
    <col min="770" max="770" width="6.5" style="19" customWidth="1"/>
    <col min="771" max="771" width="36.19921875" style="19" customWidth="1"/>
    <col min="772" max="772" width="9.8984375" style="19" customWidth="1"/>
    <col min="773" max="773" width="15.5" style="19" customWidth="1"/>
    <col min="774" max="775" width="9" style="19"/>
    <col min="776" max="776" width="10.8984375" style="19" customWidth="1"/>
    <col min="777" max="1024" width="9" style="19"/>
    <col min="1025" max="1025" width="13.5" style="19" customWidth="1"/>
    <col min="1026" max="1026" width="6.5" style="19" customWidth="1"/>
    <col min="1027" max="1027" width="36.19921875" style="19" customWidth="1"/>
    <col min="1028" max="1028" width="9.8984375" style="19" customWidth="1"/>
    <col min="1029" max="1029" width="15.5" style="19" customWidth="1"/>
    <col min="1030" max="1031" width="9" style="19"/>
    <col min="1032" max="1032" width="10.8984375" style="19" customWidth="1"/>
    <col min="1033" max="1280" width="9" style="19"/>
    <col min="1281" max="1281" width="13.5" style="19" customWidth="1"/>
    <col min="1282" max="1282" width="6.5" style="19" customWidth="1"/>
    <col min="1283" max="1283" width="36.19921875" style="19" customWidth="1"/>
    <col min="1284" max="1284" width="9.8984375" style="19" customWidth="1"/>
    <col min="1285" max="1285" width="15.5" style="19" customWidth="1"/>
    <col min="1286" max="1287" width="9" style="19"/>
    <col min="1288" max="1288" width="10.8984375" style="19" customWidth="1"/>
    <col min="1289" max="1536" width="9" style="19"/>
    <col min="1537" max="1537" width="13.5" style="19" customWidth="1"/>
    <col min="1538" max="1538" width="6.5" style="19" customWidth="1"/>
    <col min="1539" max="1539" width="36.19921875" style="19" customWidth="1"/>
    <col min="1540" max="1540" width="9.8984375" style="19" customWidth="1"/>
    <col min="1541" max="1541" width="15.5" style="19" customWidth="1"/>
    <col min="1542" max="1543" width="9" style="19"/>
    <col min="1544" max="1544" width="10.8984375" style="19" customWidth="1"/>
    <col min="1545" max="1792" width="9" style="19"/>
    <col min="1793" max="1793" width="13.5" style="19" customWidth="1"/>
    <col min="1794" max="1794" width="6.5" style="19" customWidth="1"/>
    <col min="1795" max="1795" width="36.19921875" style="19" customWidth="1"/>
    <col min="1796" max="1796" width="9.8984375" style="19" customWidth="1"/>
    <col min="1797" max="1797" width="15.5" style="19" customWidth="1"/>
    <col min="1798" max="1799" width="9" style="19"/>
    <col min="1800" max="1800" width="10.8984375" style="19" customWidth="1"/>
    <col min="1801" max="2048" width="9" style="19"/>
    <col min="2049" max="2049" width="13.5" style="19" customWidth="1"/>
    <col min="2050" max="2050" width="6.5" style="19" customWidth="1"/>
    <col min="2051" max="2051" width="36.19921875" style="19" customWidth="1"/>
    <col min="2052" max="2052" width="9.8984375" style="19" customWidth="1"/>
    <col min="2053" max="2053" width="15.5" style="19" customWidth="1"/>
    <col min="2054" max="2055" width="9" style="19"/>
    <col min="2056" max="2056" width="10.8984375" style="19" customWidth="1"/>
    <col min="2057" max="2304" width="9" style="19"/>
    <col min="2305" max="2305" width="13.5" style="19" customWidth="1"/>
    <col min="2306" max="2306" width="6.5" style="19" customWidth="1"/>
    <col min="2307" max="2307" width="36.19921875" style="19" customWidth="1"/>
    <col min="2308" max="2308" width="9.8984375" style="19" customWidth="1"/>
    <col min="2309" max="2309" width="15.5" style="19" customWidth="1"/>
    <col min="2310" max="2311" width="9" style="19"/>
    <col min="2312" max="2312" width="10.8984375" style="19" customWidth="1"/>
    <col min="2313" max="2560" width="9" style="19"/>
    <col min="2561" max="2561" width="13.5" style="19" customWidth="1"/>
    <col min="2562" max="2562" width="6.5" style="19" customWidth="1"/>
    <col min="2563" max="2563" width="36.19921875" style="19" customWidth="1"/>
    <col min="2564" max="2564" width="9.8984375" style="19" customWidth="1"/>
    <col min="2565" max="2565" width="15.5" style="19" customWidth="1"/>
    <col min="2566" max="2567" width="9" style="19"/>
    <col min="2568" max="2568" width="10.8984375" style="19" customWidth="1"/>
    <col min="2569" max="2816" width="9" style="19"/>
    <col min="2817" max="2817" width="13.5" style="19" customWidth="1"/>
    <col min="2818" max="2818" width="6.5" style="19" customWidth="1"/>
    <col min="2819" max="2819" width="36.19921875" style="19" customWidth="1"/>
    <col min="2820" max="2820" width="9.8984375" style="19" customWidth="1"/>
    <col min="2821" max="2821" width="15.5" style="19" customWidth="1"/>
    <col min="2822" max="2823" width="9" style="19"/>
    <col min="2824" max="2824" width="10.8984375" style="19" customWidth="1"/>
    <col min="2825" max="3072" width="9" style="19"/>
    <col min="3073" max="3073" width="13.5" style="19" customWidth="1"/>
    <col min="3074" max="3074" width="6.5" style="19" customWidth="1"/>
    <col min="3075" max="3075" width="36.19921875" style="19" customWidth="1"/>
    <col min="3076" max="3076" width="9.8984375" style="19" customWidth="1"/>
    <col min="3077" max="3077" width="15.5" style="19" customWidth="1"/>
    <col min="3078" max="3079" width="9" style="19"/>
    <col min="3080" max="3080" width="10.8984375" style="19" customWidth="1"/>
    <col min="3081" max="3328" width="9" style="19"/>
    <col min="3329" max="3329" width="13.5" style="19" customWidth="1"/>
    <col min="3330" max="3330" width="6.5" style="19" customWidth="1"/>
    <col min="3331" max="3331" width="36.19921875" style="19" customWidth="1"/>
    <col min="3332" max="3332" width="9.8984375" style="19" customWidth="1"/>
    <col min="3333" max="3333" width="15.5" style="19" customWidth="1"/>
    <col min="3334" max="3335" width="9" style="19"/>
    <col min="3336" max="3336" width="10.8984375" style="19" customWidth="1"/>
    <col min="3337" max="3584" width="9" style="19"/>
    <col min="3585" max="3585" width="13.5" style="19" customWidth="1"/>
    <col min="3586" max="3586" width="6.5" style="19" customWidth="1"/>
    <col min="3587" max="3587" width="36.19921875" style="19" customWidth="1"/>
    <col min="3588" max="3588" width="9.8984375" style="19" customWidth="1"/>
    <col min="3589" max="3589" width="15.5" style="19" customWidth="1"/>
    <col min="3590" max="3591" width="9" style="19"/>
    <col min="3592" max="3592" width="10.8984375" style="19" customWidth="1"/>
    <col min="3593" max="3840" width="9" style="19"/>
    <col min="3841" max="3841" width="13.5" style="19" customWidth="1"/>
    <col min="3842" max="3842" width="6.5" style="19" customWidth="1"/>
    <col min="3843" max="3843" width="36.19921875" style="19" customWidth="1"/>
    <col min="3844" max="3844" width="9.8984375" style="19" customWidth="1"/>
    <col min="3845" max="3845" width="15.5" style="19" customWidth="1"/>
    <col min="3846" max="3847" width="9" style="19"/>
    <col min="3848" max="3848" width="10.8984375" style="19" customWidth="1"/>
    <col min="3849" max="4096" width="9" style="19"/>
    <col min="4097" max="4097" width="13.5" style="19" customWidth="1"/>
    <col min="4098" max="4098" width="6.5" style="19" customWidth="1"/>
    <col min="4099" max="4099" width="36.19921875" style="19" customWidth="1"/>
    <col min="4100" max="4100" width="9.8984375" style="19" customWidth="1"/>
    <col min="4101" max="4101" width="15.5" style="19" customWidth="1"/>
    <col min="4102" max="4103" width="9" style="19"/>
    <col min="4104" max="4104" width="10.8984375" style="19" customWidth="1"/>
    <col min="4105" max="4352" width="9" style="19"/>
    <col min="4353" max="4353" width="13.5" style="19" customWidth="1"/>
    <col min="4354" max="4354" width="6.5" style="19" customWidth="1"/>
    <col min="4355" max="4355" width="36.19921875" style="19" customWidth="1"/>
    <col min="4356" max="4356" width="9.8984375" style="19" customWidth="1"/>
    <col min="4357" max="4357" width="15.5" style="19" customWidth="1"/>
    <col min="4358" max="4359" width="9" style="19"/>
    <col min="4360" max="4360" width="10.8984375" style="19" customWidth="1"/>
    <col min="4361" max="4608" width="9" style="19"/>
    <col min="4609" max="4609" width="13.5" style="19" customWidth="1"/>
    <col min="4610" max="4610" width="6.5" style="19" customWidth="1"/>
    <col min="4611" max="4611" width="36.19921875" style="19" customWidth="1"/>
    <col min="4612" max="4612" width="9.8984375" style="19" customWidth="1"/>
    <col min="4613" max="4613" width="15.5" style="19" customWidth="1"/>
    <col min="4614" max="4615" width="9" style="19"/>
    <col min="4616" max="4616" width="10.8984375" style="19" customWidth="1"/>
    <col min="4617" max="4864" width="9" style="19"/>
    <col min="4865" max="4865" width="13.5" style="19" customWidth="1"/>
    <col min="4866" max="4866" width="6.5" style="19" customWidth="1"/>
    <col min="4867" max="4867" width="36.19921875" style="19" customWidth="1"/>
    <col min="4868" max="4868" width="9.8984375" style="19" customWidth="1"/>
    <col min="4869" max="4869" width="15.5" style="19" customWidth="1"/>
    <col min="4870" max="4871" width="9" style="19"/>
    <col min="4872" max="4872" width="10.8984375" style="19" customWidth="1"/>
    <col min="4873" max="5120" width="9" style="19"/>
    <col min="5121" max="5121" width="13.5" style="19" customWidth="1"/>
    <col min="5122" max="5122" width="6.5" style="19" customWidth="1"/>
    <col min="5123" max="5123" width="36.19921875" style="19" customWidth="1"/>
    <col min="5124" max="5124" width="9.8984375" style="19" customWidth="1"/>
    <col min="5125" max="5125" width="15.5" style="19" customWidth="1"/>
    <col min="5126" max="5127" width="9" style="19"/>
    <col min="5128" max="5128" width="10.8984375" style="19" customWidth="1"/>
    <col min="5129" max="5376" width="9" style="19"/>
    <col min="5377" max="5377" width="13.5" style="19" customWidth="1"/>
    <col min="5378" max="5378" width="6.5" style="19" customWidth="1"/>
    <col min="5379" max="5379" width="36.19921875" style="19" customWidth="1"/>
    <col min="5380" max="5380" width="9.8984375" style="19" customWidth="1"/>
    <col min="5381" max="5381" width="15.5" style="19" customWidth="1"/>
    <col min="5382" max="5383" width="9" style="19"/>
    <col min="5384" max="5384" width="10.8984375" style="19" customWidth="1"/>
    <col min="5385" max="5632" width="9" style="19"/>
    <col min="5633" max="5633" width="13.5" style="19" customWidth="1"/>
    <col min="5634" max="5634" width="6.5" style="19" customWidth="1"/>
    <col min="5635" max="5635" width="36.19921875" style="19" customWidth="1"/>
    <col min="5636" max="5636" width="9.8984375" style="19" customWidth="1"/>
    <col min="5637" max="5637" width="15.5" style="19" customWidth="1"/>
    <col min="5638" max="5639" width="9" style="19"/>
    <col min="5640" max="5640" width="10.8984375" style="19" customWidth="1"/>
    <col min="5641" max="5888" width="9" style="19"/>
    <col min="5889" max="5889" width="13.5" style="19" customWidth="1"/>
    <col min="5890" max="5890" width="6.5" style="19" customWidth="1"/>
    <col min="5891" max="5891" width="36.19921875" style="19" customWidth="1"/>
    <col min="5892" max="5892" width="9.8984375" style="19" customWidth="1"/>
    <col min="5893" max="5893" width="15.5" style="19" customWidth="1"/>
    <col min="5894" max="5895" width="9" style="19"/>
    <col min="5896" max="5896" width="10.8984375" style="19" customWidth="1"/>
    <col min="5897" max="6144" width="9" style="19"/>
    <col min="6145" max="6145" width="13.5" style="19" customWidth="1"/>
    <col min="6146" max="6146" width="6.5" style="19" customWidth="1"/>
    <col min="6147" max="6147" width="36.19921875" style="19" customWidth="1"/>
    <col min="6148" max="6148" width="9.8984375" style="19" customWidth="1"/>
    <col min="6149" max="6149" width="15.5" style="19" customWidth="1"/>
    <col min="6150" max="6151" width="9" style="19"/>
    <col min="6152" max="6152" width="10.8984375" style="19" customWidth="1"/>
    <col min="6153" max="6400" width="9" style="19"/>
    <col min="6401" max="6401" width="13.5" style="19" customWidth="1"/>
    <col min="6402" max="6402" width="6.5" style="19" customWidth="1"/>
    <col min="6403" max="6403" width="36.19921875" style="19" customWidth="1"/>
    <col min="6404" max="6404" width="9.8984375" style="19" customWidth="1"/>
    <col min="6405" max="6405" width="15.5" style="19" customWidth="1"/>
    <col min="6406" max="6407" width="9" style="19"/>
    <col min="6408" max="6408" width="10.8984375" style="19" customWidth="1"/>
    <col min="6409" max="6656" width="9" style="19"/>
    <col min="6657" max="6657" width="13.5" style="19" customWidth="1"/>
    <col min="6658" max="6658" width="6.5" style="19" customWidth="1"/>
    <col min="6659" max="6659" width="36.19921875" style="19" customWidth="1"/>
    <col min="6660" max="6660" width="9.8984375" style="19" customWidth="1"/>
    <col min="6661" max="6661" width="15.5" style="19" customWidth="1"/>
    <col min="6662" max="6663" width="9" style="19"/>
    <col min="6664" max="6664" width="10.8984375" style="19" customWidth="1"/>
    <col min="6665" max="6912" width="9" style="19"/>
    <col min="6913" max="6913" width="13.5" style="19" customWidth="1"/>
    <col min="6914" max="6914" width="6.5" style="19" customWidth="1"/>
    <col min="6915" max="6915" width="36.19921875" style="19" customWidth="1"/>
    <col min="6916" max="6916" width="9.8984375" style="19" customWidth="1"/>
    <col min="6917" max="6917" width="15.5" style="19" customWidth="1"/>
    <col min="6918" max="6919" width="9" style="19"/>
    <col min="6920" max="6920" width="10.8984375" style="19" customWidth="1"/>
    <col min="6921" max="7168" width="9" style="19"/>
    <col min="7169" max="7169" width="13.5" style="19" customWidth="1"/>
    <col min="7170" max="7170" width="6.5" style="19" customWidth="1"/>
    <col min="7171" max="7171" width="36.19921875" style="19" customWidth="1"/>
    <col min="7172" max="7172" width="9.8984375" style="19" customWidth="1"/>
    <col min="7173" max="7173" width="15.5" style="19" customWidth="1"/>
    <col min="7174" max="7175" width="9" style="19"/>
    <col min="7176" max="7176" width="10.8984375" style="19" customWidth="1"/>
    <col min="7177" max="7424" width="9" style="19"/>
    <col min="7425" max="7425" width="13.5" style="19" customWidth="1"/>
    <col min="7426" max="7426" width="6.5" style="19" customWidth="1"/>
    <col min="7427" max="7427" width="36.19921875" style="19" customWidth="1"/>
    <col min="7428" max="7428" width="9.8984375" style="19" customWidth="1"/>
    <col min="7429" max="7429" width="15.5" style="19" customWidth="1"/>
    <col min="7430" max="7431" width="9" style="19"/>
    <col min="7432" max="7432" width="10.8984375" style="19" customWidth="1"/>
    <col min="7433" max="7680" width="9" style="19"/>
    <col min="7681" max="7681" width="13.5" style="19" customWidth="1"/>
    <col min="7682" max="7682" width="6.5" style="19" customWidth="1"/>
    <col min="7683" max="7683" width="36.19921875" style="19" customWidth="1"/>
    <col min="7684" max="7684" width="9.8984375" style="19" customWidth="1"/>
    <col min="7685" max="7685" width="15.5" style="19" customWidth="1"/>
    <col min="7686" max="7687" width="9" style="19"/>
    <col min="7688" max="7688" width="10.8984375" style="19" customWidth="1"/>
    <col min="7689" max="7936" width="9" style="19"/>
    <col min="7937" max="7937" width="13.5" style="19" customWidth="1"/>
    <col min="7938" max="7938" width="6.5" style="19" customWidth="1"/>
    <col min="7939" max="7939" width="36.19921875" style="19" customWidth="1"/>
    <col min="7940" max="7940" width="9.8984375" style="19" customWidth="1"/>
    <col min="7941" max="7941" width="15.5" style="19" customWidth="1"/>
    <col min="7942" max="7943" width="9" style="19"/>
    <col min="7944" max="7944" width="10.8984375" style="19" customWidth="1"/>
    <col min="7945" max="8192" width="9" style="19"/>
    <col min="8193" max="8193" width="13.5" style="19" customWidth="1"/>
    <col min="8194" max="8194" width="6.5" style="19" customWidth="1"/>
    <col min="8195" max="8195" width="36.19921875" style="19" customWidth="1"/>
    <col min="8196" max="8196" width="9.8984375" style="19" customWidth="1"/>
    <col min="8197" max="8197" width="15.5" style="19" customWidth="1"/>
    <col min="8198" max="8199" width="9" style="19"/>
    <col min="8200" max="8200" width="10.8984375" style="19" customWidth="1"/>
    <col min="8201" max="8448" width="9" style="19"/>
    <col min="8449" max="8449" width="13.5" style="19" customWidth="1"/>
    <col min="8450" max="8450" width="6.5" style="19" customWidth="1"/>
    <col min="8451" max="8451" width="36.19921875" style="19" customWidth="1"/>
    <col min="8452" max="8452" width="9.8984375" style="19" customWidth="1"/>
    <col min="8453" max="8453" width="15.5" style="19" customWidth="1"/>
    <col min="8454" max="8455" width="9" style="19"/>
    <col min="8456" max="8456" width="10.8984375" style="19" customWidth="1"/>
    <col min="8457" max="8704" width="9" style="19"/>
    <col min="8705" max="8705" width="13.5" style="19" customWidth="1"/>
    <col min="8706" max="8706" width="6.5" style="19" customWidth="1"/>
    <col min="8707" max="8707" width="36.19921875" style="19" customWidth="1"/>
    <col min="8708" max="8708" width="9.8984375" style="19" customWidth="1"/>
    <col min="8709" max="8709" width="15.5" style="19" customWidth="1"/>
    <col min="8710" max="8711" width="9" style="19"/>
    <col min="8712" max="8712" width="10.8984375" style="19" customWidth="1"/>
    <col min="8713" max="8960" width="9" style="19"/>
    <col min="8961" max="8961" width="13.5" style="19" customWidth="1"/>
    <col min="8962" max="8962" width="6.5" style="19" customWidth="1"/>
    <col min="8963" max="8963" width="36.19921875" style="19" customWidth="1"/>
    <col min="8964" max="8964" width="9.8984375" style="19" customWidth="1"/>
    <col min="8965" max="8965" width="15.5" style="19" customWidth="1"/>
    <col min="8966" max="8967" width="9" style="19"/>
    <col min="8968" max="8968" width="10.8984375" style="19" customWidth="1"/>
    <col min="8969" max="9216" width="9" style="19"/>
    <col min="9217" max="9217" width="13.5" style="19" customWidth="1"/>
    <col min="9218" max="9218" width="6.5" style="19" customWidth="1"/>
    <col min="9219" max="9219" width="36.19921875" style="19" customWidth="1"/>
    <col min="9220" max="9220" width="9.8984375" style="19" customWidth="1"/>
    <col min="9221" max="9221" width="15.5" style="19" customWidth="1"/>
    <col min="9222" max="9223" width="9" style="19"/>
    <col min="9224" max="9224" width="10.8984375" style="19" customWidth="1"/>
    <col min="9225" max="9472" width="9" style="19"/>
    <col min="9473" max="9473" width="13.5" style="19" customWidth="1"/>
    <col min="9474" max="9474" width="6.5" style="19" customWidth="1"/>
    <col min="9475" max="9475" width="36.19921875" style="19" customWidth="1"/>
    <col min="9476" max="9476" width="9.8984375" style="19" customWidth="1"/>
    <col min="9477" max="9477" width="15.5" style="19" customWidth="1"/>
    <col min="9478" max="9479" width="9" style="19"/>
    <col min="9480" max="9480" width="10.8984375" style="19" customWidth="1"/>
    <col min="9481" max="9728" width="9" style="19"/>
    <col min="9729" max="9729" width="13.5" style="19" customWidth="1"/>
    <col min="9730" max="9730" width="6.5" style="19" customWidth="1"/>
    <col min="9731" max="9731" width="36.19921875" style="19" customWidth="1"/>
    <col min="9732" max="9732" width="9.8984375" style="19" customWidth="1"/>
    <col min="9733" max="9733" width="15.5" style="19" customWidth="1"/>
    <col min="9734" max="9735" width="9" style="19"/>
    <col min="9736" max="9736" width="10.8984375" style="19" customWidth="1"/>
    <col min="9737" max="9984" width="9" style="19"/>
    <col min="9985" max="9985" width="13.5" style="19" customWidth="1"/>
    <col min="9986" max="9986" width="6.5" style="19" customWidth="1"/>
    <col min="9987" max="9987" width="36.19921875" style="19" customWidth="1"/>
    <col min="9988" max="9988" width="9.8984375" style="19" customWidth="1"/>
    <col min="9989" max="9989" width="15.5" style="19" customWidth="1"/>
    <col min="9990" max="9991" width="9" style="19"/>
    <col min="9992" max="9992" width="10.8984375" style="19" customWidth="1"/>
    <col min="9993" max="10240" width="9" style="19"/>
    <col min="10241" max="10241" width="13.5" style="19" customWidth="1"/>
    <col min="10242" max="10242" width="6.5" style="19" customWidth="1"/>
    <col min="10243" max="10243" width="36.19921875" style="19" customWidth="1"/>
    <col min="10244" max="10244" width="9.8984375" style="19" customWidth="1"/>
    <col min="10245" max="10245" width="15.5" style="19" customWidth="1"/>
    <col min="10246" max="10247" width="9" style="19"/>
    <col min="10248" max="10248" width="10.8984375" style="19" customWidth="1"/>
    <col min="10249" max="10496" width="9" style="19"/>
    <col min="10497" max="10497" width="13.5" style="19" customWidth="1"/>
    <col min="10498" max="10498" width="6.5" style="19" customWidth="1"/>
    <col min="10499" max="10499" width="36.19921875" style="19" customWidth="1"/>
    <col min="10500" max="10500" width="9.8984375" style="19" customWidth="1"/>
    <col min="10501" max="10501" width="15.5" style="19" customWidth="1"/>
    <col min="10502" max="10503" width="9" style="19"/>
    <col min="10504" max="10504" width="10.8984375" style="19" customWidth="1"/>
    <col min="10505" max="10752" width="9" style="19"/>
    <col min="10753" max="10753" width="13.5" style="19" customWidth="1"/>
    <col min="10754" max="10754" width="6.5" style="19" customWidth="1"/>
    <col min="10755" max="10755" width="36.19921875" style="19" customWidth="1"/>
    <col min="10756" max="10756" width="9.8984375" style="19" customWidth="1"/>
    <col min="10757" max="10757" width="15.5" style="19" customWidth="1"/>
    <col min="10758" max="10759" width="9" style="19"/>
    <col min="10760" max="10760" width="10.8984375" style="19" customWidth="1"/>
    <col min="10761" max="11008" width="9" style="19"/>
    <col min="11009" max="11009" width="13.5" style="19" customWidth="1"/>
    <col min="11010" max="11010" width="6.5" style="19" customWidth="1"/>
    <col min="11011" max="11011" width="36.19921875" style="19" customWidth="1"/>
    <col min="11012" max="11012" width="9.8984375" style="19" customWidth="1"/>
    <col min="11013" max="11013" width="15.5" style="19" customWidth="1"/>
    <col min="11014" max="11015" width="9" style="19"/>
    <col min="11016" max="11016" width="10.8984375" style="19" customWidth="1"/>
    <col min="11017" max="11264" width="9" style="19"/>
    <col min="11265" max="11265" width="13.5" style="19" customWidth="1"/>
    <col min="11266" max="11266" width="6.5" style="19" customWidth="1"/>
    <col min="11267" max="11267" width="36.19921875" style="19" customWidth="1"/>
    <col min="11268" max="11268" width="9.8984375" style="19" customWidth="1"/>
    <col min="11269" max="11269" width="15.5" style="19" customWidth="1"/>
    <col min="11270" max="11271" width="9" style="19"/>
    <col min="11272" max="11272" width="10.8984375" style="19" customWidth="1"/>
    <col min="11273" max="11520" width="9" style="19"/>
    <col min="11521" max="11521" width="13.5" style="19" customWidth="1"/>
    <col min="11522" max="11522" width="6.5" style="19" customWidth="1"/>
    <col min="11523" max="11523" width="36.19921875" style="19" customWidth="1"/>
    <col min="11524" max="11524" width="9.8984375" style="19" customWidth="1"/>
    <col min="11525" max="11525" width="15.5" style="19" customWidth="1"/>
    <col min="11526" max="11527" width="9" style="19"/>
    <col min="11528" max="11528" width="10.8984375" style="19" customWidth="1"/>
    <col min="11529" max="11776" width="9" style="19"/>
    <col min="11777" max="11777" width="13.5" style="19" customWidth="1"/>
    <col min="11778" max="11778" width="6.5" style="19" customWidth="1"/>
    <col min="11779" max="11779" width="36.19921875" style="19" customWidth="1"/>
    <col min="11780" max="11780" width="9.8984375" style="19" customWidth="1"/>
    <col min="11781" max="11781" width="15.5" style="19" customWidth="1"/>
    <col min="11782" max="11783" width="9" style="19"/>
    <col min="11784" max="11784" width="10.8984375" style="19" customWidth="1"/>
    <col min="11785" max="12032" width="9" style="19"/>
    <col min="12033" max="12033" width="13.5" style="19" customWidth="1"/>
    <col min="12034" max="12034" width="6.5" style="19" customWidth="1"/>
    <col min="12035" max="12035" width="36.19921875" style="19" customWidth="1"/>
    <col min="12036" max="12036" width="9.8984375" style="19" customWidth="1"/>
    <col min="12037" max="12037" width="15.5" style="19" customWidth="1"/>
    <col min="12038" max="12039" width="9" style="19"/>
    <col min="12040" max="12040" width="10.8984375" style="19" customWidth="1"/>
    <col min="12041" max="12288" width="9" style="19"/>
    <col min="12289" max="12289" width="13.5" style="19" customWidth="1"/>
    <col min="12290" max="12290" width="6.5" style="19" customWidth="1"/>
    <col min="12291" max="12291" width="36.19921875" style="19" customWidth="1"/>
    <col min="12292" max="12292" width="9.8984375" style="19" customWidth="1"/>
    <col min="12293" max="12293" width="15.5" style="19" customWidth="1"/>
    <col min="12294" max="12295" width="9" style="19"/>
    <col min="12296" max="12296" width="10.8984375" style="19" customWidth="1"/>
    <col min="12297" max="12544" width="9" style="19"/>
    <col min="12545" max="12545" width="13.5" style="19" customWidth="1"/>
    <col min="12546" max="12546" width="6.5" style="19" customWidth="1"/>
    <col min="12547" max="12547" width="36.19921875" style="19" customWidth="1"/>
    <col min="12548" max="12548" width="9.8984375" style="19" customWidth="1"/>
    <col min="12549" max="12549" width="15.5" style="19" customWidth="1"/>
    <col min="12550" max="12551" width="9" style="19"/>
    <col min="12552" max="12552" width="10.8984375" style="19" customWidth="1"/>
    <col min="12553" max="12800" width="9" style="19"/>
    <col min="12801" max="12801" width="13.5" style="19" customWidth="1"/>
    <col min="12802" max="12802" width="6.5" style="19" customWidth="1"/>
    <col min="12803" max="12803" width="36.19921875" style="19" customWidth="1"/>
    <col min="12804" max="12804" width="9.8984375" style="19" customWidth="1"/>
    <col min="12805" max="12805" width="15.5" style="19" customWidth="1"/>
    <col min="12806" max="12807" width="9" style="19"/>
    <col min="12808" max="12808" width="10.8984375" style="19" customWidth="1"/>
    <col min="12809" max="13056" width="9" style="19"/>
    <col min="13057" max="13057" width="13.5" style="19" customWidth="1"/>
    <col min="13058" max="13058" width="6.5" style="19" customWidth="1"/>
    <col min="13059" max="13059" width="36.19921875" style="19" customWidth="1"/>
    <col min="13060" max="13060" width="9.8984375" style="19" customWidth="1"/>
    <col min="13061" max="13061" width="15.5" style="19" customWidth="1"/>
    <col min="13062" max="13063" width="9" style="19"/>
    <col min="13064" max="13064" width="10.8984375" style="19" customWidth="1"/>
    <col min="13065" max="13312" width="9" style="19"/>
    <col min="13313" max="13313" width="13.5" style="19" customWidth="1"/>
    <col min="13314" max="13314" width="6.5" style="19" customWidth="1"/>
    <col min="13315" max="13315" width="36.19921875" style="19" customWidth="1"/>
    <col min="13316" max="13316" width="9.8984375" style="19" customWidth="1"/>
    <col min="13317" max="13317" width="15.5" style="19" customWidth="1"/>
    <col min="13318" max="13319" width="9" style="19"/>
    <col min="13320" max="13320" width="10.8984375" style="19" customWidth="1"/>
    <col min="13321" max="13568" width="9" style="19"/>
    <col min="13569" max="13569" width="13.5" style="19" customWidth="1"/>
    <col min="13570" max="13570" width="6.5" style="19" customWidth="1"/>
    <col min="13571" max="13571" width="36.19921875" style="19" customWidth="1"/>
    <col min="13572" max="13572" width="9.8984375" style="19" customWidth="1"/>
    <col min="13573" max="13573" width="15.5" style="19" customWidth="1"/>
    <col min="13574" max="13575" width="9" style="19"/>
    <col min="13576" max="13576" width="10.8984375" style="19" customWidth="1"/>
    <col min="13577" max="13824" width="9" style="19"/>
    <col min="13825" max="13825" width="13.5" style="19" customWidth="1"/>
    <col min="13826" max="13826" width="6.5" style="19" customWidth="1"/>
    <col min="13827" max="13827" width="36.19921875" style="19" customWidth="1"/>
    <col min="13828" max="13828" width="9.8984375" style="19" customWidth="1"/>
    <col min="13829" max="13829" width="15.5" style="19" customWidth="1"/>
    <col min="13830" max="13831" width="9" style="19"/>
    <col min="13832" max="13832" width="10.8984375" style="19" customWidth="1"/>
    <col min="13833" max="14080" width="9" style="19"/>
    <col min="14081" max="14081" width="13.5" style="19" customWidth="1"/>
    <col min="14082" max="14082" width="6.5" style="19" customWidth="1"/>
    <col min="14083" max="14083" width="36.19921875" style="19" customWidth="1"/>
    <col min="14084" max="14084" width="9.8984375" style="19" customWidth="1"/>
    <col min="14085" max="14085" width="15.5" style="19" customWidth="1"/>
    <col min="14086" max="14087" width="9" style="19"/>
    <col min="14088" max="14088" width="10.8984375" style="19" customWidth="1"/>
    <col min="14089" max="14336" width="9" style="19"/>
    <col min="14337" max="14337" width="13.5" style="19" customWidth="1"/>
    <col min="14338" max="14338" width="6.5" style="19" customWidth="1"/>
    <col min="14339" max="14339" width="36.19921875" style="19" customWidth="1"/>
    <col min="14340" max="14340" width="9.8984375" style="19" customWidth="1"/>
    <col min="14341" max="14341" width="15.5" style="19" customWidth="1"/>
    <col min="14342" max="14343" width="9" style="19"/>
    <col min="14344" max="14344" width="10.8984375" style="19" customWidth="1"/>
    <col min="14345" max="14592" width="9" style="19"/>
    <col min="14593" max="14593" width="13.5" style="19" customWidth="1"/>
    <col min="14594" max="14594" width="6.5" style="19" customWidth="1"/>
    <col min="14595" max="14595" width="36.19921875" style="19" customWidth="1"/>
    <col min="14596" max="14596" width="9.8984375" style="19" customWidth="1"/>
    <col min="14597" max="14597" width="15.5" style="19" customWidth="1"/>
    <col min="14598" max="14599" width="9" style="19"/>
    <col min="14600" max="14600" width="10.8984375" style="19" customWidth="1"/>
    <col min="14601" max="14848" width="9" style="19"/>
    <col min="14849" max="14849" width="13.5" style="19" customWidth="1"/>
    <col min="14850" max="14850" width="6.5" style="19" customWidth="1"/>
    <col min="14851" max="14851" width="36.19921875" style="19" customWidth="1"/>
    <col min="14852" max="14852" width="9.8984375" style="19" customWidth="1"/>
    <col min="14853" max="14853" width="15.5" style="19" customWidth="1"/>
    <col min="14854" max="14855" width="9" style="19"/>
    <col min="14856" max="14856" width="10.8984375" style="19" customWidth="1"/>
    <col min="14857" max="15104" width="9" style="19"/>
    <col min="15105" max="15105" width="13.5" style="19" customWidth="1"/>
    <col min="15106" max="15106" width="6.5" style="19" customWidth="1"/>
    <col min="15107" max="15107" width="36.19921875" style="19" customWidth="1"/>
    <col min="15108" max="15108" width="9.8984375" style="19" customWidth="1"/>
    <col min="15109" max="15109" width="15.5" style="19" customWidth="1"/>
    <col min="15110" max="15111" width="9" style="19"/>
    <col min="15112" max="15112" width="10.8984375" style="19" customWidth="1"/>
    <col min="15113" max="15360" width="9" style="19"/>
    <col min="15361" max="15361" width="13.5" style="19" customWidth="1"/>
    <col min="15362" max="15362" width="6.5" style="19" customWidth="1"/>
    <col min="15363" max="15363" width="36.19921875" style="19" customWidth="1"/>
    <col min="15364" max="15364" width="9.8984375" style="19" customWidth="1"/>
    <col min="15365" max="15365" width="15.5" style="19" customWidth="1"/>
    <col min="15366" max="15367" width="9" style="19"/>
    <col min="15368" max="15368" width="10.8984375" style="19" customWidth="1"/>
    <col min="15369" max="15616" width="9" style="19"/>
    <col min="15617" max="15617" width="13.5" style="19" customWidth="1"/>
    <col min="15618" max="15618" width="6.5" style="19" customWidth="1"/>
    <col min="15619" max="15619" width="36.19921875" style="19" customWidth="1"/>
    <col min="15620" max="15620" width="9.8984375" style="19" customWidth="1"/>
    <col min="15621" max="15621" width="15.5" style="19" customWidth="1"/>
    <col min="15622" max="15623" width="9" style="19"/>
    <col min="15624" max="15624" width="10.8984375" style="19" customWidth="1"/>
    <col min="15625" max="15872" width="9" style="19"/>
    <col min="15873" max="15873" width="13.5" style="19" customWidth="1"/>
    <col min="15874" max="15874" width="6.5" style="19" customWidth="1"/>
    <col min="15875" max="15875" width="36.19921875" style="19" customWidth="1"/>
    <col min="15876" max="15876" width="9.8984375" style="19" customWidth="1"/>
    <col min="15877" max="15877" width="15.5" style="19" customWidth="1"/>
    <col min="15878" max="15879" width="9" style="19"/>
    <col min="15880" max="15880" width="10.8984375" style="19" customWidth="1"/>
    <col min="15881" max="16128" width="9" style="19"/>
    <col min="16129" max="16129" width="13.5" style="19" customWidth="1"/>
    <col min="16130" max="16130" width="6.5" style="19" customWidth="1"/>
    <col min="16131" max="16131" width="36.19921875" style="19" customWidth="1"/>
    <col min="16132" max="16132" width="9.8984375" style="19" customWidth="1"/>
    <col min="16133" max="16133" width="15.5" style="19" customWidth="1"/>
    <col min="16134" max="16135" width="9" style="19"/>
    <col min="16136" max="16136" width="10.8984375" style="19" customWidth="1"/>
    <col min="16137" max="16384" width="9" style="19"/>
  </cols>
  <sheetData>
    <row r="1" spans="1:5" ht="33" customHeight="1">
      <c r="A1" s="633" t="s">
        <v>452</v>
      </c>
      <c r="B1" s="634"/>
      <c r="C1" s="634"/>
      <c r="D1" s="634"/>
      <c r="E1" s="634"/>
    </row>
    <row r="2" spans="1:5" ht="18" customHeight="1">
      <c r="A2" s="57"/>
      <c r="B2" s="57"/>
      <c r="C2" s="57"/>
      <c r="D2" s="57"/>
      <c r="E2" s="57"/>
    </row>
    <row r="3" spans="1:5" ht="16.5" customHeight="1">
      <c r="A3" s="58" t="s">
        <v>453</v>
      </c>
      <c r="B3" s="635" t="str">
        <f>'QC Test Summary-Hologic'!C4</f>
        <v>HCC Breast Imaging Program</v>
      </c>
      <c r="C3" s="635"/>
      <c r="D3" s="635"/>
      <c r="E3" s="635"/>
    </row>
    <row r="4" spans="1:5" ht="16.5" customHeight="1">
      <c r="A4" s="58" t="s">
        <v>454</v>
      </c>
      <c r="B4" s="636" t="str">
        <f>Sheet1!R17</f>
        <v/>
      </c>
      <c r="C4" s="636"/>
      <c r="D4" s="504" t="s">
        <v>23</v>
      </c>
      <c r="E4" s="505" t="str">
        <f>Sheet1!R18</f>
        <v/>
      </c>
    </row>
    <row r="5" spans="1:5" ht="16.5" customHeight="1">
      <c r="A5" s="58" t="s">
        <v>455</v>
      </c>
      <c r="B5" s="636" t="str">
        <f>Sheet1!V18</f>
        <v/>
      </c>
      <c r="C5" s="636"/>
      <c r="D5" s="504" t="s">
        <v>456</v>
      </c>
      <c r="E5" s="506" t="str">
        <f>Sheet1!V17</f>
        <v/>
      </c>
    </row>
    <row r="6" spans="1:5" ht="16.5" customHeight="1">
      <c r="A6" s="58" t="s">
        <v>457</v>
      </c>
      <c r="B6" s="636" t="str">
        <f>Sheet1!X7</f>
        <v>Eugene Mah</v>
      </c>
      <c r="C6" s="636"/>
      <c r="D6" s="504" t="s">
        <v>458</v>
      </c>
      <c r="E6" s="507" t="str">
        <f>Sheet1!R14</f>
        <v/>
      </c>
    </row>
    <row r="7" spans="1:5" ht="16.5" customHeight="1">
      <c r="A7" s="58" t="s">
        <v>459</v>
      </c>
      <c r="B7" s="636"/>
      <c r="C7" s="636"/>
      <c r="D7" s="504" t="s">
        <v>460</v>
      </c>
      <c r="E7" s="508">
        <f>Sheet1!P7</f>
        <v>0</v>
      </c>
    </row>
    <row r="8" spans="1:5" ht="21.75" customHeight="1" thickBot="1"/>
    <row r="9" spans="1:5" ht="35.25" customHeight="1" thickBot="1">
      <c r="A9" s="59" t="s">
        <v>461</v>
      </c>
      <c r="B9" s="60" t="s">
        <v>462</v>
      </c>
      <c r="C9" s="61" t="s">
        <v>463</v>
      </c>
      <c r="D9" s="60" t="s">
        <v>464</v>
      </c>
      <c r="E9" s="62" t="s">
        <v>653</v>
      </c>
    </row>
    <row r="10" spans="1:5" ht="33" customHeight="1" thickTop="1">
      <c r="A10" s="632" t="s">
        <v>465</v>
      </c>
      <c r="B10" s="63" t="s">
        <v>466</v>
      </c>
      <c r="C10" s="64" t="s">
        <v>687</v>
      </c>
      <c r="D10" s="65" t="s">
        <v>467</v>
      </c>
      <c r="E10" s="66"/>
    </row>
    <row r="11" spans="1:5" ht="25.5" customHeight="1" thickBot="1">
      <c r="A11" s="628"/>
      <c r="B11" s="67" t="s">
        <v>468</v>
      </c>
      <c r="C11" s="79" t="s">
        <v>469</v>
      </c>
      <c r="D11" s="68" t="s">
        <v>467</v>
      </c>
      <c r="E11" s="69"/>
    </row>
    <row r="12" spans="1:5" ht="33.75" customHeight="1">
      <c r="A12" s="623" t="s">
        <v>470</v>
      </c>
      <c r="B12" s="70" t="s">
        <v>471</v>
      </c>
      <c r="C12" s="71" t="s">
        <v>472</v>
      </c>
      <c r="D12" s="72" t="s">
        <v>473</v>
      </c>
      <c r="E12" s="73"/>
    </row>
    <row r="13" spans="1:5" ht="33.75" customHeight="1">
      <c r="A13" s="624"/>
      <c r="B13" s="74" t="s">
        <v>474</v>
      </c>
      <c r="C13" s="75" t="s">
        <v>685</v>
      </c>
      <c r="D13" s="76" t="s">
        <v>473</v>
      </c>
      <c r="E13" s="77"/>
    </row>
    <row r="14" spans="1:5" ht="34.5" customHeight="1" thickBot="1">
      <c r="A14" s="625"/>
      <c r="B14" s="78" t="s">
        <v>475</v>
      </c>
      <c r="C14" s="79" t="s">
        <v>476</v>
      </c>
      <c r="D14" s="68" t="s">
        <v>467</v>
      </c>
      <c r="E14" s="80"/>
    </row>
    <row r="15" spans="1:5" ht="30.6">
      <c r="A15" s="626" t="s">
        <v>477</v>
      </c>
      <c r="B15" s="81" t="s">
        <v>478</v>
      </c>
      <c r="C15" s="82" t="s">
        <v>686</v>
      </c>
      <c r="D15" s="72" t="s">
        <v>467</v>
      </c>
      <c r="E15" s="83"/>
    </row>
    <row r="16" spans="1:5" ht="54.75" customHeight="1" thickBot="1">
      <c r="A16" s="627"/>
      <c r="B16" s="67" t="s">
        <v>479</v>
      </c>
      <c r="C16" s="84" t="s">
        <v>480</v>
      </c>
      <c r="D16" s="68" t="s">
        <v>481</v>
      </c>
      <c r="E16" s="85"/>
    </row>
    <row r="17" spans="1:5" ht="33.75" customHeight="1">
      <c r="A17" s="618" t="s">
        <v>482</v>
      </c>
      <c r="B17" s="86" t="s">
        <v>483</v>
      </c>
      <c r="C17" s="71" t="s">
        <v>688</v>
      </c>
      <c r="D17" s="72" t="s">
        <v>467</v>
      </c>
      <c r="E17" s="87"/>
    </row>
    <row r="18" spans="1:5" ht="33.75" customHeight="1" thickBot="1">
      <c r="A18" s="628"/>
      <c r="B18" s="88" t="s">
        <v>484</v>
      </c>
      <c r="C18" s="89" t="s">
        <v>485</v>
      </c>
      <c r="D18" s="68" t="s">
        <v>467</v>
      </c>
      <c r="E18" s="69"/>
    </row>
    <row r="19" spans="1:5" ht="30.6">
      <c r="A19" s="629" t="s">
        <v>486</v>
      </c>
      <c r="B19" s="86" t="s">
        <v>487</v>
      </c>
      <c r="C19" s="71" t="s">
        <v>488</v>
      </c>
      <c r="D19" s="72" t="s">
        <v>467</v>
      </c>
      <c r="E19" s="87"/>
    </row>
    <row r="20" spans="1:5" ht="33.75" customHeight="1">
      <c r="A20" s="630"/>
      <c r="B20" s="90" t="s">
        <v>489</v>
      </c>
      <c r="C20" s="91" t="s">
        <v>490</v>
      </c>
      <c r="D20" s="65" t="s">
        <v>467</v>
      </c>
      <c r="E20" s="92"/>
    </row>
    <row r="21" spans="1:5" ht="54.75" customHeight="1" thickBot="1">
      <c r="A21" s="631"/>
      <c r="B21" s="88" t="s">
        <v>491</v>
      </c>
      <c r="C21" s="89" t="s">
        <v>492</v>
      </c>
      <c r="D21" s="68" t="s">
        <v>467</v>
      </c>
      <c r="E21" s="69"/>
    </row>
    <row r="22" spans="1:5" ht="33.75" customHeight="1">
      <c r="A22" s="618" t="s">
        <v>493</v>
      </c>
      <c r="B22" s="86" t="s">
        <v>494</v>
      </c>
      <c r="C22" s="71" t="s">
        <v>495</v>
      </c>
      <c r="D22" s="72" t="s">
        <v>467</v>
      </c>
      <c r="E22" s="87"/>
    </row>
    <row r="23" spans="1:5" ht="25.5" customHeight="1" thickBot="1">
      <c r="A23" s="628"/>
      <c r="B23" s="67" t="s">
        <v>496</v>
      </c>
      <c r="C23" s="79" t="s">
        <v>497</v>
      </c>
      <c r="D23" s="68" t="s">
        <v>467</v>
      </c>
      <c r="E23" s="85"/>
    </row>
    <row r="24" spans="1:5" ht="30.6">
      <c r="A24" s="629" t="s">
        <v>498</v>
      </c>
      <c r="B24" s="86" t="s">
        <v>499</v>
      </c>
      <c r="C24" s="71" t="s">
        <v>500</v>
      </c>
      <c r="D24" s="72" t="s">
        <v>467</v>
      </c>
      <c r="E24" s="87"/>
    </row>
    <row r="25" spans="1:5" ht="45.75" customHeight="1">
      <c r="A25" s="630"/>
      <c r="B25" s="90" t="s">
        <v>501</v>
      </c>
      <c r="C25" s="75" t="s">
        <v>502</v>
      </c>
      <c r="D25" s="65" t="s">
        <v>481</v>
      </c>
      <c r="E25" s="92"/>
    </row>
    <row r="26" spans="1:5" ht="46.5" customHeight="1">
      <c r="A26" s="630"/>
      <c r="B26" s="93" t="s">
        <v>503</v>
      </c>
      <c r="C26" s="75" t="s">
        <v>504</v>
      </c>
      <c r="D26" s="65" t="s">
        <v>467</v>
      </c>
      <c r="E26" s="92"/>
    </row>
    <row r="27" spans="1:5" ht="20.399999999999999">
      <c r="A27" s="630"/>
      <c r="B27" s="93" t="s">
        <v>505</v>
      </c>
      <c r="C27" s="75" t="s">
        <v>506</v>
      </c>
      <c r="D27" s="65" t="s">
        <v>467</v>
      </c>
      <c r="E27" s="92"/>
    </row>
    <row r="28" spans="1:5" ht="21" thickBot="1">
      <c r="A28" s="631"/>
      <c r="B28" s="94" t="s">
        <v>507</v>
      </c>
      <c r="C28" s="79" t="s">
        <v>508</v>
      </c>
      <c r="D28" s="68" t="s">
        <v>467</v>
      </c>
      <c r="E28" s="85"/>
    </row>
    <row r="29" spans="1:5" ht="20.399999999999999">
      <c r="A29" s="618" t="s">
        <v>509</v>
      </c>
      <c r="B29" s="95" t="s">
        <v>510</v>
      </c>
      <c r="C29" s="71" t="s">
        <v>511</v>
      </c>
      <c r="D29" s="72" t="s">
        <v>467</v>
      </c>
      <c r="E29" s="87"/>
    </row>
    <row r="30" spans="1:5" ht="54.75" customHeight="1">
      <c r="A30" s="619"/>
      <c r="B30" s="93" t="s">
        <v>512</v>
      </c>
      <c r="C30" s="75" t="s">
        <v>513</v>
      </c>
      <c r="D30" s="65" t="s">
        <v>467</v>
      </c>
      <c r="E30" s="92"/>
    </row>
    <row r="31" spans="1:5" ht="31.2" thickBot="1">
      <c r="A31" s="620"/>
      <c r="B31" s="94" t="s">
        <v>514</v>
      </c>
      <c r="C31" s="79" t="s">
        <v>515</v>
      </c>
      <c r="D31" s="68" t="s">
        <v>467</v>
      </c>
      <c r="E31" s="85"/>
    </row>
    <row r="32" spans="1:5" ht="46.5" customHeight="1">
      <c r="A32" s="618" t="s">
        <v>516</v>
      </c>
      <c r="B32" s="95" t="s">
        <v>517</v>
      </c>
      <c r="C32" s="71" t="s">
        <v>518</v>
      </c>
      <c r="D32" s="72" t="s">
        <v>473</v>
      </c>
      <c r="E32" s="87"/>
    </row>
    <row r="33" spans="1:5" ht="66.75" customHeight="1">
      <c r="A33" s="619"/>
      <c r="B33" s="93" t="s">
        <v>519</v>
      </c>
      <c r="C33" s="75" t="s">
        <v>654</v>
      </c>
      <c r="D33" s="76" t="s">
        <v>473</v>
      </c>
      <c r="E33" s="92"/>
    </row>
    <row r="34" spans="1:5" ht="21" thickBot="1">
      <c r="A34" s="620"/>
      <c r="B34" s="94" t="s">
        <v>520</v>
      </c>
      <c r="C34" s="79" t="s">
        <v>521</v>
      </c>
      <c r="D34" s="96" t="s">
        <v>473</v>
      </c>
      <c r="E34" s="85"/>
    </row>
    <row r="35" spans="1:5" ht="33.75" customHeight="1" thickBot="1">
      <c r="A35" s="97" t="s">
        <v>655</v>
      </c>
      <c r="B35" s="98">
        <v>11</v>
      </c>
      <c r="C35" s="99" t="s">
        <v>522</v>
      </c>
      <c r="D35" s="100" t="s">
        <v>473</v>
      </c>
      <c r="E35" s="101"/>
    </row>
    <row r="36" spans="1:5" ht="54.75" customHeight="1" thickBot="1">
      <c r="A36" s="97" t="s">
        <v>656</v>
      </c>
      <c r="B36" s="98">
        <v>12</v>
      </c>
      <c r="C36" s="99" t="s">
        <v>523</v>
      </c>
      <c r="D36" s="100" t="s">
        <v>473</v>
      </c>
      <c r="E36" s="101"/>
    </row>
    <row r="37" spans="1:5" ht="41.4" thickBot="1">
      <c r="A37" s="97" t="s">
        <v>657</v>
      </c>
      <c r="B37" s="98">
        <v>13</v>
      </c>
      <c r="C37" s="99" t="s">
        <v>524</v>
      </c>
      <c r="D37" s="100" t="s">
        <v>473</v>
      </c>
      <c r="E37" s="101"/>
    </row>
    <row r="38" spans="1:5" ht="46.5" customHeight="1" thickBot="1">
      <c r="A38" s="97" t="s">
        <v>658</v>
      </c>
      <c r="B38" s="98">
        <v>14</v>
      </c>
      <c r="C38" s="99" t="s">
        <v>525</v>
      </c>
      <c r="D38" s="100" t="s">
        <v>526</v>
      </c>
      <c r="E38" s="101"/>
    </row>
    <row r="39" spans="1:5" ht="46.5" customHeight="1" thickBot="1">
      <c r="A39" s="102" t="s">
        <v>659</v>
      </c>
      <c r="B39" s="103">
        <v>15</v>
      </c>
      <c r="C39" s="89" t="s">
        <v>527</v>
      </c>
      <c r="D39" s="68" t="s">
        <v>526</v>
      </c>
      <c r="E39" s="69"/>
    </row>
    <row r="40" spans="1:5">
      <c r="A40" s="621" t="s">
        <v>660</v>
      </c>
      <c r="B40" s="622"/>
      <c r="C40" s="622"/>
      <c r="D40" s="622"/>
      <c r="E40" s="622"/>
    </row>
    <row r="41" spans="1:5">
      <c r="A41" s="104"/>
      <c r="B41" s="104"/>
      <c r="C41" s="104"/>
      <c r="D41" s="104"/>
      <c r="E41" s="104"/>
    </row>
    <row r="42" spans="1:5">
      <c r="A42" s="104"/>
      <c r="B42" s="104"/>
      <c r="C42" s="104"/>
      <c r="D42" s="104"/>
      <c r="E42" s="104"/>
    </row>
    <row r="43" spans="1:5">
      <c r="A43" s="104"/>
      <c r="B43" s="104"/>
      <c r="C43" s="104"/>
      <c r="D43" s="104"/>
      <c r="E43" s="104"/>
    </row>
    <row r="44" spans="1:5">
      <c r="A44" s="104"/>
      <c r="B44" s="104"/>
      <c r="C44" s="104"/>
      <c r="D44" s="104"/>
      <c r="E44" s="104"/>
    </row>
    <row r="45" spans="1:5">
      <c r="A45" s="104"/>
      <c r="B45" s="104"/>
      <c r="C45" s="104"/>
      <c r="D45" s="104"/>
      <c r="E45" s="104"/>
    </row>
    <row r="46" spans="1:5">
      <c r="A46" s="104"/>
      <c r="B46" s="104"/>
      <c r="C46" s="104"/>
      <c r="D46" s="104"/>
      <c r="E46" s="104"/>
    </row>
    <row r="47" spans="1:5">
      <c r="A47" s="104"/>
      <c r="B47" s="104"/>
      <c r="C47" s="104"/>
      <c r="D47" s="104"/>
      <c r="E47" s="104"/>
    </row>
    <row r="48" spans="1:5">
      <c r="A48" s="104"/>
      <c r="B48" s="104"/>
      <c r="C48" s="104"/>
      <c r="D48" s="104"/>
      <c r="E48" s="104"/>
    </row>
    <row r="49" spans="1:5">
      <c r="A49" s="104"/>
      <c r="B49" s="104"/>
      <c r="C49" s="104"/>
      <c r="D49" s="104"/>
      <c r="E49" s="104"/>
    </row>
    <row r="50" spans="1:5">
      <c r="A50" s="104"/>
      <c r="B50" s="104"/>
      <c r="C50" s="104"/>
      <c r="D50" s="104"/>
      <c r="E50" s="104"/>
    </row>
    <row r="51" spans="1:5">
      <c r="A51" s="104"/>
      <c r="B51" s="104"/>
      <c r="C51" s="104"/>
      <c r="D51" s="104"/>
      <c r="E51" s="104"/>
    </row>
    <row r="52" spans="1:5">
      <c r="A52" s="104"/>
      <c r="B52" s="104"/>
      <c r="C52" s="104"/>
      <c r="D52" s="104"/>
      <c r="E52" s="104"/>
    </row>
    <row r="53" spans="1:5">
      <c r="A53" s="104"/>
      <c r="B53" s="104"/>
      <c r="C53" s="104"/>
      <c r="D53" s="104"/>
      <c r="E53" s="104"/>
    </row>
    <row r="54" spans="1:5">
      <c r="A54" s="104"/>
      <c r="B54" s="104"/>
      <c r="C54" s="104"/>
      <c r="D54" s="104"/>
      <c r="E54" s="104"/>
    </row>
    <row r="55" spans="1:5">
      <c r="A55" s="104"/>
      <c r="B55" s="104"/>
      <c r="C55" s="104"/>
      <c r="D55" s="104"/>
      <c r="E55" s="104"/>
    </row>
    <row r="56" spans="1:5">
      <c r="A56" s="104"/>
      <c r="B56" s="104"/>
      <c r="C56" s="104"/>
      <c r="D56" s="104"/>
      <c r="E56" s="104"/>
    </row>
    <row r="57" spans="1:5">
      <c r="A57" s="104"/>
      <c r="B57" s="104"/>
      <c r="C57" s="104"/>
      <c r="D57" s="104"/>
      <c r="E57" s="104"/>
    </row>
    <row r="58" spans="1:5">
      <c r="A58" s="104"/>
      <c r="B58" s="104"/>
      <c r="C58" s="104"/>
      <c r="D58" s="104"/>
      <c r="E58" s="104"/>
    </row>
    <row r="59" spans="1:5">
      <c r="A59" s="104"/>
      <c r="B59" s="104"/>
      <c r="C59" s="104"/>
      <c r="D59" s="104"/>
      <c r="E59" s="104"/>
    </row>
    <row r="60" spans="1:5">
      <c r="A60" s="104"/>
      <c r="B60" s="104"/>
      <c r="C60" s="104"/>
      <c r="D60" s="104"/>
      <c r="E60" s="104"/>
    </row>
    <row r="61" spans="1:5">
      <c r="A61" s="104"/>
      <c r="B61" s="104"/>
      <c r="C61" s="104"/>
      <c r="D61" s="104"/>
      <c r="E61" s="104"/>
    </row>
    <row r="62" spans="1:5">
      <c r="A62" s="104"/>
      <c r="B62" s="104"/>
      <c r="C62" s="104"/>
      <c r="D62" s="104"/>
      <c r="E62" s="104"/>
    </row>
    <row r="63" spans="1:5">
      <c r="A63" s="104"/>
      <c r="B63" s="104"/>
      <c r="C63" s="104"/>
      <c r="D63" s="104"/>
      <c r="E63" s="104"/>
    </row>
    <row r="64" spans="1:5">
      <c r="A64" s="104"/>
      <c r="B64" s="104"/>
      <c r="C64" s="104"/>
      <c r="D64" s="104"/>
      <c r="E64" s="104"/>
    </row>
    <row r="65" spans="1:5">
      <c r="A65" s="104"/>
      <c r="B65" s="104"/>
      <c r="C65" s="104"/>
      <c r="D65" s="104"/>
      <c r="E65" s="104"/>
    </row>
    <row r="66" spans="1:5">
      <c r="A66" s="104"/>
      <c r="B66" s="104"/>
      <c r="C66" s="104"/>
      <c r="D66" s="104"/>
      <c r="E66" s="104"/>
    </row>
    <row r="67" spans="1:5">
      <c r="A67" s="104"/>
      <c r="B67" s="104"/>
      <c r="C67" s="104"/>
      <c r="D67" s="104"/>
      <c r="E67" s="104"/>
    </row>
    <row r="68" spans="1:5">
      <c r="A68" s="104"/>
      <c r="B68" s="104"/>
      <c r="C68" s="104"/>
      <c r="D68" s="104"/>
      <c r="E68" s="104"/>
    </row>
    <row r="69" spans="1:5">
      <c r="A69" s="104"/>
      <c r="B69" s="104"/>
      <c r="C69" s="104"/>
      <c r="D69" s="104"/>
      <c r="E69" s="104"/>
    </row>
    <row r="70" spans="1:5">
      <c r="A70" s="104"/>
      <c r="B70" s="104"/>
      <c r="C70" s="104"/>
      <c r="D70" s="104"/>
      <c r="E70" s="104"/>
    </row>
    <row r="71" spans="1:5">
      <c r="A71" s="104"/>
      <c r="B71" s="104"/>
      <c r="C71" s="104"/>
      <c r="D71" s="104"/>
      <c r="E71" s="104"/>
    </row>
    <row r="72" spans="1:5">
      <c r="A72" s="104"/>
      <c r="B72" s="104"/>
      <c r="C72" s="104"/>
      <c r="D72" s="104"/>
      <c r="E72" s="104"/>
    </row>
    <row r="73" spans="1:5">
      <c r="A73" s="104"/>
      <c r="B73" s="104"/>
      <c r="C73" s="104"/>
      <c r="D73" s="104"/>
      <c r="E73" s="104"/>
    </row>
    <row r="74" spans="1:5">
      <c r="A74" s="104"/>
      <c r="B74" s="104"/>
      <c r="C74" s="104"/>
      <c r="D74" s="104"/>
      <c r="E74" s="104"/>
    </row>
    <row r="75" spans="1:5">
      <c r="A75" s="104"/>
      <c r="B75" s="104"/>
      <c r="C75" s="104"/>
      <c r="D75" s="104"/>
      <c r="E75" s="104"/>
    </row>
    <row r="76" spans="1:5">
      <c r="A76" s="104"/>
      <c r="B76" s="104"/>
      <c r="C76" s="104"/>
      <c r="D76" s="104"/>
      <c r="E76" s="104"/>
    </row>
    <row r="77" spans="1:5">
      <c r="A77" s="104"/>
      <c r="B77" s="104"/>
      <c r="C77" s="104"/>
      <c r="D77" s="104"/>
      <c r="E77" s="104"/>
    </row>
    <row r="78" spans="1:5">
      <c r="A78" s="104"/>
      <c r="B78" s="104"/>
      <c r="C78" s="104"/>
      <c r="D78" s="104"/>
      <c r="E78" s="104"/>
    </row>
    <row r="79" spans="1:5">
      <c r="A79" s="104"/>
      <c r="B79" s="104"/>
      <c r="C79" s="104"/>
      <c r="D79" s="104"/>
      <c r="E79" s="104"/>
    </row>
    <row r="80" spans="1:5">
      <c r="A80" s="104"/>
      <c r="B80" s="104"/>
      <c r="C80" s="104"/>
      <c r="D80" s="104"/>
      <c r="E80" s="104"/>
    </row>
    <row r="81" spans="1:5">
      <c r="A81" s="104"/>
      <c r="B81" s="104"/>
      <c r="C81" s="104"/>
      <c r="D81" s="104"/>
      <c r="E81" s="104"/>
    </row>
    <row r="82" spans="1:5">
      <c r="A82" s="104"/>
      <c r="B82" s="104"/>
      <c r="C82" s="104"/>
      <c r="D82" s="104"/>
      <c r="E82" s="104"/>
    </row>
    <row r="83" spans="1:5">
      <c r="A83" s="104"/>
      <c r="B83" s="104"/>
      <c r="C83" s="104"/>
      <c r="D83" s="104"/>
      <c r="E83" s="104"/>
    </row>
    <row r="84" spans="1:5">
      <c r="A84" s="104"/>
      <c r="B84" s="104"/>
      <c r="C84" s="104"/>
      <c r="D84" s="104"/>
      <c r="E84" s="104"/>
    </row>
    <row r="85" spans="1:5">
      <c r="A85" s="104"/>
      <c r="B85" s="104"/>
      <c r="C85" s="104"/>
      <c r="D85" s="104"/>
      <c r="E85" s="104"/>
    </row>
    <row r="86" spans="1:5">
      <c r="A86" s="104"/>
      <c r="B86" s="104"/>
      <c r="C86" s="104"/>
      <c r="D86" s="104"/>
      <c r="E86" s="104"/>
    </row>
    <row r="87" spans="1:5">
      <c r="A87" s="104"/>
      <c r="B87" s="104"/>
      <c r="C87" s="104"/>
      <c r="D87" s="104"/>
      <c r="E87" s="104"/>
    </row>
    <row r="88" spans="1:5">
      <c r="A88" s="104"/>
      <c r="B88" s="104"/>
      <c r="C88" s="104"/>
      <c r="D88" s="104"/>
      <c r="E88" s="104"/>
    </row>
    <row r="89" spans="1:5">
      <c r="A89" s="104"/>
      <c r="B89" s="104"/>
      <c r="C89" s="104"/>
      <c r="D89" s="104"/>
      <c r="E89" s="104"/>
    </row>
    <row r="90" spans="1:5">
      <c r="A90" s="104"/>
      <c r="B90" s="104"/>
      <c r="C90" s="104"/>
      <c r="D90" s="104"/>
      <c r="E90" s="104"/>
    </row>
    <row r="91" spans="1:5">
      <c r="A91" s="104"/>
      <c r="B91" s="104"/>
      <c r="C91" s="104"/>
      <c r="D91" s="104"/>
      <c r="E91" s="104"/>
    </row>
    <row r="92" spans="1:5">
      <c r="A92" s="104"/>
      <c r="B92" s="104"/>
      <c r="C92" s="104"/>
      <c r="D92" s="104"/>
      <c r="E92" s="104"/>
    </row>
    <row r="93" spans="1:5">
      <c r="A93" s="104"/>
      <c r="B93" s="104"/>
      <c r="C93" s="104"/>
      <c r="D93" s="104"/>
      <c r="E93" s="104"/>
    </row>
    <row r="94" spans="1:5">
      <c r="A94" s="104"/>
      <c r="B94" s="104"/>
      <c r="C94" s="104"/>
      <c r="D94" s="104"/>
      <c r="E94" s="104"/>
    </row>
    <row r="95" spans="1:5">
      <c r="A95" s="104"/>
      <c r="B95" s="104"/>
      <c r="C95" s="104"/>
      <c r="D95" s="104"/>
      <c r="E95" s="104"/>
    </row>
    <row r="96" spans="1:5">
      <c r="A96" s="104"/>
      <c r="B96" s="104"/>
      <c r="C96" s="104"/>
      <c r="D96" s="104"/>
      <c r="E96" s="104"/>
    </row>
    <row r="97" spans="1:5">
      <c r="A97" s="104"/>
      <c r="B97" s="104"/>
      <c r="C97" s="104"/>
      <c r="D97" s="104"/>
      <c r="E97" s="104"/>
    </row>
    <row r="98" spans="1:5">
      <c r="A98" s="104"/>
      <c r="B98" s="104"/>
      <c r="C98" s="104"/>
      <c r="D98" s="104"/>
      <c r="E98" s="104"/>
    </row>
    <row r="99" spans="1:5">
      <c r="A99" s="104"/>
      <c r="B99" s="104"/>
      <c r="C99" s="104"/>
      <c r="D99" s="104"/>
      <c r="E99" s="104"/>
    </row>
    <row r="100" spans="1:5">
      <c r="A100" s="104"/>
      <c r="B100" s="104"/>
      <c r="C100" s="104"/>
      <c r="D100" s="104"/>
      <c r="E100" s="104"/>
    </row>
    <row r="101" spans="1:5">
      <c r="A101" s="104"/>
      <c r="B101" s="104"/>
      <c r="C101" s="104"/>
      <c r="D101" s="104"/>
      <c r="E101" s="104"/>
    </row>
    <row r="102" spans="1:5">
      <c r="A102" s="104"/>
      <c r="B102" s="104"/>
      <c r="C102" s="104"/>
      <c r="D102" s="104"/>
      <c r="E102" s="104"/>
    </row>
    <row r="103" spans="1:5">
      <c r="A103" s="104"/>
      <c r="B103" s="104"/>
      <c r="C103" s="104"/>
      <c r="D103" s="104"/>
      <c r="E103" s="104"/>
    </row>
    <row r="104" spans="1:5">
      <c r="A104" s="104"/>
      <c r="B104" s="104"/>
      <c r="C104" s="104"/>
      <c r="D104" s="104"/>
      <c r="E104" s="104"/>
    </row>
    <row r="105" spans="1:5">
      <c r="A105" s="104"/>
      <c r="B105" s="104"/>
      <c r="C105" s="104"/>
      <c r="D105" s="104"/>
      <c r="E105" s="104"/>
    </row>
    <row r="106" spans="1:5">
      <c r="A106" s="104"/>
      <c r="B106" s="104"/>
      <c r="C106" s="104"/>
      <c r="D106" s="104"/>
      <c r="E106" s="104"/>
    </row>
    <row r="107" spans="1:5">
      <c r="A107" s="104"/>
      <c r="B107" s="104"/>
      <c r="C107" s="104"/>
      <c r="D107" s="104"/>
      <c r="E107" s="104"/>
    </row>
    <row r="108" spans="1:5">
      <c r="A108" s="104"/>
      <c r="B108" s="104"/>
      <c r="C108" s="104"/>
      <c r="D108" s="104"/>
      <c r="E108" s="104"/>
    </row>
    <row r="109" spans="1:5">
      <c r="A109" s="104"/>
      <c r="B109" s="104"/>
      <c r="C109" s="104"/>
      <c r="D109" s="104"/>
      <c r="E109" s="104"/>
    </row>
    <row r="110" spans="1:5">
      <c r="A110" s="104"/>
      <c r="B110" s="104"/>
      <c r="C110" s="104"/>
      <c r="D110" s="104"/>
      <c r="E110" s="104"/>
    </row>
    <row r="111" spans="1:5">
      <c r="A111" s="104"/>
      <c r="B111" s="104"/>
      <c r="C111" s="104"/>
      <c r="D111" s="104"/>
      <c r="E111" s="104"/>
    </row>
    <row r="112" spans="1:5">
      <c r="A112" s="104"/>
      <c r="B112" s="104"/>
      <c r="C112" s="104"/>
      <c r="D112" s="104"/>
      <c r="E112" s="104"/>
    </row>
    <row r="113" spans="1:5">
      <c r="A113" s="104"/>
      <c r="B113" s="104"/>
      <c r="C113" s="104"/>
      <c r="D113" s="104"/>
      <c r="E113" s="104"/>
    </row>
    <row r="114" spans="1:5">
      <c r="A114" s="104"/>
      <c r="B114" s="104"/>
      <c r="C114" s="104"/>
      <c r="D114" s="104"/>
      <c r="E114" s="104"/>
    </row>
    <row r="115" spans="1:5">
      <c r="A115" s="104"/>
      <c r="B115" s="104"/>
      <c r="C115" s="104"/>
      <c r="D115" s="104"/>
      <c r="E115" s="104"/>
    </row>
    <row r="116" spans="1:5">
      <c r="A116" s="104"/>
      <c r="B116" s="104"/>
      <c r="C116" s="104"/>
      <c r="D116" s="104"/>
      <c r="E116" s="104"/>
    </row>
    <row r="117" spans="1:5">
      <c r="A117" s="104"/>
      <c r="B117" s="104"/>
      <c r="C117" s="104"/>
      <c r="D117" s="104"/>
      <c r="E117" s="104"/>
    </row>
    <row r="118" spans="1:5">
      <c r="A118" s="104"/>
      <c r="B118" s="104"/>
      <c r="C118" s="104"/>
      <c r="D118" s="104"/>
      <c r="E118" s="104"/>
    </row>
    <row r="119" spans="1:5">
      <c r="A119" s="104"/>
      <c r="B119" s="104"/>
      <c r="C119" s="104"/>
      <c r="D119" s="104"/>
      <c r="E119" s="104"/>
    </row>
    <row r="120" spans="1:5">
      <c r="A120" s="104"/>
      <c r="B120" s="104"/>
      <c r="C120" s="104"/>
      <c r="D120" s="104"/>
      <c r="E120" s="104"/>
    </row>
    <row r="121" spans="1:5">
      <c r="A121" s="104"/>
      <c r="B121" s="104"/>
      <c r="C121" s="104"/>
      <c r="D121" s="104"/>
      <c r="E121" s="104"/>
    </row>
    <row r="122" spans="1:5">
      <c r="A122" s="104"/>
      <c r="B122" s="104"/>
      <c r="C122" s="104"/>
      <c r="D122" s="104"/>
      <c r="E122" s="104"/>
    </row>
    <row r="123" spans="1:5">
      <c r="A123" s="104"/>
      <c r="B123" s="104"/>
      <c r="C123" s="104"/>
      <c r="D123" s="104"/>
      <c r="E123" s="104"/>
    </row>
    <row r="124" spans="1:5">
      <c r="A124" s="104"/>
      <c r="B124" s="104"/>
      <c r="C124" s="104"/>
      <c r="D124" s="104"/>
      <c r="E124" s="104"/>
    </row>
    <row r="125" spans="1:5">
      <c r="A125" s="104"/>
      <c r="B125" s="104"/>
      <c r="C125" s="104"/>
      <c r="D125" s="104"/>
      <c r="E125" s="104"/>
    </row>
    <row r="126" spans="1:5">
      <c r="A126" s="104"/>
      <c r="B126" s="104"/>
      <c r="C126" s="104"/>
      <c r="D126" s="104"/>
      <c r="E126" s="104"/>
    </row>
    <row r="127" spans="1:5">
      <c r="A127" s="104"/>
      <c r="B127" s="104"/>
      <c r="C127" s="104"/>
      <c r="D127" s="104"/>
      <c r="E127" s="104"/>
    </row>
    <row r="128" spans="1:5">
      <c r="A128" s="104"/>
      <c r="B128" s="104"/>
      <c r="C128" s="104"/>
      <c r="D128" s="104"/>
      <c r="E128" s="104"/>
    </row>
    <row r="129" spans="1:5">
      <c r="A129" s="104"/>
      <c r="B129" s="104"/>
      <c r="C129" s="104"/>
      <c r="D129" s="104"/>
      <c r="E129" s="104"/>
    </row>
    <row r="130" spans="1:5">
      <c r="A130" s="104"/>
      <c r="B130" s="104"/>
      <c r="C130" s="104"/>
      <c r="D130" s="104"/>
      <c r="E130" s="104"/>
    </row>
    <row r="131" spans="1:5">
      <c r="A131" s="104"/>
      <c r="B131" s="104"/>
      <c r="C131" s="104"/>
      <c r="D131" s="104"/>
      <c r="E131" s="104"/>
    </row>
    <row r="132" spans="1:5">
      <c r="A132" s="104"/>
      <c r="B132" s="104"/>
      <c r="C132" s="104"/>
      <c r="D132" s="104"/>
      <c r="E132" s="104"/>
    </row>
    <row r="133" spans="1:5">
      <c r="A133" s="104"/>
      <c r="B133" s="104"/>
      <c r="C133" s="104"/>
      <c r="D133" s="104"/>
      <c r="E133" s="104"/>
    </row>
    <row r="134" spans="1:5">
      <c r="A134" s="104"/>
      <c r="B134" s="104"/>
      <c r="C134" s="104"/>
      <c r="D134" s="104"/>
      <c r="E134" s="104"/>
    </row>
    <row r="135" spans="1:5">
      <c r="A135" s="104"/>
      <c r="B135" s="104"/>
      <c r="C135" s="104"/>
      <c r="D135" s="104"/>
      <c r="E135" s="104"/>
    </row>
    <row r="136" spans="1:5">
      <c r="A136" s="104"/>
      <c r="B136" s="104"/>
      <c r="C136" s="104"/>
      <c r="D136" s="104"/>
      <c r="E136" s="104"/>
    </row>
    <row r="137" spans="1:5">
      <c r="A137" s="104"/>
      <c r="B137" s="104"/>
      <c r="C137" s="104"/>
      <c r="D137" s="104"/>
      <c r="E137" s="104"/>
    </row>
    <row r="138" spans="1:5">
      <c r="A138" s="104"/>
      <c r="B138" s="104"/>
      <c r="C138" s="104"/>
      <c r="D138" s="104"/>
      <c r="E138" s="104"/>
    </row>
    <row r="139" spans="1:5">
      <c r="A139" s="104"/>
      <c r="B139" s="104"/>
      <c r="C139" s="104"/>
      <c r="D139" s="104"/>
      <c r="E139" s="104"/>
    </row>
  </sheetData>
  <customSheetViews>
    <customSheetView guid="{667C12D2-B688-4218-94B0-4FC6FD6E2246}">
      <selection activeCell="E6" sqref="E6"/>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6">
    <mergeCell ref="A10:A11"/>
    <mergeCell ref="A1:E1"/>
    <mergeCell ref="B3:E3"/>
    <mergeCell ref="B4:C4"/>
    <mergeCell ref="B6:C6"/>
    <mergeCell ref="B7:C7"/>
    <mergeCell ref="B5:C5"/>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400-00000000000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13313" r:id="rId5" name="Check Box 1">
              <controlPr defaultSize="0" autoFill="0" autoLine="0" autoPict="0">
                <anchor moveWithCells="1" sizeWithCells="1">
                  <from>
                    <xdr:col>4</xdr:col>
                    <xdr:colOff>0</xdr:colOff>
                    <xdr:row>9</xdr:row>
                    <xdr:rowOff>7620</xdr:rowOff>
                  </from>
                  <to>
                    <xdr:col>4</xdr:col>
                    <xdr:colOff>365760</xdr:colOff>
                    <xdr:row>9</xdr:row>
                    <xdr:rowOff>411480</xdr:rowOff>
                  </to>
                </anchor>
              </controlPr>
            </control>
          </mc:Choice>
        </mc:AlternateContent>
        <mc:AlternateContent xmlns:mc="http://schemas.openxmlformats.org/markup-compatibility/2006">
          <mc:Choice Requires="x14">
            <control shapeId="13314" r:id="rId6" name="Check Box 2">
              <controlPr defaultSize="0" autoFill="0" autoLine="0" autoPict="0">
                <anchor moveWithCells="1" sizeWithCells="1">
                  <from>
                    <xdr:col>4</xdr:col>
                    <xdr:colOff>335280</xdr:colOff>
                    <xdr:row>9</xdr:row>
                    <xdr:rowOff>7620</xdr:rowOff>
                  </from>
                  <to>
                    <xdr:col>4</xdr:col>
                    <xdr:colOff>693420</xdr:colOff>
                    <xdr:row>9</xdr:row>
                    <xdr:rowOff>411480</xdr:rowOff>
                  </to>
                </anchor>
              </controlPr>
            </control>
          </mc:Choice>
        </mc:AlternateContent>
        <mc:AlternateContent xmlns:mc="http://schemas.openxmlformats.org/markup-compatibility/2006">
          <mc:Choice Requires="x14">
            <control shapeId="13315" r:id="rId7" name="Check Box 3">
              <controlPr defaultSize="0" autoFill="0" autoLine="0" autoPict="0">
                <anchor moveWithCells="1" sizeWithCells="1">
                  <from>
                    <xdr:col>4</xdr:col>
                    <xdr:colOff>640080</xdr:colOff>
                    <xdr:row>9</xdr:row>
                    <xdr:rowOff>7620</xdr:rowOff>
                  </from>
                  <to>
                    <xdr:col>4</xdr:col>
                    <xdr:colOff>960120</xdr:colOff>
                    <xdr:row>9</xdr:row>
                    <xdr:rowOff>411480</xdr:rowOff>
                  </to>
                </anchor>
              </controlPr>
            </control>
          </mc:Choice>
        </mc:AlternateContent>
        <mc:AlternateContent xmlns:mc="http://schemas.openxmlformats.org/markup-compatibility/2006">
          <mc:Choice Requires="x14">
            <control shapeId="13316" r:id="rId8" name="Check Box 4">
              <controlPr defaultSize="0" autoFill="0" autoLine="0" autoPict="0">
                <anchor moveWithCells="1" sizeWithCells="1">
                  <from>
                    <xdr:col>4</xdr:col>
                    <xdr:colOff>0</xdr:colOff>
                    <xdr:row>10</xdr:row>
                    <xdr:rowOff>7620</xdr:rowOff>
                  </from>
                  <to>
                    <xdr:col>4</xdr:col>
                    <xdr:colOff>365760</xdr:colOff>
                    <xdr:row>11</xdr:row>
                    <xdr:rowOff>0</xdr:rowOff>
                  </to>
                </anchor>
              </controlPr>
            </control>
          </mc:Choice>
        </mc:AlternateContent>
        <mc:AlternateContent xmlns:mc="http://schemas.openxmlformats.org/markup-compatibility/2006">
          <mc:Choice Requires="x14">
            <control shapeId="13317" r:id="rId9" name="Check Box 5">
              <controlPr defaultSize="0" autoFill="0" autoLine="0" autoPict="0">
                <anchor moveWithCells="1" sizeWithCells="1">
                  <from>
                    <xdr:col>4</xdr:col>
                    <xdr:colOff>335280</xdr:colOff>
                    <xdr:row>10</xdr:row>
                    <xdr:rowOff>7620</xdr:rowOff>
                  </from>
                  <to>
                    <xdr:col>4</xdr:col>
                    <xdr:colOff>693420</xdr:colOff>
                    <xdr:row>11</xdr:row>
                    <xdr:rowOff>0</xdr:rowOff>
                  </to>
                </anchor>
              </controlPr>
            </control>
          </mc:Choice>
        </mc:AlternateContent>
        <mc:AlternateContent xmlns:mc="http://schemas.openxmlformats.org/markup-compatibility/2006">
          <mc:Choice Requires="x14">
            <control shapeId="13318" r:id="rId10" name="Check Box 6">
              <controlPr defaultSize="0" autoFill="0" autoLine="0" autoPict="0">
                <anchor moveWithCells="1" sizeWithCells="1">
                  <from>
                    <xdr:col>4</xdr:col>
                    <xdr:colOff>640080</xdr:colOff>
                    <xdr:row>10</xdr:row>
                    <xdr:rowOff>7620</xdr:rowOff>
                  </from>
                  <to>
                    <xdr:col>4</xdr:col>
                    <xdr:colOff>960120</xdr:colOff>
                    <xdr:row>11</xdr:row>
                    <xdr:rowOff>0</xdr:rowOff>
                  </to>
                </anchor>
              </controlPr>
            </control>
          </mc:Choice>
        </mc:AlternateContent>
        <mc:AlternateContent xmlns:mc="http://schemas.openxmlformats.org/markup-compatibility/2006">
          <mc:Choice Requires="x14">
            <control shapeId="13319" r:id="rId11" name="Check Box 7">
              <controlPr defaultSize="0" autoFill="0" autoLine="0" autoPict="0">
                <anchor moveWithCells="1" sizeWithCells="1">
                  <from>
                    <xdr:col>4</xdr:col>
                    <xdr:colOff>0</xdr:colOff>
                    <xdr:row>11</xdr:row>
                    <xdr:rowOff>7620</xdr:rowOff>
                  </from>
                  <to>
                    <xdr:col>4</xdr:col>
                    <xdr:colOff>365760</xdr:colOff>
                    <xdr:row>12</xdr:row>
                    <xdr:rowOff>0</xdr:rowOff>
                  </to>
                </anchor>
              </controlPr>
            </control>
          </mc:Choice>
        </mc:AlternateContent>
        <mc:AlternateContent xmlns:mc="http://schemas.openxmlformats.org/markup-compatibility/2006">
          <mc:Choice Requires="x14">
            <control shapeId="13320" r:id="rId12" name="Check Box 8">
              <controlPr defaultSize="0" autoFill="0" autoLine="0" autoPict="0">
                <anchor moveWithCells="1" sizeWithCells="1">
                  <from>
                    <xdr:col>4</xdr:col>
                    <xdr:colOff>335280</xdr:colOff>
                    <xdr:row>11</xdr:row>
                    <xdr:rowOff>7620</xdr:rowOff>
                  </from>
                  <to>
                    <xdr:col>4</xdr:col>
                    <xdr:colOff>693420</xdr:colOff>
                    <xdr:row>12</xdr:row>
                    <xdr:rowOff>0</xdr:rowOff>
                  </to>
                </anchor>
              </controlPr>
            </control>
          </mc:Choice>
        </mc:AlternateContent>
        <mc:AlternateContent xmlns:mc="http://schemas.openxmlformats.org/markup-compatibility/2006">
          <mc:Choice Requires="x14">
            <control shapeId="13321" r:id="rId13" name="Check Box 9">
              <controlPr defaultSize="0" autoFill="0" autoLine="0" autoPict="0">
                <anchor moveWithCells="1" sizeWithCells="1">
                  <from>
                    <xdr:col>4</xdr:col>
                    <xdr:colOff>640080</xdr:colOff>
                    <xdr:row>11</xdr:row>
                    <xdr:rowOff>7620</xdr:rowOff>
                  </from>
                  <to>
                    <xdr:col>4</xdr:col>
                    <xdr:colOff>960120</xdr:colOff>
                    <xdr:row>12</xdr:row>
                    <xdr:rowOff>0</xdr:rowOff>
                  </to>
                </anchor>
              </controlPr>
            </control>
          </mc:Choice>
        </mc:AlternateContent>
        <mc:AlternateContent xmlns:mc="http://schemas.openxmlformats.org/markup-compatibility/2006">
          <mc:Choice Requires="x14">
            <control shapeId="13322" r:id="rId14" name="Check Box 10">
              <controlPr defaultSize="0" autoFill="0" autoLine="0" autoPict="0">
                <anchor moveWithCells="1" sizeWithCells="1">
                  <from>
                    <xdr:col>4</xdr:col>
                    <xdr:colOff>0</xdr:colOff>
                    <xdr:row>12</xdr:row>
                    <xdr:rowOff>7620</xdr:rowOff>
                  </from>
                  <to>
                    <xdr:col>4</xdr:col>
                    <xdr:colOff>365760</xdr:colOff>
                    <xdr:row>13</xdr:row>
                    <xdr:rowOff>0</xdr:rowOff>
                  </to>
                </anchor>
              </controlPr>
            </control>
          </mc:Choice>
        </mc:AlternateContent>
        <mc:AlternateContent xmlns:mc="http://schemas.openxmlformats.org/markup-compatibility/2006">
          <mc:Choice Requires="x14">
            <control shapeId="13323" r:id="rId15" name="Check Box 11">
              <controlPr defaultSize="0" autoFill="0" autoLine="0" autoPict="0">
                <anchor moveWithCells="1" sizeWithCells="1">
                  <from>
                    <xdr:col>4</xdr:col>
                    <xdr:colOff>335280</xdr:colOff>
                    <xdr:row>12</xdr:row>
                    <xdr:rowOff>7620</xdr:rowOff>
                  </from>
                  <to>
                    <xdr:col>4</xdr:col>
                    <xdr:colOff>693420</xdr:colOff>
                    <xdr:row>13</xdr:row>
                    <xdr:rowOff>0</xdr:rowOff>
                  </to>
                </anchor>
              </controlPr>
            </control>
          </mc:Choice>
        </mc:AlternateContent>
        <mc:AlternateContent xmlns:mc="http://schemas.openxmlformats.org/markup-compatibility/2006">
          <mc:Choice Requires="x14">
            <control shapeId="13324" r:id="rId16" name="Check Box 12">
              <controlPr defaultSize="0" autoFill="0" autoLine="0" autoPict="0">
                <anchor moveWithCells="1" sizeWithCells="1">
                  <from>
                    <xdr:col>4</xdr:col>
                    <xdr:colOff>640080</xdr:colOff>
                    <xdr:row>12</xdr:row>
                    <xdr:rowOff>7620</xdr:rowOff>
                  </from>
                  <to>
                    <xdr:col>4</xdr:col>
                    <xdr:colOff>960120</xdr:colOff>
                    <xdr:row>13</xdr:row>
                    <xdr:rowOff>0</xdr:rowOff>
                  </to>
                </anchor>
              </controlPr>
            </control>
          </mc:Choice>
        </mc:AlternateContent>
        <mc:AlternateContent xmlns:mc="http://schemas.openxmlformats.org/markup-compatibility/2006">
          <mc:Choice Requires="x14">
            <control shapeId="13325" r:id="rId17" name="Check Box 13">
              <controlPr defaultSize="0" autoFill="0" autoLine="0" autoPict="0">
                <anchor moveWithCells="1" sizeWithCells="1">
                  <from>
                    <xdr:col>4</xdr:col>
                    <xdr:colOff>0</xdr:colOff>
                    <xdr:row>13</xdr:row>
                    <xdr:rowOff>7620</xdr:rowOff>
                  </from>
                  <to>
                    <xdr:col>4</xdr:col>
                    <xdr:colOff>365760</xdr:colOff>
                    <xdr:row>14</xdr:row>
                    <xdr:rowOff>0</xdr:rowOff>
                  </to>
                </anchor>
              </controlPr>
            </control>
          </mc:Choice>
        </mc:AlternateContent>
        <mc:AlternateContent xmlns:mc="http://schemas.openxmlformats.org/markup-compatibility/2006">
          <mc:Choice Requires="x14">
            <control shapeId="13326" r:id="rId18" name="Check Box 14">
              <controlPr defaultSize="0" autoFill="0" autoLine="0" autoPict="0">
                <anchor moveWithCells="1" sizeWithCells="1">
                  <from>
                    <xdr:col>4</xdr:col>
                    <xdr:colOff>335280</xdr:colOff>
                    <xdr:row>13</xdr:row>
                    <xdr:rowOff>7620</xdr:rowOff>
                  </from>
                  <to>
                    <xdr:col>4</xdr:col>
                    <xdr:colOff>693420</xdr:colOff>
                    <xdr:row>14</xdr:row>
                    <xdr:rowOff>0</xdr:rowOff>
                  </to>
                </anchor>
              </controlPr>
            </control>
          </mc:Choice>
        </mc:AlternateContent>
        <mc:AlternateContent xmlns:mc="http://schemas.openxmlformats.org/markup-compatibility/2006">
          <mc:Choice Requires="x14">
            <control shapeId="13327" r:id="rId19" name="Check Box 15">
              <controlPr defaultSize="0" autoFill="0" autoLine="0" autoPict="0">
                <anchor moveWithCells="1" sizeWithCells="1">
                  <from>
                    <xdr:col>4</xdr:col>
                    <xdr:colOff>640080</xdr:colOff>
                    <xdr:row>13</xdr:row>
                    <xdr:rowOff>7620</xdr:rowOff>
                  </from>
                  <to>
                    <xdr:col>4</xdr:col>
                    <xdr:colOff>960120</xdr:colOff>
                    <xdr:row>14</xdr:row>
                    <xdr:rowOff>0</xdr:rowOff>
                  </to>
                </anchor>
              </controlPr>
            </control>
          </mc:Choice>
        </mc:AlternateContent>
        <mc:AlternateContent xmlns:mc="http://schemas.openxmlformats.org/markup-compatibility/2006">
          <mc:Choice Requires="x14">
            <control shapeId="13328" r:id="rId20" name="Check Box 16">
              <controlPr defaultSize="0" autoFill="0" autoLine="0" autoPict="0">
                <anchor moveWithCells="1" sizeWithCells="1">
                  <from>
                    <xdr:col>4</xdr:col>
                    <xdr:colOff>0</xdr:colOff>
                    <xdr:row>14</xdr:row>
                    <xdr:rowOff>22860</xdr:rowOff>
                  </from>
                  <to>
                    <xdr:col>4</xdr:col>
                    <xdr:colOff>365760</xdr:colOff>
                    <xdr:row>15</xdr:row>
                    <xdr:rowOff>0</xdr:rowOff>
                  </to>
                </anchor>
              </controlPr>
            </control>
          </mc:Choice>
        </mc:AlternateContent>
        <mc:AlternateContent xmlns:mc="http://schemas.openxmlformats.org/markup-compatibility/2006">
          <mc:Choice Requires="x14">
            <control shapeId="13329" r:id="rId21" name="Check Box 17">
              <controlPr defaultSize="0" autoFill="0" autoLine="0" autoPict="0">
                <anchor moveWithCells="1" sizeWithCells="1">
                  <from>
                    <xdr:col>4</xdr:col>
                    <xdr:colOff>335280</xdr:colOff>
                    <xdr:row>14</xdr:row>
                    <xdr:rowOff>22860</xdr:rowOff>
                  </from>
                  <to>
                    <xdr:col>4</xdr:col>
                    <xdr:colOff>693420</xdr:colOff>
                    <xdr:row>15</xdr:row>
                    <xdr:rowOff>0</xdr:rowOff>
                  </to>
                </anchor>
              </controlPr>
            </control>
          </mc:Choice>
        </mc:AlternateContent>
        <mc:AlternateContent xmlns:mc="http://schemas.openxmlformats.org/markup-compatibility/2006">
          <mc:Choice Requires="x14">
            <control shapeId="13330" r:id="rId22" name="Check Box 18">
              <controlPr defaultSize="0" autoFill="0" autoLine="0" autoPict="0">
                <anchor moveWithCells="1" sizeWithCells="1">
                  <from>
                    <xdr:col>4</xdr:col>
                    <xdr:colOff>640080</xdr:colOff>
                    <xdr:row>14</xdr:row>
                    <xdr:rowOff>22860</xdr:rowOff>
                  </from>
                  <to>
                    <xdr:col>4</xdr:col>
                    <xdr:colOff>960120</xdr:colOff>
                    <xdr:row>15</xdr:row>
                    <xdr:rowOff>0</xdr:rowOff>
                  </to>
                </anchor>
              </controlPr>
            </control>
          </mc:Choice>
        </mc:AlternateContent>
        <mc:AlternateContent xmlns:mc="http://schemas.openxmlformats.org/markup-compatibility/2006">
          <mc:Choice Requires="x14">
            <control shapeId="13331" r:id="rId23" name="Check Box 19">
              <controlPr defaultSize="0" autoFill="0" autoLine="0" autoPict="0">
                <anchor moveWithCells="1" sizeWithCells="1">
                  <from>
                    <xdr:col>4</xdr:col>
                    <xdr:colOff>0</xdr:colOff>
                    <xdr:row>15</xdr:row>
                    <xdr:rowOff>7620</xdr:rowOff>
                  </from>
                  <to>
                    <xdr:col>4</xdr:col>
                    <xdr:colOff>365760</xdr:colOff>
                    <xdr:row>16</xdr:row>
                    <xdr:rowOff>0</xdr:rowOff>
                  </to>
                </anchor>
              </controlPr>
            </control>
          </mc:Choice>
        </mc:AlternateContent>
        <mc:AlternateContent xmlns:mc="http://schemas.openxmlformats.org/markup-compatibility/2006">
          <mc:Choice Requires="x14">
            <control shapeId="13332" r:id="rId24" name="Check Box 20">
              <controlPr defaultSize="0" autoFill="0" autoLine="0" autoPict="0">
                <anchor moveWithCells="1" sizeWithCells="1">
                  <from>
                    <xdr:col>4</xdr:col>
                    <xdr:colOff>335280</xdr:colOff>
                    <xdr:row>15</xdr:row>
                    <xdr:rowOff>7620</xdr:rowOff>
                  </from>
                  <to>
                    <xdr:col>4</xdr:col>
                    <xdr:colOff>693420</xdr:colOff>
                    <xdr:row>16</xdr:row>
                    <xdr:rowOff>0</xdr:rowOff>
                  </to>
                </anchor>
              </controlPr>
            </control>
          </mc:Choice>
        </mc:AlternateContent>
        <mc:AlternateContent xmlns:mc="http://schemas.openxmlformats.org/markup-compatibility/2006">
          <mc:Choice Requires="x14">
            <control shapeId="13333" r:id="rId25" name="Check Box 21">
              <controlPr defaultSize="0" autoFill="0" autoLine="0" autoPict="0">
                <anchor moveWithCells="1" sizeWithCells="1">
                  <from>
                    <xdr:col>4</xdr:col>
                    <xdr:colOff>640080</xdr:colOff>
                    <xdr:row>15</xdr:row>
                    <xdr:rowOff>7620</xdr:rowOff>
                  </from>
                  <to>
                    <xdr:col>4</xdr:col>
                    <xdr:colOff>960120</xdr:colOff>
                    <xdr:row>16</xdr:row>
                    <xdr:rowOff>0</xdr:rowOff>
                  </to>
                </anchor>
              </controlPr>
            </control>
          </mc:Choice>
        </mc:AlternateContent>
        <mc:AlternateContent xmlns:mc="http://schemas.openxmlformats.org/markup-compatibility/2006">
          <mc:Choice Requires="x14">
            <control shapeId="13334" r:id="rId26" name="Check Box 22">
              <controlPr defaultSize="0" autoFill="0" autoLine="0" autoPict="0">
                <anchor moveWithCells="1" sizeWithCells="1">
                  <from>
                    <xdr:col>4</xdr:col>
                    <xdr:colOff>0</xdr:colOff>
                    <xdr:row>16</xdr:row>
                    <xdr:rowOff>0</xdr:rowOff>
                  </from>
                  <to>
                    <xdr:col>4</xdr:col>
                    <xdr:colOff>365760</xdr:colOff>
                    <xdr:row>17</xdr:row>
                    <xdr:rowOff>0</xdr:rowOff>
                  </to>
                </anchor>
              </controlPr>
            </control>
          </mc:Choice>
        </mc:AlternateContent>
        <mc:AlternateContent xmlns:mc="http://schemas.openxmlformats.org/markup-compatibility/2006">
          <mc:Choice Requires="x14">
            <control shapeId="13335" r:id="rId27" name="Check Box 23">
              <controlPr defaultSize="0" autoFill="0" autoLine="0" autoPict="0">
                <anchor moveWithCells="1" sizeWithCells="1">
                  <from>
                    <xdr:col>4</xdr:col>
                    <xdr:colOff>335280</xdr:colOff>
                    <xdr:row>16</xdr:row>
                    <xdr:rowOff>0</xdr:rowOff>
                  </from>
                  <to>
                    <xdr:col>4</xdr:col>
                    <xdr:colOff>693420</xdr:colOff>
                    <xdr:row>17</xdr:row>
                    <xdr:rowOff>0</xdr:rowOff>
                  </to>
                </anchor>
              </controlPr>
            </control>
          </mc:Choice>
        </mc:AlternateContent>
        <mc:AlternateContent xmlns:mc="http://schemas.openxmlformats.org/markup-compatibility/2006">
          <mc:Choice Requires="x14">
            <control shapeId="13336" r:id="rId28" name="Check Box 24">
              <controlPr defaultSize="0" autoFill="0" autoLine="0" autoPict="0">
                <anchor moveWithCells="1" sizeWithCells="1">
                  <from>
                    <xdr:col>4</xdr:col>
                    <xdr:colOff>640080</xdr:colOff>
                    <xdr:row>16</xdr:row>
                    <xdr:rowOff>0</xdr:rowOff>
                  </from>
                  <to>
                    <xdr:col>4</xdr:col>
                    <xdr:colOff>960120</xdr:colOff>
                    <xdr:row>17</xdr:row>
                    <xdr:rowOff>0</xdr:rowOff>
                  </to>
                </anchor>
              </controlPr>
            </control>
          </mc:Choice>
        </mc:AlternateContent>
        <mc:AlternateContent xmlns:mc="http://schemas.openxmlformats.org/markup-compatibility/2006">
          <mc:Choice Requires="x14">
            <control shapeId="13337" r:id="rId29" name="Check Box 25">
              <controlPr defaultSize="0" autoFill="0" autoLine="0" autoPict="0">
                <anchor moveWithCells="1" sizeWithCells="1">
                  <from>
                    <xdr:col>4</xdr:col>
                    <xdr:colOff>0</xdr:colOff>
                    <xdr:row>17</xdr:row>
                    <xdr:rowOff>0</xdr:rowOff>
                  </from>
                  <to>
                    <xdr:col>4</xdr:col>
                    <xdr:colOff>365760</xdr:colOff>
                    <xdr:row>18</xdr:row>
                    <xdr:rowOff>0</xdr:rowOff>
                  </to>
                </anchor>
              </controlPr>
            </control>
          </mc:Choice>
        </mc:AlternateContent>
        <mc:AlternateContent xmlns:mc="http://schemas.openxmlformats.org/markup-compatibility/2006">
          <mc:Choice Requires="x14">
            <control shapeId="13338" r:id="rId30" name="Check Box 26">
              <controlPr defaultSize="0" autoFill="0" autoLine="0" autoPict="0">
                <anchor moveWithCells="1" sizeWithCells="1">
                  <from>
                    <xdr:col>4</xdr:col>
                    <xdr:colOff>335280</xdr:colOff>
                    <xdr:row>17</xdr:row>
                    <xdr:rowOff>0</xdr:rowOff>
                  </from>
                  <to>
                    <xdr:col>4</xdr:col>
                    <xdr:colOff>693420</xdr:colOff>
                    <xdr:row>18</xdr:row>
                    <xdr:rowOff>0</xdr:rowOff>
                  </to>
                </anchor>
              </controlPr>
            </control>
          </mc:Choice>
        </mc:AlternateContent>
        <mc:AlternateContent xmlns:mc="http://schemas.openxmlformats.org/markup-compatibility/2006">
          <mc:Choice Requires="x14">
            <control shapeId="13339" r:id="rId31" name="Check Box 27">
              <controlPr defaultSize="0" autoFill="0" autoLine="0" autoPict="0">
                <anchor moveWithCells="1" sizeWithCells="1">
                  <from>
                    <xdr:col>4</xdr:col>
                    <xdr:colOff>640080</xdr:colOff>
                    <xdr:row>17</xdr:row>
                    <xdr:rowOff>0</xdr:rowOff>
                  </from>
                  <to>
                    <xdr:col>4</xdr:col>
                    <xdr:colOff>960120</xdr:colOff>
                    <xdr:row>18</xdr:row>
                    <xdr:rowOff>0</xdr:rowOff>
                  </to>
                </anchor>
              </controlPr>
            </control>
          </mc:Choice>
        </mc:AlternateContent>
        <mc:AlternateContent xmlns:mc="http://schemas.openxmlformats.org/markup-compatibility/2006">
          <mc:Choice Requires="x14">
            <control shapeId="13340" r:id="rId32" name="Check Box 28">
              <controlPr defaultSize="0" autoFill="0" autoLine="0" autoPict="0">
                <anchor moveWithCells="1" sizeWithCells="1">
                  <from>
                    <xdr:col>4</xdr:col>
                    <xdr:colOff>0</xdr:colOff>
                    <xdr:row>18</xdr:row>
                    <xdr:rowOff>0</xdr:rowOff>
                  </from>
                  <to>
                    <xdr:col>4</xdr:col>
                    <xdr:colOff>365760</xdr:colOff>
                    <xdr:row>19</xdr:row>
                    <xdr:rowOff>0</xdr:rowOff>
                  </to>
                </anchor>
              </controlPr>
            </control>
          </mc:Choice>
        </mc:AlternateContent>
        <mc:AlternateContent xmlns:mc="http://schemas.openxmlformats.org/markup-compatibility/2006">
          <mc:Choice Requires="x14">
            <control shapeId="13341" r:id="rId33" name="Check Box 29">
              <controlPr defaultSize="0" autoFill="0" autoLine="0" autoPict="0">
                <anchor moveWithCells="1" sizeWithCells="1">
                  <from>
                    <xdr:col>4</xdr:col>
                    <xdr:colOff>335280</xdr:colOff>
                    <xdr:row>18</xdr:row>
                    <xdr:rowOff>0</xdr:rowOff>
                  </from>
                  <to>
                    <xdr:col>4</xdr:col>
                    <xdr:colOff>693420</xdr:colOff>
                    <xdr:row>19</xdr:row>
                    <xdr:rowOff>0</xdr:rowOff>
                  </to>
                </anchor>
              </controlPr>
            </control>
          </mc:Choice>
        </mc:AlternateContent>
        <mc:AlternateContent xmlns:mc="http://schemas.openxmlformats.org/markup-compatibility/2006">
          <mc:Choice Requires="x14">
            <control shapeId="13342" r:id="rId34" name="Check Box 30">
              <controlPr defaultSize="0" autoFill="0" autoLine="0" autoPict="0">
                <anchor moveWithCells="1" sizeWithCells="1">
                  <from>
                    <xdr:col>4</xdr:col>
                    <xdr:colOff>640080</xdr:colOff>
                    <xdr:row>18</xdr:row>
                    <xdr:rowOff>0</xdr:rowOff>
                  </from>
                  <to>
                    <xdr:col>4</xdr:col>
                    <xdr:colOff>960120</xdr:colOff>
                    <xdr:row>19</xdr:row>
                    <xdr:rowOff>0</xdr:rowOff>
                  </to>
                </anchor>
              </controlPr>
            </control>
          </mc:Choice>
        </mc:AlternateContent>
        <mc:AlternateContent xmlns:mc="http://schemas.openxmlformats.org/markup-compatibility/2006">
          <mc:Choice Requires="x14">
            <control shapeId="13343" r:id="rId35" name="Check Box 31">
              <controlPr defaultSize="0" autoFill="0" autoLine="0" autoPict="0">
                <anchor moveWithCells="1" sizeWithCells="1">
                  <from>
                    <xdr:col>4</xdr:col>
                    <xdr:colOff>0</xdr:colOff>
                    <xdr:row>19</xdr:row>
                    <xdr:rowOff>0</xdr:rowOff>
                  </from>
                  <to>
                    <xdr:col>4</xdr:col>
                    <xdr:colOff>365760</xdr:colOff>
                    <xdr:row>20</xdr:row>
                    <xdr:rowOff>0</xdr:rowOff>
                  </to>
                </anchor>
              </controlPr>
            </control>
          </mc:Choice>
        </mc:AlternateContent>
        <mc:AlternateContent xmlns:mc="http://schemas.openxmlformats.org/markup-compatibility/2006">
          <mc:Choice Requires="x14">
            <control shapeId="13344" r:id="rId36" name="Check Box 32">
              <controlPr defaultSize="0" autoFill="0" autoLine="0" autoPict="0">
                <anchor moveWithCells="1" sizeWithCells="1">
                  <from>
                    <xdr:col>4</xdr:col>
                    <xdr:colOff>335280</xdr:colOff>
                    <xdr:row>19</xdr:row>
                    <xdr:rowOff>0</xdr:rowOff>
                  </from>
                  <to>
                    <xdr:col>4</xdr:col>
                    <xdr:colOff>693420</xdr:colOff>
                    <xdr:row>20</xdr:row>
                    <xdr:rowOff>0</xdr:rowOff>
                  </to>
                </anchor>
              </controlPr>
            </control>
          </mc:Choice>
        </mc:AlternateContent>
        <mc:AlternateContent xmlns:mc="http://schemas.openxmlformats.org/markup-compatibility/2006">
          <mc:Choice Requires="x14">
            <control shapeId="13345" r:id="rId37" name="Check Box 33">
              <controlPr defaultSize="0" autoFill="0" autoLine="0" autoPict="0">
                <anchor moveWithCells="1" sizeWithCells="1">
                  <from>
                    <xdr:col>4</xdr:col>
                    <xdr:colOff>640080</xdr:colOff>
                    <xdr:row>19</xdr:row>
                    <xdr:rowOff>0</xdr:rowOff>
                  </from>
                  <to>
                    <xdr:col>4</xdr:col>
                    <xdr:colOff>960120</xdr:colOff>
                    <xdr:row>20</xdr:row>
                    <xdr:rowOff>0</xdr:rowOff>
                  </to>
                </anchor>
              </controlPr>
            </control>
          </mc:Choice>
        </mc:AlternateContent>
        <mc:AlternateContent xmlns:mc="http://schemas.openxmlformats.org/markup-compatibility/2006">
          <mc:Choice Requires="x14">
            <control shapeId="13346" r:id="rId38" name="Check Box 34">
              <controlPr defaultSize="0" autoFill="0" autoLine="0" autoPict="0">
                <anchor moveWithCells="1" sizeWithCells="1">
                  <from>
                    <xdr:col>4</xdr:col>
                    <xdr:colOff>0</xdr:colOff>
                    <xdr:row>20</xdr:row>
                    <xdr:rowOff>0</xdr:rowOff>
                  </from>
                  <to>
                    <xdr:col>4</xdr:col>
                    <xdr:colOff>365760</xdr:colOff>
                    <xdr:row>21</xdr:row>
                    <xdr:rowOff>0</xdr:rowOff>
                  </to>
                </anchor>
              </controlPr>
            </control>
          </mc:Choice>
        </mc:AlternateContent>
        <mc:AlternateContent xmlns:mc="http://schemas.openxmlformats.org/markup-compatibility/2006">
          <mc:Choice Requires="x14">
            <control shapeId="13347" r:id="rId39" name="Check Box 35">
              <controlPr defaultSize="0" autoFill="0" autoLine="0" autoPict="0">
                <anchor moveWithCells="1" sizeWithCells="1">
                  <from>
                    <xdr:col>4</xdr:col>
                    <xdr:colOff>335280</xdr:colOff>
                    <xdr:row>20</xdr:row>
                    <xdr:rowOff>0</xdr:rowOff>
                  </from>
                  <to>
                    <xdr:col>4</xdr:col>
                    <xdr:colOff>693420</xdr:colOff>
                    <xdr:row>21</xdr:row>
                    <xdr:rowOff>0</xdr:rowOff>
                  </to>
                </anchor>
              </controlPr>
            </control>
          </mc:Choice>
        </mc:AlternateContent>
        <mc:AlternateContent xmlns:mc="http://schemas.openxmlformats.org/markup-compatibility/2006">
          <mc:Choice Requires="x14">
            <control shapeId="13348" r:id="rId40" name="Check Box 36">
              <controlPr defaultSize="0" autoFill="0" autoLine="0" autoPict="0">
                <anchor moveWithCells="1" sizeWithCells="1">
                  <from>
                    <xdr:col>4</xdr:col>
                    <xdr:colOff>640080</xdr:colOff>
                    <xdr:row>20</xdr:row>
                    <xdr:rowOff>0</xdr:rowOff>
                  </from>
                  <to>
                    <xdr:col>4</xdr:col>
                    <xdr:colOff>960120</xdr:colOff>
                    <xdr:row>21</xdr:row>
                    <xdr:rowOff>0</xdr:rowOff>
                  </to>
                </anchor>
              </controlPr>
            </control>
          </mc:Choice>
        </mc:AlternateContent>
        <mc:AlternateContent xmlns:mc="http://schemas.openxmlformats.org/markup-compatibility/2006">
          <mc:Choice Requires="x14">
            <control shapeId="13349" r:id="rId41" name="Check Box 37">
              <controlPr defaultSize="0" autoFill="0" autoLine="0" autoPict="0">
                <anchor moveWithCells="1" sizeWithCells="1">
                  <from>
                    <xdr:col>4</xdr:col>
                    <xdr:colOff>0</xdr:colOff>
                    <xdr:row>21</xdr:row>
                    <xdr:rowOff>7620</xdr:rowOff>
                  </from>
                  <to>
                    <xdr:col>4</xdr:col>
                    <xdr:colOff>365760</xdr:colOff>
                    <xdr:row>22</xdr:row>
                    <xdr:rowOff>0</xdr:rowOff>
                  </to>
                </anchor>
              </controlPr>
            </control>
          </mc:Choice>
        </mc:AlternateContent>
        <mc:AlternateContent xmlns:mc="http://schemas.openxmlformats.org/markup-compatibility/2006">
          <mc:Choice Requires="x14">
            <control shapeId="13350" r:id="rId42" name="Check Box 38">
              <controlPr defaultSize="0" autoFill="0" autoLine="0" autoPict="0">
                <anchor moveWithCells="1" sizeWithCells="1">
                  <from>
                    <xdr:col>4</xdr:col>
                    <xdr:colOff>335280</xdr:colOff>
                    <xdr:row>21</xdr:row>
                    <xdr:rowOff>7620</xdr:rowOff>
                  </from>
                  <to>
                    <xdr:col>4</xdr:col>
                    <xdr:colOff>693420</xdr:colOff>
                    <xdr:row>22</xdr:row>
                    <xdr:rowOff>0</xdr:rowOff>
                  </to>
                </anchor>
              </controlPr>
            </control>
          </mc:Choice>
        </mc:AlternateContent>
        <mc:AlternateContent xmlns:mc="http://schemas.openxmlformats.org/markup-compatibility/2006">
          <mc:Choice Requires="x14">
            <control shapeId="13351" r:id="rId43" name="Check Box 39">
              <controlPr defaultSize="0" autoFill="0" autoLine="0" autoPict="0">
                <anchor moveWithCells="1" sizeWithCells="1">
                  <from>
                    <xdr:col>4</xdr:col>
                    <xdr:colOff>640080</xdr:colOff>
                    <xdr:row>21</xdr:row>
                    <xdr:rowOff>7620</xdr:rowOff>
                  </from>
                  <to>
                    <xdr:col>4</xdr:col>
                    <xdr:colOff>960120</xdr:colOff>
                    <xdr:row>22</xdr:row>
                    <xdr:rowOff>0</xdr:rowOff>
                  </to>
                </anchor>
              </controlPr>
            </control>
          </mc:Choice>
        </mc:AlternateContent>
        <mc:AlternateContent xmlns:mc="http://schemas.openxmlformats.org/markup-compatibility/2006">
          <mc:Choice Requires="x14">
            <control shapeId="13352" r:id="rId44" name="Check Box 40">
              <controlPr defaultSize="0" autoFill="0" autoLine="0" autoPict="0">
                <anchor moveWithCells="1" sizeWithCells="1">
                  <from>
                    <xdr:col>4</xdr:col>
                    <xdr:colOff>0</xdr:colOff>
                    <xdr:row>22</xdr:row>
                    <xdr:rowOff>0</xdr:rowOff>
                  </from>
                  <to>
                    <xdr:col>4</xdr:col>
                    <xdr:colOff>365760</xdr:colOff>
                    <xdr:row>23</xdr:row>
                    <xdr:rowOff>0</xdr:rowOff>
                  </to>
                </anchor>
              </controlPr>
            </control>
          </mc:Choice>
        </mc:AlternateContent>
        <mc:AlternateContent xmlns:mc="http://schemas.openxmlformats.org/markup-compatibility/2006">
          <mc:Choice Requires="x14">
            <control shapeId="13353" r:id="rId45" name="Check Box 41">
              <controlPr defaultSize="0" autoFill="0" autoLine="0" autoPict="0">
                <anchor moveWithCells="1" sizeWithCells="1">
                  <from>
                    <xdr:col>4</xdr:col>
                    <xdr:colOff>335280</xdr:colOff>
                    <xdr:row>22</xdr:row>
                    <xdr:rowOff>0</xdr:rowOff>
                  </from>
                  <to>
                    <xdr:col>4</xdr:col>
                    <xdr:colOff>693420</xdr:colOff>
                    <xdr:row>23</xdr:row>
                    <xdr:rowOff>0</xdr:rowOff>
                  </to>
                </anchor>
              </controlPr>
            </control>
          </mc:Choice>
        </mc:AlternateContent>
        <mc:AlternateContent xmlns:mc="http://schemas.openxmlformats.org/markup-compatibility/2006">
          <mc:Choice Requires="x14">
            <control shapeId="13354" r:id="rId46" name="Check Box 42">
              <controlPr defaultSize="0" autoFill="0" autoLine="0" autoPict="0">
                <anchor moveWithCells="1" sizeWithCells="1">
                  <from>
                    <xdr:col>4</xdr:col>
                    <xdr:colOff>640080</xdr:colOff>
                    <xdr:row>22</xdr:row>
                    <xdr:rowOff>0</xdr:rowOff>
                  </from>
                  <to>
                    <xdr:col>4</xdr:col>
                    <xdr:colOff>960120</xdr:colOff>
                    <xdr:row>23</xdr:row>
                    <xdr:rowOff>0</xdr:rowOff>
                  </to>
                </anchor>
              </controlPr>
            </control>
          </mc:Choice>
        </mc:AlternateContent>
        <mc:AlternateContent xmlns:mc="http://schemas.openxmlformats.org/markup-compatibility/2006">
          <mc:Choice Requires="x14">
            <control shapeId="13355" r:id="rId47" name="Check Box 43">
              <controlPr defaultSize="0" autoFill="0" autoLine="0" autoPict="0">
                <anchor moveWithCells="1" sizeWithCells="1">
                  <from>
                    <xdr:col>4</xdr:col>
                    <xdr:colOff>0</xdr:colOff>
                    <xdr:row>23</xdr:row>
                    <xdr:rowOff>0</xdr:rowOff>
                  </from>
                  <to>
                    <xdr:col>4</xdr:col>
                    <xdr:colOff>365760</xdr:colOff>
                    <xdr:row>24</xdr:row>
                    <xdr:rowOff>0</xdr:rowOff>
                  </to>
                </anchor>
              </controlPr>
            </control>
          </mc:Choice>
        </mc:AlternateContent>
        <mc:AlternateContent xmlns:mc="http://schemas.openxmlformats.org/markup-compatibility/2006">
          <mc:Choice Requires="x14">
            <control shapeId="13356" r:id="rId48" name="Check Box 44">
              <controlPr defaultSize="0" autoFill="0" autoLine="0" autoPict="0">
                <anchor moveWithCells="1" sizeWithCells="1">
                  <from>
                    <xdr:col>4</xdr:col>
                    <xdr:colOff>335280</xdr:colOff>
                    <xdr:row>23</xdr:row>
                    <xdr:rowOff>0</xdr:rowOff>
                  </from>
                  <to>
                    <xdr:col>4</xdr:col>
                    <xdr:colOff>693420</xdr:colOff>
                    <xdr:row>24</xdr:row>
                    <xdr:rowOff>0</xdr:rowOff>
                  </to>
                </anchor>
              </controlPr>
            </control>
          </mc:Choice>
        </mc:AlternateContent>
        <mc:AlternateContent xmlns:mc="http://schemas.openxmlformats.org/markup-compatibility/2006">
          <mc:Choice Requires="x14">
            <control shapeId="13357" r:id="rId49" name="Check Box 45">
              <controlPr defaultSize="0" autoFill="0" autoLine="0" autoPict="0">
                <anchor moveWithCells="1" sizeWithCells="1">
                  <from>
                    <xdr:col>4</xdr:col>
                    <xdr:colOff>640080</xdr:colOff>
                    <xdr:row>23</xdr:row>
                    <xdr:rowOff>0</xdr:rowOff>
                  </from>
                  <to>
                    <xdr:col>4</xdr:col>
                    <xdr:colOff>960120</xdr:colOff>
                    <xdr:row>24</xdr:row>
                    <xdr:rowOff>0</xdr:rowOff>
                  </to>
                </anchor>
              </controlPr>
            </control>
          </mc:Choice>
        </mc:AlternateContent>
        <mc:AlternateContent xmlns:mc="http://schemas.openxmlformats.org/markup-compatibility/2006">
          <mc:Choice Requires="x14">
            <control shapeId="13358" r:id="rId50" name="Check Box 46">
              <controlPr defaultSize="0" autoFill="0" autoLine="0" autoPict="0">
                <anchor moveWithCells="1" sizeWithCells="1">
                  <from>
                    <xdr:col>4</xdr:col>
                    <xdr:colOff>0</xdr:colOff>
                    <xdr:row>24</xdr:row>
                    <xdr:rowOff>0</xdr:rowOff>
                  </from>
                  <to>
                    <xdr:col>4</xdr:col>
                    <xdr:colOff>365760</xdr:colOff>
                    <xdr:row>25</xdr:row>
                    <xdr:rowOff>0</xdr:rowOff>
                  </to>
                </anchor>
              </controlPr>
            </control>
          </mc:Choice>
        </mc:AlternateContent>
        <mc:AlternateContent xmlns:mc="http://schemas.openxmlformats.org/markup-compatibility/2006">
          <mc:Choice Requires="x14">
            <control shapeId="13359" r:id="rId51" name="Check Box 47">
              <controlPr defaultSize="0" autoFill="0" autoLine="0" autoPict="0">
                <anchor moveWithCells="1" sizeWithCells="1">
                  <from>
                    <xdr:col>4</xdr:col>
                    <xdr:colOff>335280</xdr:colOff>
                    <xdr:row>24</xdr:row>
                    <xdr:rowOff>0</xdr:rowOff>
                  </from>
                  <to>
                    <xdr:col>4</xdr:col>
                    <xdr:colOff>693420</xdr:colOff>
                    <xdr:row>25</xdr:row>
                    <xdr:rowOff>0</xdr:rowOff>
                  </to>
                </anchor>
              </controlPr>
            </control>
          </mc:Choice>
        </mc:AlternateContent>
        <mc:AlternateContent xmlns:mc="http://schemas.openxmlformats.org/markup-compatibility/2006">
          <mc:Choice Requires="x14">
            <control shapeId="13360" r:id="rId52" name="Check Box 48">
              <controlPr defaultSize="0" autoFill="0" autoLine="0" autoPict="0">
                <anchor moveWithCells="1" sizeWithCells="1">
                  <from>
                    <xdr:col>4</xdr:col>
                    <xdr:colOff>640080</xdr:colOff>
                    <xdr:row>24</xdr:row>
                    <xdr:rowOff>0</xdr:rowOff>
                  </from>
                  <to>
                    <xdr:col>4</xdr:col>
                    <xdr:colOff>960120</xdr:colOff>
                    <xdr:row>25</xdr:row>
                    <xdr:rowOff>0</xdr:rowOff>
                  </to>
                </anchor>
              </controlPr>
            </control>
          </mc:Choice>
        </mc:AlternateContent>
        <mc:AlternateContent xmlns:mc="http://schemas.openxmlformats.org/markup-compatibility/2006">
          <mc:Choice Requires="x14">
            <control shapeId="13361" r:id="rId53" name="Check Box 49">
              <controlPr defaultSize="0" autoFill="0" autoLine="0" autoPict="0">
                <anchor moveWithCells="1" sizeWithCells="1">
                  <from>
                    <xdr:col>4</xdr:col>
                    <xdr:colOff>0</xdr:colOff>
                    <xdr:row>25</xdr:row>
                    <xdr:rowOff>0</xdr:rowOff>
                  </from>
                  <to>
                    <xdr:col>4</xdr:col>
                    <xdr:colOff>365760</xdr:colOff>
                    <xdr:row>26</xdr:row>
                    <xdr:rowOff>0</xdr:rowOff>
                  </to>
                </anchor>
              </controlPr>
            </control>
          </mc:Choice>
        </mc:AlternateContent>
        <mc:AlternateContent xmlns:mc="http://schemas.openxmlformats.org/markup-compatibility/2006">
          <mc:Choice Requires="x14">
            <control shapeId="13362" r:id="rId54" name="Check Box 50">
              <controlPr defaultSize="0" autoFill="0" autoLine="0" autoPict="0">
                <anchor moveWithCells="1" sizeWithCells="1">
                  <from>
                    <xdr:col>4</xdr:col>
                    <xdr:colOff>335280</xdr:colOff>
                    <xdr:row>25</xdr:row>
                    <xdr:rowOff>0</xdr:rowOff>
                  </from>
                  <to>
                    <xdr:col>4</xdr:col>
                    <xdr:colOff>693420</xdr:colOff>
                    <xdr:row>26</xdr:row>
                    <xdr:rowOff>0</xdr:rowOff>
                  </to>
                </anchor>
              </controlPr>
            </control>
          </mc:Choice>
        </mc:AlternateContent>
        <mc:AlternateContent xmlns:mc="http://schemas.openxmlformats.org/markup-compatibility/2006">
          <mc:Choice Requires="x14">
            <control shapeId="13363" r:id="rId55" name="Check Box 51">
              <controlPr defaultSize="0" autoFill="0" autoLine="0" autoPict="0">
                <anchor moveWithCells="1" sizeWithCells="1">
                  <from>
                    <xdr:col>4</xdr:col>
                    <xdr:colOff>640080</xdr:colOff>
                    <xdr:row>25</xdr:row>
                    <xdr:rowOff>0</xdr:rowOff>
                  </from>
                  <to>
                    <xdr:col>4</xdr:col>
                    <xdr:colOff>960120</xdr:colOff>
                    <xdr:row>26</xdr:row>
                    <xdr:rowOff>0</xdr:rowOff>
                  </to>
                </anchor>
              </controlPr>
            </control>
          </mc:Choice>
        </mc:AlternateContent>
        <mc:AlternateContent xmlns:mc="http://schemas.openxmlformats.org/markup-compatibility/2006">
          <mc:Choice Requires="x14">
            <control shapeId="13364" r:id="rId56" name="Check Box 52">
              <controlPr defaultSize="0" autoFill="0" autoLine="0" autoPict="0">
                <anchor moveWithCells="1" sizeWithCells="1">
                  <from>
                    <xdr:col>4</xdr:col>
                    <xdr:colOff>0</xdr:colOff>
                    <xdr:row>26</xdr:row>
                    <xdr:rowOff>0</xdr:rowOff>
                  </from>
                  <to>
                    <xdr:col>4</xdr:col>
                    <xdr:colOff>365760</xdr:colOff>
                    <xdr:row>27</xdr:row>
                    <xdr:rowOff>0</xdr:rowOff>
                  </to>
                </anchor>
              </controlPr>
            </control>
          </mc:Choice>
        </mc:AlternateContent>
        <mc:AlternateContent xmlns:mc="http://schemas.openxmlformats.org/markup-compatibility/2006">
          <mc:Choice Requires="x14">
            <control shapeId="13365" r:id="rId57" name="Check Box 53">
              <controlPr defaultSize="0" autoFill="0" autoLine="0" autoPict="0">
                <anchor moveWithCells="1" sizeWithCells="1">
                  <from>
                    <xdr:col>4</xdr:col>
                    <xdr:colOff>335280</xdr:colOff>
                    <xdr:row>26</xdr:row>
                    <xdr:rowOff>0</xdr:rowOff>
                  </from>
                  <to>
                    <xdr:col>4</xdr:col>
                    <xdr:colOff>693420</xdr:colOff>
                    <xdr:row>27</xdr:row>
                    <xdr:rowOff>0</xdr:rowOff>
                  </to>
                </anchor>
              </controlPr>
            </control>
          </mc:Choice>
        </mc:AlternateContent>
        <mc:AlternateContent xmlns:mc="http://schemas.openxmlformats.org/markup-compatibility/2006">
          <mc:Choice Requires="x14">
            <control shapeId="13366" r:id="rId58" name="Check Box 54">
              <controlPr defaultSize="0" autoFill="0" autoLine="0" autoPict="0">
                <anchor moveWithCells="1" sizeWithCells="1">
                  <from>
                    <xdr:col>4</xdr:col>
                    <xdr:colOff>640080</xdr:colOff>
                    <xdr:row>26</xdr:row>
                    <xdr:rowOff>0</xdr:rowOff>
                  </from>
                  <to>
                    <xdr:col>4</xdr:col>
                    <xdr:colOff>960120</xdr:colOff>
                    <xdr:row>27</xdr:row>
                    <xdr:rowOff>0</xdr:rowOff>
                  </to>
                </anchor>
              </controlPr>
            </control>
          </mc:Choice>
        </mc:AlternateContent>
        <mc:AlternateContent xmlns:mc="http://schemas.openxmlformats.org/markup-compatibility/2006">
          <mc:Choice Requires="x14">
            <control shapeId="13367" r:id="rId59" name="Check Box 55">
              <controlPr defaultSize="0" autoFill="0" autoLine="0" autoPict="0">
                <anchor moveWithCells="1" sizeWithCells="1">
                  <from>
                    <xdr:col>4</xdr:col>
                    <xdr:colOff>0</xdr:colOff>
                    <xdr:row>27</xdr:row>
                    <xdr:rowOff>0</xdr:rowOff>
                  </from>
                  <to>
                    <xdr:col>4</xdr:col>
                    <xdr:colOff>365760</xdr:colOff>
                    <xdr:row>28</xdr:row>
                    <xdr:rowOff>0</xdr:rowOff>
                  </to>
                </anchor>
              </controlPr>
            </control>
          </mc:Choice>
        </mc:AlternateContent>
        <mc:AlternateContent xmlns:mc="http://schemas.openxmlformats.org/markup-compatibility/2006">
          <mc:Choice Requires="x14">
            <control shapeId="13368" r:id="rId60" name="Check Box 56">
              <controlPr defaultSize="0" autoFill="0" autoLine="0" autoPict="0">
                <anchor moveWithCells="1" sizeWithCells="1">
                  <from>
                    <xdr:col>4</xdr:col>
                    <xdr:colOff>335280</xdr:colOff>
                    <xdr:row>27</xdr:row>
                    <xdr:rowOff>0</xdr:rowOff>
                  </from>
                  <to>
                    <xdr:col>4</xdr:col>
                    <xdr:colOff>693420</xdr:colOff>
                    <xdr:row>28</xdr:row>
                    <xdr:rowOff>0</xdr:rowOff>
                  </to>
                </anchor>
              </controlPr>
            </control>
          </mc:Choice>
        </mc:AlternateContent>
        <mc:AlternateContent xmlns:mc="http://schemas.openxmlformats.org/markup-compatibility/2006">
          <mc:Choice Requires="x14">
            <control shapeId="13369" r:id="rId61" name="Check Box 57">
              <controlPr defaultSize="0" autoFill="0" autoLine="0" autoPict="0">
                <anchor moveWithCells="1" sizeWithCells="1">
                  <from>
                    <xdr:col>4</xdr:col>
                    <xdr:colOff>640080</xdr:colOff>
                    <xdr:row>27</xdr:row>
                    <xdr:rowOff>0</xdr:rowOff>
                  </from>
                  <to>
                    <xdr:col>4</xdr:col>
                    <xdr:colOff>960120</xdr:colOff>
                    <xdr:row>28</xdr:row>
                    <xdr:rowOff>0</xdr:rowOff>
                  </to>
                </anchor>
              </controlPr>
            </control>
          </mc:Choice>
        </mc:AlternateContent>
        <mc:AlternateContent xmlns:mc="http://schemas.openxmlformats.org/markup-compatibility/2006">
          <mc:Choice Requires="x14">
            <control shapeId="13370" r:id="rId62" name="Check Box 58">
              <controlPr defaultSize="0" autoFill="0" autoLine="0" autoPict="0">
                <anchor moveWithCells="1" sizeWithCells="1">
                  <from>
                    <xdr:col>4</xdr:col>
                    <xdr:colOff>0</xdr:colOff>
                    <xdr:row>28</xdr:row>
                    <xdr:rowOff>0</xdr:rowOff>
                  </from>
                  <to>
                    <xdr:col>4</xdr:col>
                    <xdr:colOff>365760</xdr:colOff>
                    <xdr:row>29</xdr:row>
                    <xdr:rowOff>0</xdr:rowOff>
                  </to>
                </anchor>
              </controlPr>
            </control>
          </mc:Choice>
        </mc:AlternateContent>
        <mc:AlternateContent xmlns:mc="http://schemas.openxmlformats.org/markup-compatibility/2006">
          <mc:Choice Requires="x14">
            <control shapeId="13371" r:id="rId63" name="Check Box 59">
              <controlPr defaultSize="0" autoFill="0" autoLine="0" autoPict="0">
                <anchor moveWithCells="1" sizeWithCells="1">
                  <from>
                    <xdr:col>4</xdr:col>
                    <xdr:colOff>335280</xdr:colOff>
                    <xdr:row>28</xdr:row>
                    <xdr:rowOff>0</xdr:rowOff>
                  </from>
                  <to>
                    <xdr:col>4</xdr:col>
                    <xdr:colOff>693420</xdr:colOff>
                    <xdr:row>29</xdr:row>
                    <xdr:rowOff>0</xdr:rowOff>
                  </to>
                </anchor>
              </controlPr>
            </control>
          </mc:Choice>
        </mc:AlternateContent>
        <mc:AlternateContent xmlns:mc="http://schemas.openxmlformats.org/markup-compatibility/2006">
          <mc:Choice Requires="x14">
            <control shapeId="13372" r:id="rId64" name="Check Box 60">
              <controlPr defaultSize="0" autoFill="0" autoLine="0" autoPict="0">
                <anchor moveWithCells="1" sizeWithCells="1">
                  <from>
                    <xdr:col>4</xdr:col>
                    <xdr:colOff>640080</xdr:colOff>
                    <xdr:row>28</xdr:row>
                    <xdr:rowOff>0</xdr:rowOff>
                  </from>
                  <to>
                    <xdr:col>4</xdr:col>
                    <xdr:colOff>960120</xdr:colOff>
                    <xdr:row>29</xdr:row>
                    <xdr:rowOff>0</xdr:rowOff>
                  </to>
                </anchor>
              </controlPr>
            </control>
          </mc:Choice>
        </mc:AlternateContent>
        <mc:AlternateContent xmlns:mc="http://schemas.openxmlformats.org/markup-compatibility/2006">
          <mc:Choice Requires="x14">
            <control shapeId="13373" r:id="rId65" name="Check Box 61">
              <controlPr defaultSize="0" autoFill="0" autoLine="0" autoPict="0">
                <anchor moveWithCells="1" sizeWithCells="1">
                  <from>
                    <xdr:col>4</xdr:col>
                    <xdr:colOff>0</xdr:colOff>
                    <xdr:row>29</xdr:row>
                    <xdr:rowOff>0</xdr:rowOff>
                  </from>
                  <to>
                    <xdr:col>4</xdr:col>
                    <xdr:colOff>365760</xdr:colOff>
                    <xdr:row>30</xdr:row>
                    <xdr:rowOff>0</xdr:rowOff>
                  </to>
                </anchor>
              </controlPr>
            </control>
          </mc:Choice>
        </mc:AlternateContent>
        <mc:AlternateContent xmlns:mc="http://schemas.openxmlformats.org/markup-compatibility/2006">
          <mc:Choice Requires="x14">
            <control shapeId="13374" r:id="rId66" name="Check Box 62">
              <controlPr defaultSize="0" autoFill="0" autoLine="0" autoPict="0">
                <anchor moveWithCells="1" sizeWithCells="1">
                  <from>
                    <xdr:col>4</xdr:col>
                    <xdr:colOff>335280</xdr:colOff>
                    <xdr:row>29</xdr:row>
                    <xdr:rowOff>0</xdr:rowOff>
                  </from>
                  <to>
                    <xdr:col>4</xdr:col>
                    <xdr:colOff>693420</xdr:colOff>
                    <xdr:row>30</xdr:row>
                    <xdr:rowOff>0</xdr:rowOff>
                  </to>
                </anchor>
              </controlPr>
            </control>
          </mc:Choice>
        </mc:AlternateContent>
        <mc:AlternateContent xmlns:mc="http://schemas.openxmlformats.org/markup-compatibility/2006">
          <mc:Choice Requires="x14">
            <control shapeId="13375" r:id="rId67" name="Check Box 63">
              <controlPr defaultSize="0" autoFill="0" autoLine="0" autoPict="0">
                <anchor moveWithCells="1" sizeWithCells="1">
                  <from>
                    <xdr:col>4</xdr:col>
                    <xdr:colOff>640080</xdr:colOff>
                    <xdr:row>29</xdr:row>
                    <xdr:rowOff>0</xdr:rowOff>
                  </from>
                  <to>
                    <xdr:col>4</xdr:col>
                    <xdr:colOff>960120</xdr:colOff>
                    <xdr:row>30</xdr:row>
                    <xdr:rowOff>0</xdr:rowOff>
                  </to>
                </anchor>
              </controlPr>
            </control>
          </mc:Choice>
        </mc:AlternateContent>
        <mc:AlternateContent xmlns:mc="http://schemas.openxmlformats.org/markup-compatibility/2006">
          <mc:Choice Requires="x14">
            <control shapeId="13376" r:id="rId68" name="Check Box 64">
              <controlPr defaultSize="0" autoFill="0" autoLine="0" autoPict="0">
                <anchor moveWithCells="1" sizeWithCells="1">
                  <from>
                    <xdr:col>4</xdr:col>
                    <xdr:colOff>0</xdr:colOff>
                    <xdr:row>30</xdr:row>
                    <xdr:rowOff>0</xdr:rowOff>
                  </from>
                  <to>
                    <xdr:col>4</xdr:col>
                    <xdr:colOff>365760</xdr:colOff>
                    <xdr:row>31</xdr:row>
                    <xdr:rowOff>0</xdr:rowOff>
                  </to>
                </anchor>
              </controlPr>
            </control>
          </mc:Choice>
        </mc:AlternateContent>
        <mc:AlternateContent xmlns:mc="http://schemas.openxmlformats.org/markup-compatibility/2006">
          <mc:Choice Requires="x14">
            <control shapeId="13377" r:id="rId69" name="Check Box 65">
              <controlPr defaultSize="0" autoFill="0" autoLine="0" autoPict="0">
                <anchor moveWithCells="1" sizeWithCells="1">
                  <from>
                    <xdr:col>4</xdr:col>
                    <xdr:colOff>335280</xdr:colOff>
                    <xdr:row>30</xdr:row>
                    <xdr:rowOff>0</xdr:rowOff>
                  </from>
                  <to>
                    <xdr:col>4</xdr:col>
                    <xdr:colOff>693420</xdr:colOff>
                    <xdr:row>31</xdr:row>
                    <xdr:rowOff>0</xdr:rowOff>
                  </to>
                </anchor>
              </controlPr>
            </control>
          </mc:Choice>
        </mc:AlternateContent>
        <mc:AlternateContent xmlns:mc="http://schemas.openxmlformats.org/markup-compatibility/2006">
          <mc:Choice Requires="x14">
            <control shapeId="13378" r:id="rId70" name="Check Box 66">
              <controlPr defaultSize="0" autoFill="0" autoLine="0" autoPict="0">
                <anchor moveWithCells="1" sizeWithCells="1">
                  <from>
                    <xdr:col>4</xdr:col>
                    <xdr:colOff>640080</xdr:colOff>
                    <xdr:row>30</xdr:row>
                    <xdr:rowOff>0</xdr:rowOff>
                  </from>
                  <to>
                    <xdr:col>4</xdr:col>
                    <xdr:colOff>960120</xdr:colOff>
                    <xdr:row>31</xdr:row>
                    <xdr:rowOff>0</xdr:rowOff>
                  </to>
                </anchor>
              </controlPr>
            </control>
          </mc:Choice>
        </mc:AlternateContent>
        <mc:AlternateContent xmlns:mc="http://schemas.openxmlformats.org/markup-compatibility/2006">
          <mc:Choice Requires="x14">
            <control shapeId="13379" r:id="rId71" name="Check Box 67">
              <controlPr defaultSize="0" autoFill="0" autoLine="0" autoPict="0">
                <anchor moveWithCells="1" sizeWithCells="1">
                  <from>
                    <xdr:col>4</xdr:col>
                    <xdr:colOff>0</xdr:colOff>
                    <xdr:row>31</xdr:row>
                    <xdr:rowOff>0</xdr:rowOff>
                  </from>
                  <to>
                    <xdr:col>4</xdr:col>
                    <xdr:colOff>365760</xdr:colOff>
                    <xdr:row>32</xdr:row>
                    <xdr:rowOff>0</xdr:rowOff>
                  </to>
                </anchor>
              </controlPr>
            </control>
          </mc:Choice>
        </mc:AlternateContent>
        <mc:AlternateContent xmlns:mc="http://schemas.openxmlformats.org/markup-compatibility/2006">
          <mc:Choice Requires="x14">
            <control shapeId="13380" r:id="rId72" name="Check Box 68">
              <controlPr defaultSize="0" autoFill="0" autoLine="0" autoPict="0">
                <anchor moveWithCells="1" sizeWithCells="1">
                  <from>
                    <xdr:col>4</xdr:col>
                    <xdr:colOff>335280</xdr:colOff>
                    <xdr:row>31</xdr:row>
                    <xdr:rowOff>0</xdr:rowOff>
                  </from>
                  <to>
                    <xdr:col>4</xdr:col>
                    <xdr:colOff>693420</xdr:colOff>
                    <xdr:row>32</xdr:row>
                    <xdr:rowOff>0</xdr:rowOff>
                  </to>
                </anchor>
              </controlPr>
            </control>
          </mc:Choice>
        </mc:AlternateContent>
        <mc:AlternateContent xmlns:mc="http://schemas.openxmlformats.org/markup-compatibility/2006">
          <mc:Choice Requires="x14">
            <control shapeId="13381" r:id="rId73" name="Check Box 69">
              <controlPr defaultSize="0" autoFill="0" autoLine="0" autoPict="0">
                <anchor moveWithCells="1" sizeWithCells="1">
                  <from>
                    <xdr:col>4</xdr:col>
                    <xdr:colOff>640080</xdr:colOff>
                    <xdr:row>31</xdr:row>
                    <xdr:rowOff>0</xdr:rowOff>
                  </from>
                  <to>
                    <xdr:col>4</xdr:col>
                    <xdr:colOff>960120</xdr:colOff>
                    <xdr:row>32</xdr:row>
                    <xdr:rowOff>0</xdr:rowOff>
                  </to>
                </anchor>
              </controlPr>
            </control>
          </mc:Choice>
        </mc:AlternateContent>
        <mc:AlternateContent xmlns:mc="http://schemas.openxmlformats.org/markup-compatibility/2006">
          <mc:Choice Requires="x14">
            <control shapeId="13382" r:id="rId74" name="Check Box 70">
              <controlPr defaultSize="0" autoFill="0" autoLine="0" autoPict="0">
                <anchor moveWithCells="1" sizeWithCells="1">
                  <from>
                    <xdr:col>4</xdr:col>
                    <xdr:colOff>0</xdr:colOff>
                    <xdr:row>32</xdr:row>
                    <xdr:rowOff>0</xdr:rowOff>
                  </from>
                  <to>
                    <xdr:col>4</xdr:col>
                    <xdr:colOff>365760</xdr:colOff>
                    <xdr:row>33</xdr:row>
                    <xdr:rowOff>0</xdr:rowOff>
                  </to>
                </anchor>
              </controlPr>
            </control>
          </mc:Choice>
        </mc:AlternateContent>
        <mc:AlternateContent xmlns:mc="http://schemas.openxmlformats.org/markup-compatibility/2006">
          <mc:Choice Requires="x14">
            <control shapeId="13383" r:id="rId75" name="Check Box 71">
              <controlPr defaultSize="0" autoFill="0" autoLine="0" autoPict="0">
                <anchor moveWithCells="1" sizeWithCells="1">
                  <from>
                    <xdr:col>4</xdr:col>
                    <xdr:colOff>335280</xdr:colOff>
                    <xdr:row>32</xdr:row>
                    <xdr:rowOff>0</xdr:rowOff>
                  </from>
                  <to>
                    <xdr:col>4</xdr:col>
                    <xdr:colOff>693420</xdr:colOff>
                    <xdr:row>33</xdr:row>
                    <xdr:rowOff>0</xdr:rowOff>
                  </to>
                </anchor>
              </controlPr>
            </control>
          </mc:Choice>
        </mc:AlternateContent>
        <mc:AlternateContent xmlns:mc="http://schemas.openxmlformats.org/markup-compatibility/2006">
          <mc:Choice Requires="x14">
            <control shapeId="13384" r:id="rId76" name="Check Box 72">
              <controlPr defaultSize="0" autoFill="0" autoLine="0" autoPict="0">
                <anchor moveWithCells="1" sizeWithCells="1">
                  <from>
                    <xdr:col>4</xdr:col>
                    <xdr:colOff>640080</xdr:colOff>
                    <xdr:row>32</xdr:row>
                    <xdr:rowOff>0</xdr:rowOff>
                  </from>
                  <to>
                    <xdr:col>4</xdr:col>
                    <xdr:colOff>960120</xdr:colOff>
                    <xdr:row>33</xdr:row>
                    <xdr:rowOff>0</xdr:rowOff>
                  </to>
                </anchor>
              </controlPr>
            </control>
          </mc:Choice>
        </mc:AlternateContent>
        <mc:AlternateContent xmlns:mc="http://schemas.openxmlformats.org/markup-compatibility/2006">
          <mc:Choice Requires="x14">
            <control shapeId="13385" r:id="rId77" name="Check Box 73">
              <controlPr defaultSize="0" autoFill="0" autoLine="0" autoPict="0">
                <anchor moveWithCells="1" sizeWithCells="1">
                  <from>
                    <xdr:col>4</xdr:col>
                    <xdr:colOff>0</xdr:colOff>
                    <xdr:row>33</xdr:row>
                    <xdr:rowOff>0</xdr:rowOff>
                  </from>
                  <to>
                    <xdr:col>4</xdr:col>
                    <xdr:colOff>365760</xdr:colOff>
                    <xdr:row>34</xdr:row>
                    <xdr:rowOff>0</xdr:rowOff>
                  </to>
                </anchor>
              </controlPr>
            </control>
          </mc:Choice>
        </mc:AlternateContent>
        <mc:AlternateContent xmlns:mc="http://schemas.openxmlformats.org/markup-compatibility/2006">
          <mc:Choice Requires="x14">
            <control shapeId="13386" r:id="rId78" name="Check Box 74">
              <controlPr defaultSize="0" autoFill="0" autoLine="0" autoPict="0">
                <anchor moveWithCells="1" sizeWithCells="1">
                  <from>
                    <xdr:col>4</xdr:col>
                    <xdr:colOff>335280</xdr:colOff>
                    <xdr:row>33</xdr:row>
                    <xdr:rowOff>0</xdr:rowOff>
                  </from>
                  <to>
                    <xdr:col>4</xdr:col>
                    <xdr:colOff>693420</xdr:colOff>
                    <xdr:row>34</xdr:row>
                    <xdr:rowOff>0</xdr:rowOff>
                  </to>
                </anchor>
              </controlPr>
            </control>
          </mc:Choice>
        </mc:AlternateContent>
        <mc:AlternateContent xmlns:mc="http://schemas.openxmlformats.org/markup-compatibility/2006">
          <mc:Choice Requires="x14">
            <control shapeId="13387" r:id="rId79" name="Check Box 75">
              <controlPr defaultSize="0" autoFill="0" autoLine="0" autoPict="0">
                <anchor moveWithCells="1" sizeWithCells="1">
                  <from>
                    <xdr:col>4</xdr:col>
                    <xdr:colOff>640080</xdr:colOff>
                    <xdr:row>33</xdr:row>
                    <xdr:rowOff>0</xdr:rowOff>
                  </from>
                  <to>
                    <xdr:col>4</xdr:col>
                    <xdr:colOff>960120</xdr:colOff>
                    <xdr:row>34</xdr:row>
                    <xdr:rowOff>0</xdr:rowOff>
                  </to>
                </anchor>
              </controlPr>
            </control>
          </mc:Choice>
        </mc:AlternateContent>
        <mc:AlternateContent xmlns:mc="http://schemas.openxmlformats.org/markup-compatibility/2006">
          <mc:Choice Requires="x14">
            <control shapeId="13388" r:id="rId80" name="Check Box 76">
              <controlPr defaultSize="0" autoFill="0" autoLine="0" autoPict="0">
                <anchor moveWithCells="1" sizeWithCells="1">
                  <from>
                    <xdr:col>4</xdr:col>
                    <xdr:colOff>0</xdr:colOff>
                    <xdr:row>34</xdr:row>
                    <xdr:rowOff>0</xdr:rowOff>
                  </from>
                  <to>
                    <xdr:col>4</xdr:col>
                    <xdr:colOff>365760</xdr:colOff>
                    <xdr:row>35</xdr:row>
                    <xdr:rowOff>0</xdr:rowOff>
                  </to>
                </anchor>
              </controlPr>
            </control>
          </mc:Choice>
        </mc:AlternateContent>
        <mc:AlternateContent xmlns:mc="http://schemas.openxmlformats.org/markup-compatibility/2006">
          <mc:Choice Requires="x14">
            <control shapeId="13389" r:id="rId81" name="Check Box 77">
              <controlPr defaultSize="0" autoFill="0" autoLine="0" autoPict="0">
                <anchor moveWithCells="1" sizeWithCells="1">
                  <from>
                    <xdr:col>4</xdr:col>
                    <xdr:colOff>335280</xdr:colOff>
                    <xdr:row>34</xdr:row>
                    <xdr:rowOff>0</xdr:rowOff>
                  </from>
                  <to>
                    <xdr:col>4</xdr:col>
                    <xdr:colOff>693420</xdr:colOff>
                    <xdr:row>35</xdr:row>
                    <xdr:rowOff>0</xdr:rowOff>
                  </to>
                </anchor>
              </controlPr>
            </control>
          </mc:Choice>
        </mc:AlternateContent>
        <mc:AlternateContent xmlns:mc="http://schemas.openxmlformats.org/markup-compatibility/2006">
          <mc:Choice Requires="x14">
            <control shapeId="13390" r:id="rId82" name="Check Box 78">
              <controlPr defaultSize="0" autoFill="0" autoLine="0" autoPict="0">
                <anchor moveWithCells="1" sizeWithCells="1">
                  <from>
                    <xdr:col>4</xdr:col>
                    <xdr:colOff>640080</xdr:colOff>
                    <xdr:row>34</xdr:row>
                    <xdr:rowOff>0</xdr:rowOff>
                  </from>
                  <to>
                    <xdr:col>4</xdr:col>
                    <xdr:colOff>960120</xdr:colOff>
                    <xdr:row>35</xdr:row>
                    <xdr:rowOff>0</xdr:rowOff>
                  </to>
                </anchor>
              </controlPr>
            </control>
          </mc:Choice>
        </mc:AlternateContent>
        <mc:AlternateContent xmlns:mc="http://schemas.openxmlformats.org/markup-compatibility/2006">
          <mc:Choice Requires="x14">
            <control shapeId="13391" r:id="rId83" name="Check Box 79">
              <controlPr defaultSize="0" autoFill="0" autoLine="0" autoPict="0">
                <anchor moveWithCells="1" sizeWithCells="1">
                  <from>
                    <xdr:col>4</xdr:col>
                    <xdr:colOff>0</xdr:colOff>
                    <xdr:row>35</xdr:row>
                    <xdr:rowOff>0</xdr:rowOff>
                  </from>
                  <to>
                    <xdr:col>4</xdr:col>
                    <xdr:colOff>365760</xdr:colOff>
                    <xdr:row>36</xdr:row>
                    <xdr:rowOff>0</xdr:rowOff>
                  </to>
                </anchor>
              </controlPr>
            </control>
          </mc:Choice>
        </mc:AlternateContent>
        <mc:AlternateContent xmlns:mc="http://schemas.openxmlformats.org/markup-compatibility/2006">
          <mc:Choice Requires="x14">
            <control shapeId="13392" r:id="rId84" name="Check Box 80">
              <controlPr defaultSize="0" autoFill="0" autoLine="0" autoPict="0">
                <anchor moveWithCells="1" sizeWithCells="1">
                  <from>
                    <xdr:col>4</xdr:col>
                    <xdr:colOff>335280</xdr:colOff>
                    <xdr:row>35</xdr:row>
                    <xdr:rowOff>0</xdr:rowOff>
                  </from>
                  <to>
                    <xdr:col>4</xdr:col>
                    <xdr:colOff>693420</xdr:colOff>
                    <xdr:row>36</xdr:row>
                    <xdr:rowOff>0</xdr:rowOff>
                  </to>
                </anchor>
              </controlPr>
            </control>
          </mc:Choice>
        </mc:AlternateContent>
        <mc:AlternateContent xmlns:mc="http://schemas.openxmlformats.org/markup-compatibility/2006">
          <mc:Choice Requires="x14">
            <control shapeId="13393" r:id="rId85" name="Check Box 81">
              <controlPr defaultSize="0" autoFill="0" autoLine="0" autoPict="0">
                <anchor moveWithCells="1" sizeWithCells="1">
                  <from>
                    <xdr:col>4</xdr:col>
                    <xdr:colOff>640080</xdr:colOff>
                    <xdr:row>35</xdr:row>
                    <xdr:rowOff>0</xdr:rowOff>
                  </from>
                  <to>
                    <xdr:col>4</xdr:col>
                    <xdr:colOff>960120</xdr:colOff>
                    <xdr:row>36</xdr:row>
                    <xdr:rowOff>0</xdr:rowOff>
                  </to>
                </anchor>
              </controlPr>
            </control>
          </mc:Choice>
        </mc:AlternateContent>
        <mc:AlternateContent xmlns:mc="http://schemas.openxmlformats.org/markup-compatibility/2006">
          <mc:Choice Requires="x14">
            <control shapeId="13394" r:id="rId86" name="Check Box 82">
              <controlPr defaultSize="0" autoFill="0" autoLine="0" autoPict="0">
                <anchor moveWithCells="1" sizeWithCells="1">
                  <from>
                    <xdr:col>4</xdr:col>
                    <xdr:colOff>0</xdr:colOff>
                    <xdr:row>36</xdr:row>
                    <xdr:rowOff>0</xdr:rowOff>
                  </from>
                  <to>
                    <xdr:col>4</xdr:col>
                    <xdr:colOff>365760</xdr:colOff>
                    <xdr:row>37</xdr:row>
                    <xdr:rowOff>0</xdr:rowOff>
                  </to>
                </anchor>
              </controlPr>
            </control>
          </mc:Choice>
        </mc:AlternateContent>
        <mc:AlternateContent xmlns:mc="http://schemas.openxmlformats.org/markup-compatibility/2006">
          <mc:Choice Requires="x14">
            <control shapeId="13395" r:id="rId87" name="Check Box 83">
              <controlPr defaultSize="0" autoFill="0" autoLine="0" autoPict="0">
                <anchor moveWithCells="1" sizeWithCells="1">
                  <from>
                    <xdr:col>4</xdr:col>
                    <xdr:colOff>335280</xdr:colOff>
                    <xdr:row>36</xdr:row>
                    <xdr:rowOff>0</xdr:rowOff>
                  </from>
                  <to>
                    <xdr:col>4</xdr:col>
                    <xdr:colOff>693420</xdr:colOff>
                    <xdr:row>37</xdr:row>
                    <xdr:rowOff>0</xdr:rowOff>
                  </to>
                </anchor>
              </controlPr>
            </control>
          </mc:Choice>
        </mc:AlternateContent>
        <mc:AlternateContent xmlns:mc="http://schemas.openxmlformats.org/markup-compatibility/2006">
          <mc:Choice Requires="x14">
            <control shapeId="13396" r:id="rId88" name="Check Box 84">
              <controlPr defaultSize="0" autoFill="0" autoLine="0" autoPict="0">
                <anchor moveWithCells="1" sizeWithCells="1">
                  <from>
                    <xdr:col>4</xdr:col>
                    <xdr:colOff>640080</xdr:colOff>
                    <xdr:row>36</xdr:row>
                    <xdr:rowOff>0</xdr:rowOff>
                  </from>
                  <to>
                    <xdr:col>4</xdr:col>
                    <xdr:colOff>960120</xdr:colOff>
                    <xdr:row>37</xdr:row>
                    <xdr:rowOff>0</xdr:rowOff>
                  </to>
                </anchor>
              </controlPr>
            </control>
          </mc:Choice>
        </mc:AlternateContent>
        <mc:AlternateContent xmlns:mc="http://schemas.openxmlformats.org/markup-compatibility/2006">
          <mc:Choice Requires="x14">
            <control shapeId="13397" r:id="rId89" name="Check Box 85">
              <controlPr defaultSize="0" autoFill="0" autoLine="0" autoPict="0">
                <anchor moveWithCells="1" sizeWithCells="1">
                  <from>
                    <xdr:col>4</xdr:col>
                    <xdr:colOff>0</xdr:colOff>
                    <xdr:row>37</xdr:row>
                    <xdr:rowOff>0</xdr:rowOff>
                  </from>
                  <to>
                    <xdr:col>4</xdr:col>
                    <xdr:colOff>365760</xdr:colOff>
                    <xdr:row>38</xdr:row>
                    <xdr:rowOff>0</xdr:rowOff>
                  </to>
                </anchor>
              </controlPr>
            </control>
          </mc:Choice>
        </mc:AlternateContent>
        <mc:AlternateContent xmlns:mc="http://schemas.openxmlformats.org/markup-compatibility/2006">
          <mc:Choice Requires="x14">
            <control shapeId="13398" r:id="rId90" name="Check Box 86">
              <controlPr defaultSize="0" autoFill="0" autoLine="0" autoPict="0">
                <anchor moveWithCells="1" sizeWithCells="1">
                  <from>
                    <xdr:col>4</xdr:col>
                    <xdr:colOff>335280</xdr:colOff>
                    <xdr:row>37</xdr:row>
                    <xdr:rowOff>0</xdr:rowOff>
                  </from>
                  <to>
                    <xdr:col>4</xdr:col>
                    <xdr:colOff>693420</xdr:colOff>
                    <xdr:row>38</xdr:row>
                    <xdr:rowOff>0</xdr:rowOff>
                  </to>
                </anchor>
              </controlPr>
            </control>
          </mc:Choice>
        </mc:AlternateContent>
        <mc:AlternateContent xmlns:mc="http://schemas.openxmlformats.org/markup-compatibility/2006">
          <mc:Choice Requires="x14">
            <control shapeId="13399" r:id="rId91" name="Check Box 87">
              <controlPr defaultSize="0" autoFill="0" autoLine="0" autoPict="0">
                <anchor moveWithCells="1" sizeWithCells="1">
                  <from>
                    <xdr:col>4</xdr:col>
                    <xdr:colOff>640080</xdr:colOff>
                    <xdr:row>37</xdr:row>
                    <xdr:rowOff>0</xdr:rowOff>
                  </from>
                  <to>
                    <xdr:col>4</xdr:col>
                    <xdr:colOff>960120</xdr:colOff>
                    <xdr:row>38</xdr:row>
                    <xdr:rowOff>0</xdr:rowOff>
                  </to>
                </anchor>
              </controlPr>
            </control>
          </mc:Choice>
        </mc:AlternateContent>
        <mc:AlternateContent xmlns:mc="http://schemas.openxmlformats.org/markup-compatibility/2006">
          <mc:Choice Requires="x14">
            <control shapeId="13400" r:id="rId92" name="Check Box 88">
              <controlPr defaultSize="0" autoFill="0" autoLine="0" autoPict="0">
                <anchor moveWithCells="1" sizeWithCells="1">
                  <from>
                    <xdr:col>4</xdr:col>
                    <xdr:colOff>0</xdr:colOff>
                    <xdr:row>38</xdr:row>
                    <xdr:rowOff>0</xdr:rowOff>
                  </from>
                  <to>
                    <xdr:col>4</xdr:col>
                    <xdr:colOff>365760</xdr:colOff>
                    <xdr:row>39</xdr:row>
                    <xdr:rowOff>0</xdr:rowOff>
                  </to>
                </anchor>
              </controlPr>
            </control>
          </mc:Choice>
        </mc:AlternateContent>
        <mc:AlternateContent xmlns:mc="http://schemas.openxmlformats.org/markup-compatibility/2006">
          <mc:Choice Requires="x14">
            <control shapeId="13401" r:id="rId93" name="Check Box 89">
              <controlPr defaultSize="0" autoFill="0" autoLine="0" autoPict="0">
                <anchor moveWithCells="1" sizeWithCells="1">
                  <from>
                    <xdr:col>4</xdr:col>
                    <xdr:colOff>335280</xdr:colOff>
                    <xdr:row>38</xdr:row>
                    <xdr:rowOff>0</xdr:rowOff>
                  </from>
                  <to>
                    <xdr:col>4</xdr:col>
                    <xdr:colOff>693420</xdr:colOff>
                    <xdr:row>39</xdr:row>
                    <xdr:rowOff>0</xdr:rowOff>
                  </to>
                </anchor>
              </controlPr>
            </control>
          </mc:Choice>
        </mc:AlternateContent>
        <mc:AlternateContent xmlns:mc="http://schemas.openxmlformats.org/markup-compatibility/2006">
          <mc:Choice Requires="x14">
            <control shapeId="13402" r:id="rId94" name="Check Box 90">
              <controlPr defaultSize="0" autoFill="0" autoLine="0" autoPict="0">
                <anchor moveWithCells="1" sizeWithCells="1">
                  <from>
                    <xdr:col>4</xdr:col>
                    <xdr:colOff>640080</xdr:colOff>
                    <xdr:row>38</xdr:row>
                    <xdr:rowOff>0</xdr:rowOff>
                  </from>
                  <to>
                    <xdr:col>4</xdr:col>
                    <xdr:colOff>960120</xdr:colOff>
                    <xdr:row>39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560"/>
  <sheetViews>
    <sheetView tabSelected="1" workbookViewId="0"/>
  </sheetViews>
  <sheetFormatPr defaultColWidth="9" defaultRowHeight="15.6"/>
  <cols>
    <col min="1" max="1" width="2.69921875" style="117" customWidth="1"/>
    <col min="2" max="13" width="10.59765625" style="117" customWidth="1"/>
    <col min="14" max="15" width="9" style="117"/>
    <col min="16" max="16" width="10.5" style="117" bestFit="1" customWidth="1"/>
    <col min="17" max="18" width="9" style="117"/>
    <col min="19" max="19" width="10" style="117" bestFit="1" customWidth="1"/>
    <col min="20" max="22" width="9" style="117"/>
    <col min="23" max="23" width="9.69921875" style="117" bestFit="1" customWidth="1"/>
    <col min="24" max="27" width="9" style="117"/>
    <col min="28" max="28" width="9.59765625" style="117" bestFit="1" customWidth="1"/>
    <col min="29" max="16384" width="9" style="117"/>
  </cols>
  <sheetData>
    <row r="1" spans="1:38" ht="16.2" thickTop="1">
      <c r="A1" s="109">
        <v>1</v>
      </c>
      <c r="B1" s="110"/>
      <c r="C1" s="111"/>
      <c r="D1" s="111"/>
      <c r="E1" s="111"/>
      <c r="F1" s="111"/>
      <c r="G1" s="111"/>
      <c r="H1" s="111"/>
      <c r="I1" s="111"/>
      <c r="J1" s="111"/>
      <c r="K1" s="111"/>
      <c r="L1" s="111"/>
      <c r="M1" s="112"/>
      <c r="N1" s="113"/>
      <c r="O1" s="114" t="s">
        <v>813</v>
      </c>
      <c r="P1" s="115"/>
      <c r="Q1" s="115"/>
      <c r="R1" s="115"/>
      <c r="S1" s="115"/>
      <c r="T1" s="115"/>
      <c r="U1" s="115"/>
      <c r="V1" s="115"/>
      <c r="W1" s="115"/>
      <c r="X1" s="115"/>
      <c r="Y1" s="116"/>
      <c r="AA1" s="118" t="s">
        <v>358</v>
      </c>
      <c r="AB1" s="113"/>
      <c r="AC1" s="113"/>
      <c r="AD1" s="113"/>
    </row>
    <row r="2" spans="1:38" ht="20.399999999999999">
      <c r="A2" s="109">
        <v>2</v>
      </c>
      <c r="B2" s="119"/>
      <c r="C2" s="120"/>
      <c r="D2" s="120"/>
      <c r="E2" s="120"/>
      <c r="F2" s="120"/>
      <c r="G2" s="120"/>
      <c r="H2" s="121" t="s">
        <v>0</v>
      </c>
      <c r="I2" s="120"/>
      <c r="J2" s="120"/>
      <c r="K2" s="120"/>
      <c r="L2" s="120"/>
      <c r="M2" s="122"/>
      <c r="N2" s="113"/>
      <c r="O2" s="123"/>
      <c r="P2" s="113"/>
      <c r="Q2" s="113"/>
      <c r="R2" s="113"/>
      <c r="S2" s="113"/>
      <c r="T2" s="124" t="s">
        <v>0</v>
      </c>
      <c r="U2" s="113"/>
      <c r="V2" s="113"/>
      <c r="W2" s="113"/>
      <c r="X2" s="113"/>
      <c r="Y2" s="125"/>
      <c r="AA2" s="126" t="s">
        <v>694</v>
      </c>
      <c r="AB2" s="113"/>
      <c r="AC2" s="113"/>
      <c r="AD2" s="113"/>
    </row>
    <row r="3" spans="1:38" ht="20.399999999999999">
      <c r="A3" s="109">
        <v>3</v>
      </c>
      <c r="B3" s="119"/>
      <c r="C3" s="120"/>
      <c r="D3" s="120"/>
      <c r="E3" s="120"/>
      <c r="F3" s="120"/>
      <c r="G3" s="120"/>
      <c r="H3" s="121" t="s">
        <v>1</v>
      </c>
      <c r="I3" s="120"/>
      <c r="J3" s="120"/>
      <c r="K3" s="120"/>
      <c r="L3" s="120"/>
      <c r="M3" s="122"/>
      <c r="N3" s="113"/>
      <c r="O3" s="123"/>
      <c r="P3" s="113"/>
      <c r="Q3" s="113"/>
      <c r="R3" s="113"/>
      <c r="S3" s="113"/>
      <c r="T3" s="124" t="s">
        <v>1</v>
      </c>
      <c r="U3" s="113"/>
      <c r="V3" s="113"/>
      <c r="W3" s="113"/>
      <c r="X3" s="113"/>
      <c r="Y3" s="125"/>
      <c r="AA3" s="127" t="str">
        <f>IF(AB7="","",AB7)</f>
        <v/>
      </c>
      <c r="AB3" s="113"/>
      <c r="AC3" s="113"/>
      <c r="AD3" s="113"/>
    </row>
    <row r="4" spans="1:38">
      <c r="A4" s="109">
        <v>4</v>
      </c>
      <c r="B4" s="119"/>
      <c r="C4" s="120"/>
      <c r="D4" s="120"/>
      <c r="E4" s="120"/>
      <c r="F4" s="120"/>
      <c r="G4" s="120"/>
      <c r="H4" s="120"/>
      <c r="I4" s="120"/>
      <c r="J4" s="120"/>
      <c r="K4" s="120"/>
      <c r="L4" s="120"/>
      <c r="M4" s="122"/>
      <c r="N4" s="113"/>
      <c r="O4" s="123"/>
      <c r="P4" s="113"/>
      <c r="Q4" s="113"/>
      <c r="R4" s="113"/>
      <c r="S4" s="113"/>
      <c r="T4" s="128"/>
      <c r="U4" s="113"/>
      <c r="V4" s="113"/>
      <c r="W4" s="113"/>
      <c r="X4" s="113"/>
      <c r="Y4" s="125"/>
      <c r="AA4" s="129" t="s">
        <v>359</v>
      </c>
      <c r="AB4" s="130" t="s">
        <v>695</v>
      </c>
      <c r="AC4" s="113"/>
      <c r="AD4" s="113"/>
    </row>
    <row r="5" spans="1:38" ht="20.399999999999999">
      <c r="A5" s="109">
        <v>5</v>
      </c>
      <c r="B5" s="119"/>
      <c r="C5" s="120"/>
      <c r="D5" s="120"/>
      <c r="E5" s="120"/>
      <c r="F5" s="120"/>
      <c r="G5" s="120"/>
      <c r="H5" s="121" t="s">
        <v>2</v>
      </c>
      <c r="I5" s="120"/>
      <c r="J5" s="120"/>
      <c r="K5" s="120"/>
      <c r="L5" s="120"/>
      <c r="M5" s="122"/>
      <c r="N5" s="113"/>
      <c r="O5" s="123"/>
      <c r="P5" s="113"/>
      <c r="Q5" s="113"/>
      <c r="R5" s="113"/>
      <c r="S5" s="113"/>
      <c r="T5" s="124" t="s">
        <v>2</v>
      </c>
      <c r="U5" s="113"/>
      <c r="V5" s="113"/>
      <c r="W5" s="113"/>
      <c r="X5" s="113"/>
      <c r="Y5" s="125"/>
      <c r="AA5" s="113"/>
      <c r="AB5" s="113"/>
      <c r="AC5" s="113"/>
      <c r="AD5" s="113"/>
    </row>
    <row r="6" spans="1:38" ht="16.2" thickBot="1">
      <c r="A6" s="109">
        <v>6</v>
      </c>
      <c r="B6" s="131"/>
      <c r="C6" s="132"/>
      <c r="D6" s="132"/>
      <c r="E6" s="132"/>
      <c r="F6" s="132"/>
      <c r="G6" s="132"/>
      <c r="H6" s="132"/>
      <c r="I6" s="132"/>
      <c r="J6" s="132"/>
      <c r="K6" s="132"/>
      <c r="L6" s="132"/>
      <c r="M6" s="133"/>
      <c r="N6" s="113"/>
      <c r="O6" s="134"/>
      <c r="P6" s="135"/>
      <c r="Q6" s="135"/>
      <c r="R6" s="135"/>
      <c r="S6" s="135"/>
      <c r="T6" s="135"/>
      <c r="U6" s="135"/>
      <c r="V6" s="135"/>
      <c r="W6" s="135"/>
      <c r="X6" s="135"/>
      <c r="Y6" s="136"/>
      <c r="AA6" s="137" t="s">
        <v>360</v>
      </c>
      <c r="AB6" s="113" t="s">
        <v>361</v>
      </c>
      <c r="AC6" s="113"/>
      <c r="AD6" s="113" t="s">
        <v>362</v>
      </c>
    </row>
    <row r="7" spans="1:38" ht="16.2" thickTop="1">
      <c r="A7" s="109">
        <v>7</v>
      </c>
      <c r="B7" s="113"/>
      <c r="C7" s="113"/>
      <c r="D7" s="113"/>
      <c r="E7" s="113"/>
      <c r="F7" s="113"/>
      <c r="G7" s="113"/>
      <c r="H7" s="113"/>
      <c r="I7" s="113"/>
      <c r="J7" s="113"/>
      <c r="K7" s="113"/>
      <c r="L7" s="113"/>
      <c r="M7" s="113"/>
      <c r="N7" s="113"/>
      <c r="O7" s="113" t="s">
        <v>3</v>
      </c>
      <c r="P7" s="480"/>
      <c r="Q7" s="138"/>
      <c r="R7" s="113"/>
      <c r="S7" s="113"/>
      <c r="T7" s="113"/>
      <c r="U7" s="113"/>
      <c r="V7" s="113"/>
      <c r="W7" s="113" t="s">
        <v>4</v>
      </c>
      <c r="X7" s="139" t="str">
        <f>IF(Y7&lt;&gt;"",Y7,IF(AB9="","",AB9))</f>
        <v>Eugene Mah</v>
      </c>
      <c r="Y7" s="140" t="s">
        <v>5</v>
      </c>
      <c r="AA7" s="129" t="s">
        <v>358</v>
      </c>
      <c r="AB7" s="141"/>
      <c r="AC7" s="142" t="str">
        <f t="shared" ref="AC7:AC19" si="0">IF(AB7&lt;&gt;AD7,"Change","")</f>
        <v>Change</v>
      </c>
      <c r="AD7" s="143" t="str">
        <f>IF(OR(AA2="",AA2=0),"",AA2)</f>
        <v>Page1,Page2,Artifact_Coll,AEC_ImgQual,MGD,Gen_HVL</v>
      </c>
    </row>
    <row r="8" spans="1:38" ht="18" thickBot="1">
      <c r="A8" s="109">
        <v>8</v>
      </c>
      <c r="B8" s="113"/>
      <c r="C8" s="113"/>
      <c r="D8" s="113"/>
      <c r="E8" s="113"/>
      <c r="F8" s="113"/>
      <c r="G8" s="144"/>
      <c r="H8" s="144" t="s">
        <v>6</v>
      </c>
      <c r="I8" s="113"/>
      <c r="J8" s="113"/>
      <c r="K8" s="113"/>
      <c r="L8" s="113"/>
      <c r="M8" s="113"/>
      <c r="N8" s="113"/>
      <c r="O8" s="113" t="s">
        <v>7</v>
      </c>
      <c r="P8" s="481" t="str">
        <f>IF(AB8="","",AB8)</f>
        <v/>
      </c>
      <c r="Q8" s="145"/>
      <c r="R8" s="113"/>
      <c r="S8" s="113"/>
      <c r="T8" s="146" t="s">
        <v>6</v>
      </c>
      <c r="U8" s="113"/>
      <c r="V8" s="113"/>
      <c r="W8" s="135"/>
      <c r="X8" s="135"/>
      <c r="Y8" s="147"/>
      <c r="AA8" s="129" t="s">
        <v>363</v>
      </c>
      <c r="AB8" s="482"/>
      <c r="AC8" s="142" t="str">
        <f t="shared" si="0"/>
        <v/>
      </c>
      <c r="AD8" s="483" t="str">
        <f>IF(P7="","",P7)</f>
        <v/>
      </c>
    </row>
    <row r="9" spans="1:38" ht="16.2" thickTop="1">
      <c r="A9" s="109">
        <v>9</v>
      </c>
      <c r="B9" s="148"/>
      <c r="C9" s="149"/>
      <c r="D9" s="150" t="s">
        <v>8</v>
      </c>
      <c r="E9" s="149"/>
      <c r="F9" s="149"/>
      <c r="G9" s="149"/>
      <c r="H9" s="149"/>
      <c r="I9" s="149"/>
      <c r="J9" s="149"/>
      <c r="K9" s="149"/>
      <c r="L9" s="149"/>
      <c r="M9" s="151"/>
      <c r="N9" s="113"/>
      <c r="O9" s="152"/>
      <c r="P9" s="153" t="s">
        <v>8</v>
      </c>
      <c r="Q9" s="115"/>
      <c r="R9" s="115"/>
      <c r="S9" s="154" t="s">
        <v>9</v>
      </c>
      <c r="T9" s="115"/>
      <c r="U9" s="115"/>
      <c r="V9" s="115"/>
      <c r="W9" s="154" t="s">
        <v>9</v>
      </c>
      <c r="X9" s="115"/>
      <c r="Y9" s="116"/>
      <c r="AA9" s="129" t="s">
        <v>364</v>
      </c>
      <c r="AB9" s="155"/>
      <c r="AC9" s="142" t="str">
        <f t="shared" si="0"/>
        <v>Change</v>
      </c>
      <c r="AD9" s="156" t="str">
        <f>IF(X7="","",X7)</f>
        <v>Eugene Mah</v>
      </c>
      <c r="AH9"/>
      <c r="AI9"/>
      <c r="AJ9"/>
      <c r="AK9"/>
      <c r="AL9"/>
    </row>
    <row r="10" spans="1:38">
      <c r="A10" s="109">
        <v>10</v>
      </c>
      <c r="B10" s="157"/>
      <c r="C10" s="113"/>
      <c r="D10" s="113"/>
      <c r="E10" s="129" t="s">
        <v>10</v>
      </c>
      <c r="F10" s="642" t="str">
        <f>IF(R10="","",R10)</f>
        <v/>
      </c>
      <c r="G10" s="642"/>
      <c r="H10" s="113"/>
      <c r="I10" s="113"/>
      <c r="J10" s="129" t="s">
        <v>11</v>
      </c>
      <c r="K10" s="642" t="str">
        <f>IF(V10="","",V10)</f>
        <v/>
      </c>
      <c r="L10" s="642"/>
      <c r="M10" s="158"/>
      <c r="N10" s="113"/>
      <c r="O10" s="123"/>
      <c r="P10" s="113"/>
      <c r="Q10" s="129" t="s">
        <v>10</v>
      </c>
      <c r="R10" s="139" t="str">
        <f>IF(S10&lt;&gt;"",S10,IF(AB10="","",AB10))</f>
        <v/>
      </c>
      <c r="S10" s="140"/>
      <c r="T10" s="113"/>
      <c r="U10" s="129" t="s">
        <v>11</v>
      </c>
      <c r="V10" s="139" t="str">
        <f>IF(W10&lt;&gt;"",W10,IF(AB15="","",AB15))</f>
        <v/>
      </c>
      <c r="W10" s="140"/>
      <c r="X10" s="113"/>
      <c r="Y10" s="125"/>
      <c r="AA10" s="129" t="s">
        <v>10</v>
      </c>
      <c r="AB10" s="155"/>
      <c r="AC10" s="142" t="str">
        <f t="shared" si="0"/>
        <v/>
      </c>
      <c r="AD10" s="156" t="str">
        <f>IF(R10="","",R10)</f>
        <v/>
      </c>
      <c r="AH10"/>
      <c r="AI10"/>
      <c r="AJ10"/>
      <c r="AK10"/>
      <c r="AL10"/>
    </row>
    <row r="11" spans="1:38">
      <c r="A11" s="109">
        <v>11</v>
      </c>
      <c r="B11" s="157"/>
      <c r="C11" s="113"/>
      <c r="D11" s="113"/>
      <c r="E11" s="129" t="s">
        <v>12</v>
      </c>
      <c r="F11" s="643" t="str">
        <f>IF(R11="","",R11)</f>
        <v/>
      </c>
      <c r="G11" s="643"/>
      <c r="H11" s="113"/>
      <c r="I11" s="113"/>
      <c r="J11" s="129" t="s">
        <v>13</v>
      </c>
      <c r="K11" s="642" t="str">
        <f>IF(V11="","",V11)</f>
        <v/>
      </c>
      <c r="L11" s="642"/>
      <c r="M11" s="158"/>
      <c r="N11" s="113"/>
      <c r="O11" s="123"/>
      <c r="P11" s="113"/>
      <c r="Q11" s="129" t="s">
        <v>12</v>
      </c>
      <c r="R11" s="139" t="str">
        <f>IF(S11&lt;&gt;"",S11,IF(AB11="","",AB11))</f>
        <v/>
      </c>
      <c r="S11" s="140"/>
      <c r="T11" s="113"/>
      <c r="U11" s="129" t="s">
        <v>13</v>
      </c>
      <c r="V11" s="139" t="str">
        <f>IF(W11&lt;&gt;"",W11,IF(AB16="","",AB16))</f>
        <v/>
      </c>
      <c r="W11" s="140"/>
      <c r="X11" s="113"/>
      <c r="Y11" s="125"/>
      <c r="AA11" s="129" t="s">
        <v>12</v>
      </c>
      <c r="AB11" s="155"/>
      <c r="AC11" s="142" t="str">
        <f t="shared" si="0"/>
        <v/>
      </c>
      <c r="AD11" s="156" t="str">
        <f>IF(R11="","",R11)</f>
        <v/>
      </c>
      <c r="AH11"/>
      <c r="AI11"/>
      <c r="AJ11"/>
      <c r="AK11"/>
      <c r="AL11"/>
    </row>
    <row r="12" spans="1:38">
      <c r="A12" s="109">
        <v>12</v>
      </c>
      <c r="B12" s="157"/>
      <c r="C12" s="113"/>
      <c r="D12" s="113"/>
      <c r="E12" s="129" t="s">
        <v>14</v>
      </c>
      <c r="F12" s="643" t="str">
        <f>IF(R12="","",R12)</f>
        <v/>
      </c>
      <c r="G12" s="643"/>
      <c r="H12" s="113"/>
      <c r="I12" s="113"/>
      <c r="J12" s="129" t="s">
        <v>15</v>
      </c>
      <c r="K12" s="644" t="str">
        <f>IF(V12="","",V12)</f>
        <v/>
      </c>
      <c r="L12" s="644"/>
      <c r="M12" s="158"/>
      <c r="N12" s="113"/>
      <c r="O12" s="123"/>
      <c r="P12" s="113"/>
      <c r="Q12" s="129" t="s">
        <v>14</v>
      </c>
      <c r="R12" s="139" t="str">
        <f>IF(S12&lt;&gt;"",S12,IF(AB12="","",AB12))</f>
        <v/>
      </c>
      <c r="S12" s="140"/>
      <c r="T12" s="113"/>
      <c r="U12" s="129" t="s">
        <v>15</v>
      </c>
      <c r="V12" s="162" t="str">
        <f>IF(W12&lt;&gt;"",W12,IF(AB17="","",AB17))</f>
        <v/>
      </c>
      <c r="W12" s="163"/>
      <c r="X12" s="113"/>
      <c r="Y12" s="125"/>
      <c r="AA12" s="129" t="s">
        <v>14</v>
      </c>
      <c r="AB12" s="155"/>
      <c r="AC12" s="142" t="str">
        <f t="shared" si="0"/>
        <v/>
      </c>
      <c r="AD12" s="156" t="str">
        <f>IF(R12="","",R12)</f>
        <v/>
      </c>
      <c r="AH12"/>
      <c r="AI12"/>
      <c r="AJ12"/>
      <c r="AK12"/>
      <c r="AL12"/>
    </row>
    <row r="13" spans="1:38">
      <c r="A13" s="109">
        <v>13</v>
      </c>
      <c r="B13" s="157"/>
      <c r="C13" s="113"/>
      <c r="D13" s="113"/>
      <c r="E13" s="129" t="s">
        <v>16</v>
      </c>
      <c r="F13" s="643" t="str">
        <f>IF(R13="","",R13)</f>
        <v/>
      </c>
      <c r="G13" s="643"/>
      <c r="H13" s="113"/>
      <c r="I13" s="113"/>
      <c r="J13" s="129" t="s">
        <v>17</v>
      </c>
      <c r="K13" s="642" t="str">
        <f>IF(V13="","",V13)</f>
        <v/>
      </c>
      <c r="L13" s="642"/>
      <c r="M13" s="158"/>
      <c r="N13" s="113"/>
      <c r="O13" s="123"/>
      <c r="P13" s="113"/>
      <c r="Q13" s="129" t="s">
        <v>16</v>
      </c>
      <c r="R13" s="139" t="str">
        <f>IF(S13&lt;&gt;"",S13,IF(AB13="","",AB13))</f>
        <v/>
      </c>
      <c r="S13" s="140"/>
      <c r="T13" s="113"/>
      <c r="U13" s="129" t="s">
        <v>17</v>
      </c>
      <c r="V13" s="139" t="str">
        <f>IF(W13&lt;&gt;"",W13,IF(AB18="","",AB18))</f>
        <v/>
      </c>
      <c r="W13" s="140"/>
      <c r="X13" s="113"/>
      <c r="Y13" s="125"/>
      <c r="AA13" s="129" t="s">
        <v>16</v>
      </c>
      <c r="AB13" s="155"/>
      <c r="AC13" s="142" t="str">
        <f t="shared" si="0"/>
        <v/>
      </c>
      <c r="AD13" s="156" t="str">
        <f>IF(R13="","",R13)</f>
        <v/>
      </c>
      <c r="AH13"/>
      <c r="AI13"/>
      <c r="AJ13"/>
      <c r="AK13"/>
      <c r="AL13"/>
    </row>
    <row r="14" spans="1:38">
      <c r="A14" s="109">
        <v>14</v>
      </c>
      <c r="B14" s="157"/>
      <c r="C14" s="113"/>
      <c r="D14" s="113"/>
      <c r="E14" s="113"/>
      <c r="F14" s="113"/>
      <c r="G14" s="113"/>
      <c r="H14" s="113"/>
      <c r="I14" s="113"/>
      <c r="J14" s="113"/>
      <c r="K14" s="113"/>
      <c r="L14" s="113"/>
      <c r="M14" s="158"/>
      <c r="N14" s="113"/>
      <c r="O14" s="123"/>
      <c r="P14" s="113"/>
      <c r="Q14" s="129" t="s">
        <v>18</v>
      </c>
      <c r="R14" s="139" t="str">
        <f>IF(S14&lt;&gt;"",S14,IF(AB14="","",AB14))</f>
        <v/>
      </c>
      <c r="S14" s="140"/>
      <c r="T14" s="113"/>
      <c r="U14" s="129" t="s">
        <v>19</v>
      </c>
      <c r="V14" s="139" t="str">
        <f>IF(W14&lt;&gt;"",W14,IF(AB19="","",AB19))</f>
        <v/>
      </c>
      <c r="W14" s="140"/>
      <c r="X14" s="113"/>
      <c r="Y14" s="125"/>
      <c r="AA14" s="129" t="s">
        <v>18</v>
      </c>
      <c r="AB14" s="164"/>
      <c r="AC14" s="142" t="str">
        <f t="shared" si="0"/>
        <v/>
      </c>
      <c r="AD14" s="156" t="str">
        <f>IF(R14="","",R14)</f>
        <v/>
      </c>
      <c r="AH14"/>
      <c r="AI14"/>
      <c r="AJ14"/>
      <c r="AK14"/>
      <c r="AL14"/>
    </row>
    <row r="15" spans="1:38">
      <c r="A15" s="109">
        <v>15</v>
      </c>
      <c r="B15" s="157"/>
      <c r="C15" s="113"/>
      <c r="D15" s="165" t="s">
        <v>20</v>
      </c>
      <c r="E15" s="113"/>
      <c r="F15" s="113"/>
      <c r="G15" s="113"/>
      <c r="H15" s="113"/>
      <c r="I15" s="113"/>
      <c r="J15" s="113"/>
      <c r="K15" s="113"/>
      <c r="L15" s="113"/>
      <c r="M15" s="158"/>
      <c r="N15" s="113"/>
      <c r="O15" s="123"/>
      <c r="P15" s="113"/>
      <c r="Q15" s="113"/>
      <c r="R15" s="113"/>
      <c r="S15" s="113"/>
      <c r="T15" s="113"/>
      <c r="U15" s="113"/>
      <c r="V15" s="113"/>
      <c r="W15" s="113"/>
      <c r="X15" s="113"/>
      <c r="Y15" s="125"/>
      <c r="AA15" s="129" t="s">
        <v>11</v>
      </c>
      <c r="AB15" s="155"/>
      <c r="AC15" s="142" t="str">
        <f t="shared" si="0"/>
        <v/>
      </c>
      <c r="AD15" s="156" t="str">
        <f>IF(V10="","",V10)</f>
        <v/>
      </c>
      <c r="AH15"/>
      <c r="AI15"/>
      <c r="AJ15"/>
      <c r="AK15"/>
      <c r="AL15"/>
    </row>
    <row r="16" spans="1:38">
      <c r="A16" s="109">
        <v>16</v>
      </c>
      <c r="B16" s="157"/>
      <c r="C16" s="113"/>
      <c r="D16" s="113"/>
      <c r="E16" s="129" t="s">
        <v>21</v>
      </c>
      <c r="F16" s="642" t="str">
        <f>IF(R17="","",R17)</f>
        <v/>
      </c>
      <c r="G16" s="642"/>
      <c r="H16" s="113"/>
      <c r="I16" s="113"/>
      <c r="J16" s="129" t="s">
        <v>22</v>
      </c>
      <c r="K16" s="644" t="str">
        <f>IF(V17="","",V17)</f>
        <v/>
      </c>
      <c r="L16" s="644"/>
      <c r="M16" s="158"/>
      <c r="N16" s="113"/>
      <c r="O16" s="123"/>
      <c r="P16" s="165" t="s">
        <v>20</v>
      </c>
      <c r="Q16" s="113"/>
      <c r="R16" s="113"/>
      <c r="S16" s="113"/>
      <c r="T16" s="113"/>
      <c r="U16" s="113"/>
      <c r="V16" s="113"/>
      <c r="W16" s="113"/>
      <c r="X16" s="113"/>
      <c r="Y16" s="125"/>
      <c r="AA16" s="129" t="s">
        <v>13</v>
      </c>
      <c r="AB16" s="155"/>
      <c r="AC16" s="142" t="str">
        <f t="shared" si="0"/>
        <v/>
      </c>
      <c r="AD16" s="156" t="str">
        <f>IF(V11="","",V11)</f>
        <v/>
      </c>
      <c r="AH16"/>
      <c r="AI16"/>
      <c r="AJ16"/>
      <c r="AK16"/>
      <c r="AL16"/>
    </row>
    <row r="17" spans="1:38">
      <c r="A17" s="109">
        <v>17</v>
      </c>
      <c r="B17" s="157"/>
      <c r="C17" s="113"/>
      <c r="D17" s="113"/>
      <c r="E17" s="129" t="s">
        <v>23</v>
      </c>
      <c r="F17" s="642" t="str">
        <f>IF(R18="","",R18)</f>
        <v/>
      </c>
      <c r="G17" s="642"/>
      <c r="H17" s="113"/>
      <c r="I17" s="113"/>
      <c r="J17" s="129" t="s">
        <v>24</v>
      </c>
      <c r="K17" s="642" t="str">
        <f>IF(V18="","",V18)</f>
        <v/>
      </c>
      <c r="L17" s="642"/>
      <c r="M17" s="158"/>
      <c r="N17" s="113"/>
      <c r="O17" s="123"/>
      <c r="P17" s="113"/>
      <c r="Q17" s="129" t="s">
        <v>21</v>
      </c>
      <c r="R17" s="139" t="str">
        <f>IF(S17&lt;&gt;"",S17,IF(AB21="","",AB21))</f>
        <v/>
      </c>
      <c r="S17" s="140"/>
      <c r="T17" s="113"/>
      <c r="U17" s="129" t="s">
        <v>22</v>
      </c>
      <c r="V17" s="162" t="str">
        <f>IF(W17&lt;&gt;"",W17,IF(AB24="","",AB24))</f>
        <v/>
      </c>
      <c r="W17" s="163"/>
      <c r="X17" s="113"/>
      <c r="Y17" s="125"/>
      <c r="AA17" s="129" t="s">
        <v>15</v>
      </c>
      <c r="AB17" s="166"/>
      <c r="AC17" s="142" t="str">
        <f t="shared" si="0"/>
        <v/>
      </c>
      <c r="AD17" s="167" t="str">
        <f>IF(V12="","",V12)</f>
        <v/>
      </c>
      <c r="AH17"/>
      <c r="AI17"/>
      <c r="AJ17"/>
      <c r="AK17"/>
      <c r="AL17"/>
    </row>
    <row r="18" spans="1:38">
      <c r="A18" s="109">
        <v>18</v>
      </c>
      <c r="B18" s="157"/>
      <c r="C18" s="113"/>
      <c r="D18" s="113"/>
      <c r="E18" s="129" t="s">
        <v>25</v>
      </c>
      <c r="F18" s="642" t="str">
        <f>IF(R19="","",R19)</f>
        <v/>
      </c>
      <c r="G18" s="642"/>
      <c r="H18" s="113"/>
      <c r="I18" s="113"/>
      <c r="J18" s="129" t="s">
        <v>26</v>
      </c>
      <c r="K18" s="642" t="str">
        <f>IF(V19="","",V19)</f>
        <v/>
      </c>
      <c r="L18" s="642"/>
      <c r="M18" s="158"/>
      <c r="N18" s="113"/>
      <c r="O18" s="123"/>
      <c r="P18" s="113"/>
      <c r="Q18" s="129" t="s">
        <v>23</v>
      </c>
      <c r="R18" s="139" t="str">
        <f>IF(S18&lt;&gt;"",S18,IF(AB22="","",AB22))</f>
        <v/>
      </c>
      <c r="S18" s="140"/>
      <c r="T18" s="113"/>
      <c r="U18" s="129" t="s">
        <v>24</v>
      </c>
      <c r="V18" s="139" t="str">
        <f>IF(W18&lt;&gt;"",W18,IF(AB25="","",AB25))</f>
        <v/>
      </c>
      <c r="W18" s="140"/>
      <c r="X18" s="113"/>
      <c r="Y18" s="125"/>
      <c r="AA18" s="129" t="s">
        <v>17</v>
      </c>
      <c r="AB18" s="155"/>
      <c r="AC18" s="142" t="str">
        <f t="shared" si="0"/>
        <v/>
      </c>
      <c r="AD18" s="156" t="str">
        <f>IF(V13="","",V13)</f>
        <v/>
      </c>
      <c r="AH18"/>
      <c r="AI18"/>
      <c r="AJ18"/>
      <c r="AK18"/>
      <c r="AL18"/>
    </row>
    <row r="19" spans="1:38">
      <c r="A19" s="109">
        <v>19</v>
      </c>
      <c r="B19" s="157"/>
      <c r="C19" s="113"/>
      <c r="D19" s="113"/>
      <c r="E19" s="113"/>
      <c r="F19" s="113"/>
      <c r="G19" s="113"/>
      <c r="H19" s="113"/>
      <c r="I19" s="113"/>
      <c r="J19" s="113"/>
      <c r="K19" s="113"/>
      <c r="L19" s="113"/>
      <c r="M19" s="158"/>
      <c r="N19" s="113"/>
      <c r="O19" s="123"/>
      <c r="P19" s="113"/>
      <c r="Q19" s="129" t="s">
        <v>25</v>
      </c>
      <c r="R19" s="139" t="str">
        <f>IF(S19&lt;&gt;"",S19,IF(AB23="","",AB23))</f>
        <v/>
      </c>
      <c r="S19" s="140"/>
      <c r="T19" s="113"/>
      <c r="U19" s="129" t="s">
        <v>26</v>
      </c>
      <c r="V19" s="139" t="str">
        <f>IF(W19&lt;&gt;"",W19,IF(AB26="","",AB26))</f>
        <v/>
      </c>
      <c r="W19" s="140"/>
      <c r="X19" s="113"/>
      <c r="Y19" s="125"/>
      <c r="AA19" s="129" t="s">
        <v>365</v>
      </c>
      <c r="AB19" s="155"/>
      <c r="AC19" s="142" t="str">
        <f t="shared" si="0"/>
        <v/>
      </c>
      <c r="AD19" s="156" t="str">
        <f>IF(V14="","",V14)</f>
        <v/>
      </c>
      <c r="AH19"/>
      <c r="AI19"/>
      <c r="AJ19"/>
      <c r="AK19"/>
      <c r="AL19"/>
    </row>
    <row r="20" spans="1:38">
      <c r="A20" s="109">
        <v>20</v>
      </c>
      <c r="B20" s="157"/>
      <c r="C20" s="113"/>
      <c r="D20" s="165" t="s">
        <v>27</v>
      </c>
      <c r="E20" s="113"/>
      <c r="F20" s="113"/>
      <c r="G20" s="113"/>
      <c r="H20" s="113"/>
      <c r="I20" s="113"/>
      <c r="J20" s="172"/>
      <c r="K20" s="113"/>
      <c r="L20" s="113"/>
      <c r="M20" s="158"/>
      <c r="N20" s="113"/>
      <c r="O20" s="123"/>
      <c r="P20" s="113"/>
      <c r="Q20" s="113"/>
      <c r="R20" s="113"/>
      <c r="S20" s="113"/>
      <c r="T20" s="113"/>
      <c r="U20" s="113"/>
      <c r="V20" s="113"/>
      <c r="W20" s="113"/>
      <c r="X20" s="113"/>
      <c r="Y20" s="125"/>
      <c r="AA20" s="137" t="s">
        <v>20</v>
      </c>
      <c r="AB20" s="113"/>
      <c r="AC20" s="113"/>
      <c r="AD20" s="113"/>
      <c r="AH20"/>
      <c r="AI20"/>
      <c r="AJ20"/>
      <c r="AK20"/>
      <c r="AL20"/>
    </row>
    <row r="21" spans="1:38">
      <c r="A21" s="109">
        <v>21</v>
      </c>
      <c r="B21" s="157"/>
      <c r="C21" s="113"/>
      <c r="D21" s="113"/>
      <c r="E21" s="129" t="s">
        <v>28</v>
      </c>
      <c r="F21" s="642" t="str">
        <f>IF(R22="","",R22)</f>
        <v/>
      </c>
      <c r="G21" s="642"/>
      <c r="H21" s="113"/>
      <c r="I21" s="113"/>
      <c r="J21" s="129" t="s">
        <v>29</v>
      </c>
      <c r="K21" s="642" t="str">
        <f>IF(V21="","",V21)</f>
        <v>W</v>
      </c>
      <c r="L21" s="642"/>
      <c r="M21" s="158"/>
      <c r="N21" s="113"/>
      <c r="O21" s="123"/>
      <c r="P21" s="165" t="s">
        <v>27</v>
      </c>
      <c r="Q21" s="113"/>
      <c r="R21" s="113"/>
      <c r="S21" s="113"/>
      <c r="T21" s="113"/>
      <c r="U21" s="165" t="s">
        <v>29</v>
      </c>
      <c r="V21" s="139" t="str">
        <f>IF(W21&lt;&gt;"",W21,IF(AB38="","",AB38))</f>
        <v>W</v>
      </c>
      <c r="W21" s="140" t="s">
        <v>786</v>
      </c>
      <c r="X21" s="113"/>
      <c r="Y21" s="125"/>
      <c r="AA21" s="129" t="s">
        <v>21</v>
      </c>
      <c r="AB21" s="155"/>
      <c r="AC21" s="142" t="str">
        <f t="shared" ref="AC21:AC26" si="1">IF(AB21&lt;&gt;AD21,"Change","")</f>
        <v/>
      </c>
      <c r="AD21" s="156" t="str">
        <f>IF(R17="","",R17)</f>
        <v/>
      </c>
      <c r="AH21"/>
      <c r="AI21"/>
      <c r="AJ21"/>
      <c r="AK21"/>
      <c r="AL21"/>
    </row>
    <row r="22" spans="1:38">
      <c r="A22" s="109">
        <v>22</v>
      </c>
      <c r="B22" s="157"/>
      <c r="C22" s="113"/>
      <c r="D22" s="113"/>
      <c r="E22" s="129" t="s">
        <v>22</v>
      </c>
      <c r="F22" s="644" t="str">
        <f>IF(R23="","",R23)</f>
        <v/>
      </c>
      <c r="G22" s="644"/>
      <c r="H22" s="113"/>
      <c r="I22" s="113"/>
      <c r="J22" s="129"/>
      <c r="K22" s="642" t="str">
        <f>IF(V22="","",V22)</f>
        <v/>
      </c>
      <c r="L22" s="642"/>
      <c r="M22" s="158"/>
      <c r="N22" s="113"/>
      <c r="O22" s="123"/>
      <c r="P22" s="113"/>
      <c r="Q22" s="129" t="s">
        <v>28</v>
      </c>
      <c r="R22" s="139" t="str">
        <f>IF(S22&lt;&gt;"",S22,IF(AB28="","",AB28))</f>
        <v/>
      </c>
      <c r="S22" s="140"/>
      <c r="T22" s="113"/>
      <c r="U22" s="113"/>
      <c r="V22" s="139" t="str">
        <f>IF(W22&lt;&gt;"",W22,IF(AB39="","",AB39))</f>
        <v/>
      </c>
      <c r="W22" s="140"/>
      <c r="X22" s="113"/>
      <c r="Y22" s="125"/>
      <c r="AA22" s="129" t="s">
        <v>23</v>
      </c>
      <c r="AB22" s="155"/>
      <c r="AC22" s="142" t="str">
        <f t="shared" si="1"/>
        <v/>
      </c>
      <c r="AD22" s="156" t="str">
        <f>IF(R18="","",R18)</f>
        <v/>
      </c>
      <c r="AH22"/>
      <c r="AI22"/>
      <c r="AJ22"/>
      <c r="AK22"/>
      <c r="AL22"/>
    </row>
    <row r="23" spans="1:38">
      <c r="A23" s="109">
        <v>23</v>
      </c>
      <c r="B23" s="157"/>
      <c r="C23" s="113"/>
      <c r="D23" s="165" t="s">
        <v>30</v>
      </c>
      <c r="E23" s="113"/>
      <c r="F23" s="113"/>
      <c r="G23" s="113"/>
      <c r="H23" s="113"/>
      <c r="I23" s="113"/>
      <c r="J23" s="129" t="s">
        <v>31</v>
      </c>
      <c r="K23" s="642" t="str">
        <f>IF(V24="","",V24)</f>
        <v>Rh</v>
      </c>
      <c r="L23" s="642"/>
      <c r="M23" s="158"/>
      <c r="N23" s="113"/>
      <c r="O23" s="123"/>
      <c r="P23" s="113"/>
      <c r="Q23" s="129" t="s">
        <v>22</v>
      </c>
      <c r="R23" s="162" t="str">
        <f>IF(S23&lt;&gt;"",S23,IF(AB29="","",AB29))</f>
        <v/>
      </c>
      <c r="S23" s="163"/>
      <c r="T23" s="113"/>
      <c r="U23" s="113"/>
      <c r="V23" s="173"/>
      <c r="W23" s="173"/>
      <c r="X23" s="113"/>
      <c r="Y23" s="125"/>
      <c r="AA23" s="129" t="s">
        <v>25</v>
      </c>
      <c r="AB23" s="155"/>
      <c r="AC23" s="142" t="str">
        <f t="shared" si="1"/>
        <v/>
      </c>
      <c r="AD23" s="156" t="str">
        <f>IF(R19="","",R19)</f>
        <v/>
      </c>
      <c r="AH23"/>
      <c r="AI23"/>
      <c r="AJ23"/>
      <c r="AK23"/>
      <c r="AL23"/>
    </row>
    <row r="24" spans="1:38">
      <c r="A24" s="109">
        <v>24</v>
      </c>
      <c r="B24" s="157"/>
      <c r="C24" s="113"/>
      <c r="D24" s="113"/>
      <c r="E24" s="129" t="s">
        <v>21</v>
      </c>
      <c r="F24" s="642" t="str">
        <f>IF(R25="","",R25)</f>
        <v/>
      </c>
      <c r="G24" s="642"/>
      <c r="H24" s="113"/>
      <c r="I24" s="113"/>
      <c r="J24" s="113"/>
      <c r="K24" s="642" t="str">
        <f>IF(V25="","",V25)</f>
        <v>Ag</v>
      </c>
      <c r="L24" s="642"/>
      <c r="M24" s="158"/>
      <c r="N24" s="113"/>
      <c r="O24" s="123"/>
      <c r="P24" s="165" t="s">
        <v>30</v>
      </c>
      <c r="Q24" s="113"/>
      <c r="R24" s="113"/>
      <c r="S24" s="113"/>
      <c r="T24" s="113"/>
      <c r="U24" s="165" t="s">
        <v>31</v>
      </c>
      <c r="V24" s="139" t="str">
        <f>IF(W24&lt;&gt;"",W24,IF(AB40="","",AB40))</f>
        <v>Rh</v>
      </c>
      <c r="W24" s="140" t="s">
        <v>585</v>
      </c>
      <c r="X24" s="113"/>
      <c r="Y24" s="125"/>
      <c r="AA24" s="129" t="s">
        <v>22</v>
      </c>
      <c r="AB24" s="166"/>
      <c r="AC24" s="142" t="str">
        <f t="shared" si="1"/>
        <v/>
      </c>
      <c r="AD24" s="167" t="str">
        <f>IF(V17="","",V17)</f>
        <v/>
      </c>
      <c r="AH24"/>
      <c r="AI24"/>
      <c r="AJ24"/>
      <c r="AK24"/>
      <c r="AL24"/>
    </row>
    <row r="25" spans="1:38">
      <c r="A25" s="109">
        <v>25</v>
      </c>
      <c r="B25" s="157"/>
      <c r="C25" s="113"/>
      <c r="D25" s="113"/>
      <c r="E25" s="129" t="s">
        <v>23</v>
      </c>
      <c r="F25" s="642" t="str">
        <f>IF(R26="","",R26)</f>
        <v/>
      </c>
      <c r="G25" s="642"/>
      <c r="H25" s="113"/>
      <c r="I25" s="113"/>
      <c r="J25" s="173"/>
      <c r="K25" s="642" t="str">
        <f>IF(V26="","",V26)</f>
        <v>Al</v>
      </c>
      <c r="L25" s="642"/>
      <c r="M25" s="158"/>
      <c r="N25" s="113"/>
      <c r="O25" s="123"/>
      <c r="P25" s="113"/>
      <c r="Q25" s="129" t="s">
        <v>21</v>
      </c>
      <c r="R25" s="139" t="str">
        <f>IF(S25&lt;&gt;"",S25,IF(AB30="","",AB30))</f>
        <v/>
      </c>
      <c r="S25" s="140"/>
      <c r="T25" s="113"/>
      <c r="U25" s="113"/>
      <c r="V25" s="139" t="str">
        <f>IF(W25&lt;&gt;"",W25,IF(AB41="","",AB41))</f>
        <v>Ag</v>
      </c>
      <c r="W25" s="140" t="s">
        <v>788</v>
      </c>
      <c r="X25" s="113"/>
      <c r="Y25" s="125"/>
      <c r="AA25" s="129" t="s">
        <v>24</v>
      </c>
      <c r="AB25" s="155"/>
      <c r="AC25" s="142" t="str">
        <f t="shared" si="1"/>
        <v/>
      </c>
      <c r="AD25" s="156" t="str">
        <f>IF(V18="","",V18)</f>
        <v/>
      </c>
      <c r="AH25"/>
      <c r="AI25"/>
      <c r="AJ25"/>
      <c r="AK25"/>
      <c r="AL25"/>
    </row>
    <row r="26" spans="1:38">
      <c r="A26" s="109">
        <v>26</v>
      </c>
      <c r="B26" s="157"/>
      <c r="C26" s="113"/>
      <c r="D26" s="113"/>
      <c r="E26" s="129" t="s">
        <v>24</v>
      </c>
      <c r="F26" s="642" t="str">
        <f>IF(R27="","",R27)</f>
        <v/>
      </c>
      <c r="G26" s="642"/>
      <c r="H26" s="113"/>
      <c r="I26" s="165" t="s">
        <v>32</v>
      </c>
      <c r="J26" s="173"/>
      <c r="K26" s="173"/>
      <c r="L26" s="173"/>
      <c r="M26" s="158"/>
      <c r="N26" s="113"/>
      <c r="O26" s="123"/>
      <c r="P26" s="113"/>
      <c r="Q26" s="129" t="s">
        <v>23</v>
      </c>
      <c r="R26" s="139" t="str">
        <f>IF(S26&lt;&gt;"",S26,IF(AB31="","",AB31))</f>
        <v/>
      </c>
      <c r="S26" s="140"/>
      <c r="T26" s="113"/>
      <c r="U26" s="113"/>
      <c r="V26" s="139" t="str">
        <f>IF(W26&lt;&gt;"",W26,IF(AB42="","",AB42))</f>
        <v>Al</v>
      </c>
      <c r="W26" s="140" t="s">
        <v>791</v>
      </c>
      <c r="X26" s="113"/>
      <c r="Y26" s="125"/>
      <c r="AA26" s="129" t="s">
        <v>26</v>
      </c>
      <c r="AB26" s="155"/>
      <c r="AC26" s="142" t="str">
        <f t="shared" si="1"/>
        <v/>
      </c>
      <c r="AD26" s="156" t="str">
        <f>IF(V19="","",V19)</f>
        <v/>
      </c>
      <c r="AH26"/>
      <c r="AI26"/>
      <c r="AJ26"/>
      <c r="AK26"/>
      <c r="AL26"/>
    </row>
    <row r="27" spans="1:38">
      <c r="A27" s="109">
        <v>27</v>
      </c>
      <c r="B27" s="157"/>
      <c r="C27" s="113"/>
      <c r="D27" s="165" t="s">
        <v>33</v>
      </c>
      <c r="E27" s="113"/>
      <c r="F27" s="113"/>
      <c r="G27" s="113"/>
      <c r="H27" s="113"/>
      <c r="I27" s="113"/>
      <c r="J27" s="129" t="s">
        <v>34</v>
      </c>
      <c r="K27" s="642" t="str">
        <f>IF(V29="","",V29)</f>
        <v/>
      </c>
      <c r="L27" s="642"/>
      <c r="M27" s="158"/>
      <c r="N27" s="113"/>
      <c r="O27" s="123"/>
      <c r="P27" s="113"/>
      <c r="Q27" s="129" t="s">
        <v>24</v>
      </c>
      <c r="R27" s="139" t="str">
        <f>IF(S27&lt;&gt;"",S27,IF(AB32="","",AB32))</f>
        <v/>
      </c>
      <c r="S27" s="140"/>
      <c r="T27" s="113"/>
      <c r="V27" s="139" t="str">
        <f>IF(W27&lt;&gt;"",W27,IF(AB44="","",AB44))</f>
        <v>Cu</v>
      </c>
      <c r="W27" s="140" t="s">
        <v>789</v>
      </c>
      <c r="X27" s="113"/>
      <c r="Y27" s="125"/>
      <c r="AA27" s="165" t="s">
        <v>27</v>
      </c>
      <c r="AB27" s="113"/>
      <c r="AC27" s="113"/>
      <c r="AD27" s="113"/>
      <c r="AH27"/>
      <c r="AI27"/>
      <c r="AJ27"/>
      <c r="AK27"/>
      <c r="AL27"/>
    </row>
    <row r="28" spans="1:38">
      <c r="A28" s="109">
        <v>28</v>
      </c>
      <c r="B28" s="157"/>
      <c r="C28" s="113"/>
      <c r="D28" s="113"/>
      <c r="E28" s="129" t="s">
        <v>21</v>
      </c>
      <c r="F28" s="642" t="str">
        <f>IF(R29="","",R29)</f>
        <v/>
      </c>
      <c r="G28" s="642"/>
      <c r="H28" s="113"/>
      <c r="I28" s="173"/>
      <c r="J28" s="129" t="s">
        <v>35</v>
      </c>
      <c r="K28" s="642" t="str">
        <f>IF(V30="","",V30)</f>
        <v/>
      </c>
      <c r="L28" s="642"/>
      <c r="M28" s="158"/>
      <c r="N28" s="113"/>
      <c r="O28" s="123"/>
      <c r="P28" s="165" t="s">
        <v>33</v>
      </c>
      <c r="Q28" s="113"/>
      <c r="R28" s="113"/>
      <c r="S28" s="113"/>
      <c r="T28" s="113"/>
      <c r="U28" s="172" t="s">
        <v>32</v>
      </c>
      <c r="V28" s="113"/>
      <c r="W28" s="113"/>
      <c r="X28" s="113"/>
      <c r="Y28" s="125"/>
      <c r="AA28" s="129" t="s">
        <v>28</v>
      </c>
      <c r="AB28" s="155"/>
      <c r="AC28" s="142" t="str">
        <f t="shared" ref="AC28:AC42" si="2">IF(AB28&lt;&gt;AD28,"Change","")</f>
        <v/>
      </c>
      <c r="AD28" s="156" t="str">
        <f>IF(R22="","",R22)</f>
        <v/>
      </c>
      <c r="AH28"/>
      <c r="AI28"/>
      <c r="AJ28"/>
      <c r="AK28"/>
      <c r="AL28"/>
    </row>
    <row r="29" spans="1:38">
      <c r="A29" s="109">
        <v>29</v>
      </c>
      <c r="B29" s="157"/>
      <c r="C29" s="113"/>
      <c r="D29" s="113"/>
      <c r="E29" s="129" t="s">
        <v>23</v>
      </c>
      <c r="F29" s="642" t="str">
        <f>IF(R30="","",R30)</f>
        <v/>
      </c>
      <c r="G29" s="642"/>
      <c r="H29" s="113"/>
      <c r="I29" s="165" t="s">
        <v>36</v>
      </c>
      <c r="J29" s="129" t="s">
        <v>37</v>
      </c>
      <c r="K29" s="642" t="str">
        <f>IF(V33="","",V33)</f>
        <v/>
      </c>
      <c r="L29" s="642"/>
      <c r="M29" s="158"/>
      <c r="N29" s="113"/>
      <c r="O29" s="123"/>
      <c r="P29" s="113"/>
      <c r="Q29" s="129" t="s">
        <v>21</v>
      </c>
      <c r="R29" s="139" t="str">
        <f>IF(S29&lt;&gt;"",S29,IF(AB33="","",AB33))</f>
        <v/>
      </c>
      <c r="S29" s="140"/>
      <c r="T29" s="113"/>
      <c r="U29" s="129" t="s">
        <v>34</v>
      </c>
      <c r="V29" s="139" t="str">
        <f>IF(W29&lt;&gt;"",W29,IF(AB36="","",AB36))</f>
        <v/>
      </c>
      <c r="W29" s="140"/>
      <c r="X29" s="113"/>
      <c r="Y29" s="125"/>
      <c r="AA29" s="129" t="s">
        <v>22</v>
      </c>
      <c r="AB29" s="166"/>
      <c r="AC29" s="142" t="str">
        <f t="shared" si="2"/>
        <v/>
      </c>
      <c r="AD29" s="167" t="str">
        <f>IF(R23="","",R23)</f>
        <v/>
      </c>
      <c r="AH29"/>
      <c r="AI29"/>
      <c r="AJ29"/>
      <c r="AK29"/>
      <c r="AL29"/>
    </row>
    <row r="30" spans="1:38">
      <c r="A30" s="109">
        <v>30</v>
      </c>
      <c r="B30" s="157"/>
      <c r="C30" s="113"/>
      <c r="D30" s="113"/>
      <c r="E30" s="129" t="s">
        <v>24</v>
      </c>
      <c r="F30" s="642" t="str">
        <f>IF(R31="","",R31)</f>
        <v/>
      </c>
      <c r="G30" s="642"/>
      <c r="H30" s="113"/>
      <c r="I30" s="113"/>
      <c r="J30" s="129" t="s">
        <v>38</v>
      </c>
      <c r="K30" s="642" t="str">
        <f>IF(V34="","",V34)</f>
        <v/>
      </c>
      <c r="L30" s="642"/>
      <c r="M30" s="158"/>
      <c r="N30" s="113"/>
      <c r="O30" s="123"/>
      <c r="P30" s="113"/>
      <c r="Q30" s="129" t="s">
        <v>23</v>
      </c>
      <c r="R30" s="139" t="str">
        <f>IF(S30&lt;&gt;"",S30,IF(AB34="","",AB34))</f>
        <v/>
      </c>
      <c r="S30" s="140"/>
      <c r="T30" s="113"/>
      <c r="U30" s="129" t="s">
        <v>35</v>
      </c>
      <c r="V30" s="139" t="str">
        <f>IF(W30&lt;&gt;"",W30,IF(AB37="","",AB37))</f>
        <v/>
      </c>
      <c r="W30" s="140"/>
      <c r="X30" s="113"/>
      <c r="Y30" s="125"/>
      <c r="AA30" s="129" t="s">
        <v>21</v>
      </c>
      <c r="AB30" s="155"/>
      <c r="AC30" s="142" t="str">
        <f t="shared" si="2"/>
        <v/>
      </c>
      <c r="AD30" s="156" t="str">
        <f>IF(R25="","",R25)</f>
        <v/>
      </c>
      <c r="AH30"/>
      <c r="AI30"/>
      <c r="AJ30"/>
      <c r="AK30"/>
      <c r="AL30"/>
    </row>
    <row r="31" spans="1:38" ht="16.2" thickBot="1">
      <c r="A31" s="109">
        <v>31</v>
      </c>
      <c r="B31" s="174"/>
      <c r="C31" s="175"/>
      <c r="D31" s="175"/>
      <c r="E31" s="175"/>
      <c r="F31" s="175"/>
      <c r="G31" s="175"/>
      <c r="H31" s="175"/>
      <c r="I31" s="175"/>
      <c r="J31" s="175"/>
      <c r="K31" s="175"/>
      <c r="L31" s="175"/>
      <c r="M31" s="176"/>
      <c r="N31" s="113"/>
      <c r="O31" s="123"/>
      <c r="P31" s="113"/>
      <c r="Q31" s="129" t="s">
        <v>24</v>
      </c>
      <c r="R31" s="139" t="str">
        <f>IF(S31&lt;&gt;"",S31,IF(AB35="","",AB35))</f>
        <v/>
      </c>
      <c r="S31" s="140"/>
      <c r="T31" s="113"/>
      <c r="U31" s="113"/>
      <c r="V31" s="113"/>
      <c r="W31" s="113"/>
      <c r="X31" s="113"/>
      <c r="Y31" s="125"/>
      <c r="AA31" s="129" t="s">
        <v>23</v>
      </c>
      <c r="AB31" s="155"/>
      <c r="AC31" s="142" t="str">
        <f t="shared" si="2"/>
        <v/>
      </c>
      <c r="AD31" s="156" t="str">
        <f>IF(R26="","",R26)</f>
        <v/>
      </c>
      <c r="AH31"/>
      <c r="AI31"/>
      <c r="AJ31"/>
      <c r="AK31"/>
      <c r="AL31"/>
    </row>
    <row r="32" spans="1:38" ht="16.2" thickTop="1">
      <c r="A32" s="109">
        <v>32</v>
      </c>
      <c r="B32" s="113"/>
      <c r="C32" s="113"/>
      <c r="D32" s="113"/>
      <c r="E32" s="113"/>
      <c r="F32" s="113"/>
      <c r="G32" s="113"/>
      <c r="H32" s="113"/>
      <c r="I32" s="113"/>
      <c r="J32" s="113"/>
      <c r="K32" s="113"/>
      <c r="L32" s="113"/>
      <c r="M32" s="113"/>
      <c r="N32" s="113"/>
      <c r="O32" s="243" t="s">
        <v>764</v>
      </c>
      <c r="P32" s="113"/>
      <c r="Q32" s="113"/>
      <c r="R32" s="113"/>
      <c r="S32" s="113"/>
      <c r="T32" s="113"/>
      <c r="U32" s="165" t="s">
        <v>36</v>
      </c>
      <c r="V32" s="113"/>
      <c r="W32" s="113"/>
      <c r="X32" s="113"/>
      <c r="Y32" s="125"/>
      <c r="AA32" s="129" t="s">
        <v>24</v>
      </c>
      <c r="AB32" s="155"/>
      <c r="AC32" s="142" t="str">
        <f t="shared" si="2"/>
        <v/>
      </c>
      <c r="AD32" s="156" t="str">
        <f>IF(R27="","",R27)</f>
        <v/>
      </c>
      <c r="AH32"/>
      <c r="AI32"/>
      <c r="AJ32"/>
      <c r="AK32"/>
      <c r="AL32"/>
    </row>
    <row r="33" spans="1:38" ht="18" thickBot="1">
      <c r="A33" s="109">
        <v>33</v>
      </c>
      <c r="B33" s="113"/>
      <c r="C33" s="113"/>
      <c r="D33" s="113"/>
      <c r="E33" s="113"/>
      <c r="F33" s="113"/>
      <c r="G33" s="113"/>
      <c r="H33" s="144" t="s">
        <v>39</v>
      </c>
      <c r="I33" s="113"/>
      <c r="J33" s="113"/>
      <c r="K33" s="113"/>
      <c r="L33" s="113"/>
      <c r="M33" s="113"/>
      <c r="N33" s="113"/>
      <c r="O33" s="177"/>
      <c r="P33" s="113" t="s">
        <v>40</v>
      </c>
      <c r="Q33" s="113"/>
      <c r="R33" s="113"/>
      <c r="S33" s="113"/>
      <c r="T33" s="113"/>
      <c r="U33" s="129" t="s">
        <v>37</v>
      </c>
      <c r="V33" s="139" t="str">
        <f>IF(W33&lt;&gt;"",W33,IF(AB44="","",AB44))</f>
        <v/>
      </c>
      <c r="W33" s="140"/>
      <c r="X33" s="113"/>
      <c r="Y33" s="125"/>
      <c r="AA33" s="129" t="s">
        <v>21</v>
      </c>
      <c r="AB33" s="155"/>
      <c r="AC33" s="142" t="str">
        <f t="shared" si="2"/>
        <v/>
      </c>
      <c r="AD33" s="156" t="str">
        <f>IF(R29="","",R29)</f>
        <v/>
      </c>
      <c r="AH33"/>
      <c r="AI33"/>
      <c r="AJ33"/>
      <c r="AK33"/>
      <c r="AL33"/>
    </row>
    <row r="34" spans="1:38" ht="16.8" thickTop="1" thickBot="1">
      <c r="A34" s="109">
        <v>34</v>
      </c>
      <c r="B34" s="148"/>
      <c r="C34" s="149"/>
      <c r="D34" s="149"/>
      <c r="E34" s="149"/>
      <c r="F34" s="149"/>
      <c r="G34" s="149"/>
      <c r="H34" s="149"/>
      <c r="I34" s="149"/>
      <c r="J34" s="149"/>
      <c r="K34" s="149"/>
      <c r="L34" s="149"/>
      <c r="M34" s="151"/>
      <c r="N34" s="113"/>
      <c r="O34" s="177"/>
      <c r="P34" s="113" t="s">
        <v>705</v>
      </c>
      <c r="Q34" s="113"/>
      <c r="R34" s="113"/>
      <c r="S34" s="113"/>
      <c r="T34" s="113"/>
      <c r="U34" s="129" t="s">
        <v>38</v>
      </c>
      <c r="V34" s="139" t="str">
        <f>IF(W34&lt;&gt;"",W34,IF(AB45="","",AB45))</f>
        <v/>
      </c>
      <c r="W34" s="140"/>
      <c r="X34" s="113"/>
      <c r="Y34" s="125"/>
      <c r="AA34" s="129" t="s">
        <v>23</v>
      </c>
      <c r="AB34" s="155"/>
      <c r="AC34" s="142" t="str">
        <f t="shared" si="2"/>
        <v/>
      </c>
      <c r="AD34" s="156" t="str">
        <f>IF(R30="","",R30)</f>
        <v/>
      </c>
      <c r="AH34"/>
      <c r="AI34"/>
      <c r="AJ34"/>
      <c r="AK34"/>
      <c r="AL34"/>
    </row>
    <row r="35" spans="1:38" ht="16.8" thickTop="1" thickBot="1">
      <c r="A35" s="109">
        <v>35</v>
      </c>
      <c r="B35" s="157"/>
      <c r="C35" s="178" t="s">
        <v>41</v>
      </c>
      <c r="D35" s="645" t="s">
        <v>42</v>
      </c>
      <c r="E35" s="645"/>
      <c r="F35" s="645"/>
      <c r="G35" s="646" t="s">
        <v>43</v>
      </c>
      <c r="H35" s="646"/>
      <c r="I35" s="646"/>
      <c r="J35" s="645" t="s">
        <v>44</v>
      </c>
      <c r="K35" s="645"/>
      <c r="L35" s="645"/>
      <c r="M35" s="158"/>
      <c r="N35" s="113"/>
      <c r="O35" s="538"/>
      <c r="P35" s="113" t="s">
        <v>706</v>
      </c>
      <c r="Q35" s="113"/>
      <c r="R35" s="113"/>
      <c r="S35" s="113"/>
      <c r="T35" s="113"/>
      <c r="U35" s="113"/>
      <c r="V35" s="113"/>
      <c r="W35" s="113"/>
      <c r="X35" s="113"/>
      <c r="Y35" s="125"/>
      <c r="AA35" s="129" t="s">
        <v>24</v>
      </c>
      <c r="AB35" s="155"/>
      <c r="AC35" s="142" t="str">
        <f t="shared" si="2"/>
        <v/>
      </c>
      <c r="AD35" s="156" t="str">
        <f>IF(R31="","",R31)</f>
        <v/>
      </c>
      <c r="AH35"/>
      <c r="AI35"/>
      <c r="AJ35"/>
      <c r="AK35"/>
      <c r="AL35"/>
    </row>
    <row r="36" spans="1:38" ht="16.8" thickTop="1" thickBot="1">
      <c r="A36" s="109">
        <v>36</v>
      </c>
      <c r="B36" s="157"/>
      <c r="C36" s="180" t="s">
        <v>45</v>
      </c>
      <c r="D36" s="645"/>
      <c r="E36" s="645"/>
      <c r="F36" s="645"/>
      <c r="G36" s="646"/>
      <c r="H36" s="646"/>
      <c r="I36" s="646"/>
      <c r="J36" s="645"/>
      <c r="K36" s="645"/>
      <c r="L36" s="645"/>
      <c r="M36" s="158"/>
      <c r="N36" s="113"/>
      <c r="O36" s="179"/>
      <c r="P36" s="135" t="s">
        <v>766</v>
      </c>
      <c r="Q36" s="135"/>
      <c r="R36" s="135"/>
      <c r="S36" s="135"/>
      <c r="T36" s="135"/>
      <c r="U36" s="135"/>
      <c r="V36" s="135"/>
      <c r="W36" s="135"/>
      <c r="X36" s="135"/>
      <c r="Y36" s="136"/>
      <c r="AA36" s="129" t="s">
        <v>34</v>
      </c>
      <c r="AB36" s="155"/>
      <c r="AC36" s="142" t="str">
        <f t="shared" si="2"/>
        <v/>
      </c>
      <c r="AD36" s="156" t="str">
        <f>IF(V29="","",V29)</f>
        <v/>
      </c>
      <c r="AH36"/>
      <c r="AI36"/>
      <c r="AJ36"/>
      <c r="AK36"/>
      <c r="AL36"/>
    </row>
    <row r="37" spans="1:38" ht="16.2" thickBot="1">
      <c r="A37" s="109">
        <v>37</v>
      </c>
      <c r="B37" s="157"/>
      <c r="C37" s="180" t="s">
        <v>46</v>
      </c>
      <c r="D37" s="181" t="s">
        <v>47</v>
      </c>
      <c r="E37" s="182" t="s">
        <v>48</v>
      </c>
      <c r="F37" s="183" t="s">
        <v>49</v>
      </c>
      <c r="G37" s="181" t="s">
        <v>47</v>
      </c>
      <c r="H37" s="182" t="s">
        <v>48</v>
      </c>
      <c r="I37" s="183" t="s">
        <v>49</v>
      </c>
      <c r="J37" s="181" t="s">
        <v>47</v>
      </c>
      <c r="K37" s="182" t="s">
        <v>48</v>
      </c>
      <c r="L37" s="183" t="s">
        <v>49</v>
      </c>
      <c r="M37" s="158"/>
      <c r="N37" s="113"/>
      <c r="O37" s="113"/>
      <c r="P37" s="113"/>
      <c r="Q37" s="113"/>
      <c r="R37" s="113"/>
      <c r="S37" s="113"/>
      <c r="T37" s="146" t="s">
        <v>50</v>
      </c>
      <c r="U37" s="113"/>
      <c r="V37" s="113"/>
      <c r="W37" s="113"/>
      <c r="X37" s="113"/>
      <c r="Y37" s="113"/>
      <c r="AA37" s="129" t="s">
        <v>35</v>
      </c>
      <c r="AB37" s="155"/>
      <c r="AC37" s="142" t="str">
        <f t="shared" si="2"/>
        <v/>
      </c>
      <c r="AD37" s="156" t="str">
        <f>IF(V30="","",V30)</f>
        <v/>
      </c>
      <c r="AH37"/>
      <c r="AI37"/>
      <c r="AJ37"/>
      <c r="AK37"/>
      <c r="AL37"/>
    </row>
    <row r="38" spans="1:38" ht="16.2" thickTop="1">
      <c r="A38" s="109">
        <v>38</v>
      </c>
      <c r="B38" s="157"/>
      <c r="C38" s="184" t="s">
        <v>51</v>
      </c>
      <c r="D38" s="185" t="str">
        <f t="shared" ref="D38:L41" si="3">P100</f>
        <v/>
      </c>
      <c r="E38" s="186" t="str">
        <f t="shared" si="3"/>
        <v/>
      </c>
      <c r="F38" s="187" t="str">
        <f t="shared" si="3"/>
        <v/>
      </c>
      <c r="G38" s="185" t="str">
        <f t="shared" si="3"/>
        <v/>
      </c>
      <c r="H38" s="186" t="str">
        <f t="shared" si="3"/>
        <v/>
      </c>
      <c r="I38" s="187" t="str">
        <f t="shared" si="3"/>
        <v/>
      </c>
      <c r="J38" s="185" t="str">
        <f t="shared" si="3"/>
        <v/>
      </c>
      <c r="K38" s="186" t="str">
        <f t="shared" si="3"/>
        <v/>
      </c>
      <c r="L38" s="187" t="str">
        <f t="shared" si="3"/>
        <v/>
      </c>
      <c r="M38" s="158"/>
      <c r="N38" s="113"/>
      <c r="O38" s="188" t="s">
        <v>52</v>
      </c>
      <c r="P38" s="115"/>
      <c r="Q38" s="115"/>
      <c r="R38" s="115"/>
      <c r="S38" s="115"/>
      <c r="T38" s="115"/>
      <c r="U38" s="115"/>
      <c r="V38" s="115"/>
      <c r="W38" s="115"/>
      <c r="X38" s="115"/>
      <c r="Y38" s="116"/>
      <c r="AA38" s="129" t="s">
        <v>366</v>
      </c>
      <c r="AB38" s="155"/>
      <c r="AC38" s="142" t="str">
        <f t="shared" si="2"/>
        <v>Change</v>
      </c>
      <c r="AD38" s="156" t="str">
        <f>IF(V21="","",V21)</f>
        <v>W</v>
      </c>
      <c r="AH38"/>
      <c r="AI38"/>
      <c r="AJ38"/>
      <c r="AK38"/>
      <c r="AL38"/>
    </row>
    <row r="39" spans="1:38">
      <c r="A39" s="109">
        <v>39</v>
      </c>
      <c r="B39" s="157"/>
      <c r="C39" s="189" t="s">
        <v>53</v>
      </c>
      <c r="D39" s="190" t="str">
        <f t="shared" si="3"/>
        <v/>
      </c>
      <c r="E39" s="191" t="str">
        <f t="shared" si="3"/>
        <v/>
      </c>
      <c r="F39" s="192" t="str">
        <f t="shared" si="3"/>
        <v/>
      </c>
      <c r="G39" s="190" t="str">
        <f t="shared" si="3"/>
        <v/>
      </c>
      <c r="H39" s="191" t="str">
        <f t="shared" si="3"/>
        <v/>
      </c>
      <c r="I39" s="192" t="str">
        <f t="shared" si="3"/>
        <v/>
      </c>
      <c r="J39" s="190" t="str">
        <f t="shared" si="3"/>
        <v/>
      </c>
      <c r="K39" s="191" t="str">
        <f t="shared" si="3"/>
        <v/>
      </c>
      <c r="L39" s="192" t="str">
        <f t="shared" si="3"/>
        <v/>
      </c>
      <c r="M39" s="158"/>
      <c r="N39" s="113"/>
      <c r="O39" s="177"/>
      <c r="P39" s="130" t="s">
        <v>54</v>
      </c>
      <c r="Q39" s="113"/>
      <c r="R39" s="113"/>
      <c r="S39" s="113"/>
      <c r="T39" s="113"/>
      <c r="U39" s="113"/>
      <c r="V39" s="113"/>
      <c r="W39" s="113"/>
      <c r="X39" s="113"/>
      <c r="Y39" s="125"/>
      <c r="AA39" s="129" t="s">
        <v>367</v>
      </c>
      <c r="AB39" s="155"/>
      <c r="AC39" s="142" t="str">
        <f t="shared" si="2"/>
        <v/>
      </c>
      <c r="AD39" s="156" t="str">
        <f>IF(V22="","",V22)</f>
        <v/>
      </c>
      <c r="AH39"/>
      <c r="AI39"/>
      <c r="AJ39"/>
      <c r="AK39"/>
      <c r="AL39"/>
    </row>
    <row r="40" spans="1:38">
      <c r="A40" s="109">
        <v>40</v>
      </c>
      <c r="B40" s="157"/>
      <c r="C40" s="189" t="s">
        <v>55</v>
      </c>
      <c r="D40" s="190" t="str">
        <f t="shared" si="3"/>
        <v/>
      </c>
      <c r="E40" s="191" t="str">
        <f t="shared" si="3"/>
        <v/>
      </c>
      <c r="F40" s="192" t="str">
        <f t="shared" si="3"/>
        <v/>
      </c>
      <c r="G40" s="190" t="str">
        <f t="shared" si="3"/>
        <v/>
      </c>
      <c r="H40" s="191" t="str">
        <f t="shared" si="3"/>
        <v/>
      </c>
      <c r="I40" s="192" t="str">
        <f t="shared" si="3"/>
        <v/>
      </c>
      <c r="J40" s="190" t="str">
        <f t="shared" si="3"/>
        <v/>
      </c>
      <c r="K40" s="191" t="str">
        <f t="shared" si="3"/>
        <v/>
      </c>
      <c r="L40" s="192" t="str">
        <f t="shared" si="3"/>
        <v/>
      </c>
      <c r="M40" s="158"/>
      <c r="N40" s="113"/>
      <c r="O40" s="177"/>
      <c r="P40" s="130" t="s">
        <v>767</v>
      </c>
      <c r="Q40" s="113"/>
      <c r="R40" s="113"/>
      <c r="S40" s="113"/>
      <c r="T40" s="113"/>
      <c r="U40" s="113"/>
      <c r="V40" s="113"/>
      <c r="W40" s="113"/>
      <c r="X40" s="113"/>
      <c r="Y40" s="125"/>
      <c r="AA40" s="129" t="s">
        <v>368</v>
      </c>
      <c r="AB40" s="155"/>
      <c r="AC40" s="142" t="str">
        <f t="shared" si="2"/>
        <v>Change</v>
      </c>
      <c r="AD40" s="156" t="str">
        <f>IF(V24="","",V24)</f>
        <v>Rh</v>
      </c>
      <c r="AH40"/>
      <c r="AI40"/>
      <c r="AJ40"/>
      <c r="AK40"/>
      <c r="AL40"/>
    </row>
    <row r="41" spans="1:38" ht="16.2" thickBot="1">
      <c r="A41" s="109">
        <v>41</v>
      </c>
      <c r="B41" s="157"/>
      <c r="C41" s="193" t="s">
        <v>56</v>
      </c>
      <c r="D41" s="194" t="str">
        <f t="shared" si="3"/>
        <v/>
      </c>
      <c r="E41" s="195" t="str">
        <f t="shared" si="3"/>
        <v/>
      </c>
      <c r="F41" s="196" t="str">
        <f t="shared" si="3"/>
        <v/>
      </c>
      <c r="G41" s="194" t="str">
        <f t="shared" si="3"/>
        <v/>
      </c>
      <c r="H41" s="195" t="str">
        <f t="shared" si="3"/>
        <v/>
      </c>
      <c r="I41" s="196" t="str">
        <f t="shared" si="3"/>
        <v/>
      </c>
      <c r="J41" s="194" t="str">
        <f t="shared" si="3"/>
        <v/>
      </c>
      <c r="K41" s="195" t="str">
        <f t="shared" si="3"/>
        <v/>
      </c>
      <c r="L41" s="196" t="str">
        <f t="shared" si="3"/>
        <v/>
      </c>
      <c r="M41" s="158"/>
      <c r="N41" s="113"/>
      <c r="O41" s="177"/>
      <c r="P41" s="130" t="s">
        <v>57</v>
      </c>
      <c r="Q41" s="113"/>
      <c r="R41" s="113"/>
      <c r="S41" s="113"/>
      <c r="T41" s="113"/>
      <c r="U41" s="113"/>
      <c r="V41" s="113"/>
      <c r="W41" s="113"/>
      <c r="X41" s="113"/>
      <c r="Y41" s="125"/>
      <c r="AA41" s="129" t="s">
        <v>369</v>
      </c>
      <c r="AB41" s="155"/>
      <c r="AC41" s="142" t="str">
        <f t="shared" si="2"/>
        <v>Change</v>
      </c>
      <c r="AD41" s="156" t="str">
        <f>IF(V25="","",V25)</f>
        <v>Ag</v>
      </c>
      <c r="AH41"/>
      <c r="AI41"/>
      <c r="AJ41"/>
      <c r="AK41"/>
      <c r="AL41"/>
    </row>
    <row r="42" spans="1:38" ht="16.2" thickTop="1">
      <c r="A42" s="109">
        <v>42</v>
      </c>
      <c r="B42" s="157"/>
      <c r="C42" s="113"/>
      <c r="D42" s="113"/>
      <c r="E42" s="113"/>
      <c r="F42" s="113"/>
      <c r="G42" s="113"/>
      <c r="H42" s="113"/>
      <c r="I42" s="113"/>
      <c r="J42" s="113"/>
      <c r="K42" s="113"/>
      <c r="L42" s="113"/>
      <c r="M42" s="158"/>
      <c r="N42" s="113"/>
      <c r="O42" s="177"/>
      <c r="P42" s="130" t="s">
        <v>58</v>
      </c>
      <c r="Q42" s="113"/>
      <c r="R42" s="113"/>
      <c r="S42" s="113"/>
      <c r="T42" s="113"/>
      <c r="U42" s="113"/>
      <c r="V42" s="113"/>
      <c r="W42" s="113"/>
      <c r="X42" s="113"/>
      <c r="Y42" s="125"/>
      <c r="AA42" s="129" t="s">
        <v>370</v>
      </c>
      <c r="AB42" s="155"/>
      <c r="AC42" s="142" t="str">
        <f t="shared" si="2"/>
        <v>Change</v>
      </c>
      <c r="AD42" s="156" t="str">
        <f>IF(V26="","",V26)</f>
        <v>Al</v>
      </c>
      <c r="AH42"/>
      <c r="AI42"/>
      <c r="AJ42"/>
      <c r="AK42"/>
      <c r="AL42"/>
    </row>
    <row r="43" spans="1:38" ht="17.399999999999999">
      <c r="A43" s="109">
        <v>43</v>
      </c>
      <c r="B43" s="157"/>
      <c r="C43" s="113"/>
      <c r="D43" s="113"/>
      <c r="E43" s="113"/>
      <c r="F43" s="113"/>
      <c r="G43" s="113"/>
      <c r="H43" s="144" t="s">
        <v>50</v>
      </c>
      <c r="I43" s="113"/>
      <c r="J43" s="113"/>
      <c r="K43" s="113"/>
      <c r="L43" s="113"/>
      <c r="M43" s="158"/>
      <c r="N43" s="113"/>
      <c r="O43" s="177"/>
      <c r="P43" s="130" t="s">
        <v>59</v>
      </c>
      <c r="Q43" s="113"/>
      <c r="R43" s="113"/>
      <c r="S43" s="113"/>
      <c r="T43" s="113"/>
      <c r="U43" s="113"/>
      <c r="V43" s="113"/>
      <c r="W43" s="113"/>
      <c r="X43" s="113"/>
      <c r="Y43" s="125"/>
      <c r="AA43" s="129" t="s">
        <v>794</v>
      </c>
      <c r="AB43" s="155"/>
      <c r="AC43" s="142" t="str">
        <f>IF(AB43&lt;&gt;AD43,"Change","")</f>
        <v>Change</v>
      </c>
      <c r="AD43" s="156" t="str">
        <f>IF(V27="","",V27)</f>
        <v>Cu</v>
      </c>
      <c r="AH43"/>
      <c r="AI43"/>
      <c r="AJ43"/>
      <c r="AK43"/>
      <c r="AL43"/>
    </row>
    <row r="44" spans="1:38">
      <c r="A44" s="109">
        <v>44</v>
      </c>
      <c r="B44" s="157"/>
      <c r="C44" s="197" t="s">
        <v>60</v>
      </c>
      <c r="D44" s="113"/>
      <c r="E44" s="113"/>
      <c r="F44" s="113"/>
      <c r="G44" s="113"/>
      <c r="H44" s="113"/>
      <c r="I44" s="113"/>
      <c r="J44" s="113"/>
      <c r="K44" s="113"/>
      <c r="L44" s="647" t="s">
        <v>61</v>
      </c>
      <c r="M44" s="647"/>
      <c r="N44" s="113"/>
      <c r="O44" s="177"/>
      <c r="P44" s="275" t="str">
        <f>IF(OR(O36="",O36=1),"Unit installed as shown on shielding plan","")</f>
        <v>Unit installed as shown on shielding plan</v>
      </c>
      <c r="Q44" s="113"/>
      <c r="R44" s="113"/>
      <c r="S44" s="113"/>
      <c r="T44" s="113"/>
      <c r="U44" s="113"/>
      <c r="V44" s="113"/>
      <c r="W44" s="113"/>
      <c r="X44" s="113"/>
      <c r="Y44" s="125"/>
      <c r="AA44" s="129" t="s">
        <v>37</v>
      </c>
      <c r="AB44" s="155"/>
      <c r="AC44" s="142" t="str">
        <f>IF(AB44&lt;&gt;AD44,"Change","")</f>
        <v/>
      </c>
      <c r="AD44" s="156" t="str">
        <f>IF(V33="","",V33)</f>
        <v/>
      </c>
    </row>
    <row r="45" spans="1:38">
      <c r="A45" s="109">
        <v>45</v>
      </c>
      <c r="B45" s="157"/>
      <c r="C45" s="130" t="s">
        <v>816</v>
      </c>
      <c r="D45" s="113"/>
      <c r="E45" s="130" t="s">
        <v>54</v>
      </c>
      <c r="F45" s="113"/>
      <c r="G45" s="113"/>
      <c r="H45" s="113"/>
      <c r="I45" s="113"/>
      <c r="J45" s="113"/>
      <c r="K45" s="113"/>
      <c r="L45" s="198" t="str">
        <f>IF(O39="","TBD",IF(O39=1,"YES",IF(O39=3,"NA","")))</f>
        <v>TBD</v>
      </c>
      <c r="M45" s="199" t="str">
        <f t="shared" ref="M45:M50" si="4">IF(O39=2,"NO","")</f>
        <v/>
      </c>
      <c r="N45" s="113"/>
      <c r="O45" s="123"/>
      <c r="P45" s="113"/>
      <c r="Q45" s="113"/>
      <c r="R45" s="113"/>
      <c r="S45" s="113"/>
      <c r="T45" s="146" t="s">
        <v>62</v>
      </c>
      <c r="U45" s="113"/>
      <c r="V45" s="113"/>
      <c r="W45" s="113"/>
      <c r="X45" s="113"/>
      <c r="Y45" s="125"/>
      <c r="AA45" s="129" t="s">
        <v>371</v>
      </c>
      <c r="AB45" s="155"/>
      <c r="AC45" s="142" t="str">
        <f>IF(AB45&lt;&gt;AD45,"Change","")</f>
        <v/>
      </c>
      <c r="AD45" s="156" t="str">
        <f>IF(V34="","",V34)</f>
        <v/>
      </c>
    </row>
    <row r="46" spans="1:38">
      <c r="A46" s="109">
        <v>46</v>
      </c>
      <c r="B46" s="157"/>
      <c r="C46" s="130" t="s">
        <v>817</v>
      </c>
      <c r="D46" s="113"/>
      <c r="E46" s="130" t="s">
        <v>767</v>
      </c>
      <c r="F46" s="113"/>
      <c r="G46" s="113"/>
      <c r="H46" s="113"/>
      <c r="I46" s="113"/>
      <c r="J46" s="113"/>
      <c r="K46" s="113"/>
      <c r="L46" s="198" t="str">
        <f>IF(O40="","TBD",IF(O40=1,"YES",IF(O40=3,"NA","")))</f>
        <v>TBD</v>
      </c>
      <c r="M46" s="199" t="str">
        <f t="shared" si="4"/>
        <v/>
      </c>
      <c r="N46" s="113"/>
      <c r="O46" s="177"/>
      <c r="P46" s="113" t="s">
        <v>63</v>
      </c>
      <c r="Q46" s="113"/>
      <c r="R46" s="113"/>
      <c r="S46" s="113"/>
      <c r="T46" s="113"/>
      <c r="U46" s="113"/>
      <c r="V46" s="113"/>
      <c r="W46" s="113"/>
      <c r="X46" s="113"/>
      <c r="Y46" s="125"/>
      <c r="AA46" s="165" t="s">
        <v>39</v>
      </c>
      <c r="AB46" s="113"/>
      <c r="AC46" s="113"/>
      <c r="AD46" s="113"/>
    </row>
    <row r="47" spans="1:38">
      <c r="A47" s="109">
        <v>47</v>
      </c>
      <c r="B47" s="157"/>
      <c r="C47" s="130" t="s">
        <v>818</v>
      </c>
      <c r="D47" s="113"/>
      <c r="E47" s="130" t="s">
        <v>57</v>
      </c>
      <c r="F47" s="113"/>
      <c r="G47" s="113"/>
      <c r="H47" s="113"/>
      <c r="I47" s="113"/>
      <c r="J47" s="113"/>
      <c r="K47" s="113"/>
      <c r="L47" s="198" t="str">
        <f>IF(O41="","TBD",IF(O41=1,"YES",IF(O41=3,"NA","")))</f>
        <v>TBD</v>
      </c>
      <c r="M47" s="199" t="str">
        <f t="shared" si="4"/>
        <v/>
      </c>
      <c r="N47" s="113"/>
      <c r="O47" s="177"/>
      <c r="P47" s="113" t="s">
        <v>64</v>
      </c>
      <c r="Q47" s="113"/>
      <c r="R47" s="113"/>
      <c r="S47" s="113"/>
      <c r="T47" s="113"/>
      <c r="U47" s="113"/>
      <c r="V47" s="113"/>
      <c r="W47" s="113"/>
      <c r="X47" s="113"/>
      <c r="Y47" s="125"/>
      <c r="AA47" s="137" t="s">
        <v>42</v>
      </c>
      <c r="AB47" s="113"/>
      <c r="AC47" s="113"/>
      <c r="AD47" s="113"/>
    </row>
    <row r="48" spans="1:38">
      <c r="A48" s="109">
        <v>48</v>
      </c>
      <c r="B48" s="157"/>
      <c r="C48" s="113"/>
      <c r="D48" s="113"/>
      <c r="E48" s="130" t="s">
        <v>58</v>
      </c>
      <c r="F48" s="113"/>
      <c r="G48" s="113"/>
      <c r="H48" s="113"/>
      <c r="I48" s="113"/>
      <c r="J48" s="113"/>
      <c r="K48" s="113"/>
      <c r="L48" s="198" t="str">
        <f>IF(O42="","TBD",IF(O42=1,"YES",IF(O42=3,"NA","")))</f>
        <v>TBD</v>
      </c>
      <c r="M48" s="199" t="str">
        <f t="shared" si="4"/>
        <v/>
      </c>
      <c r="N48" s="113"/>
      <c r="O48" s="177"/>
      <c r="P48" s="113" t="s">
        <v>65</v>
      </c>
      <c r="Q48" s="113"/>
      <c r="R48" s="113"/>
      <c r="S48" s="113"/>
      <c r="T48" s="113"/>
      <c r="U48" s="113"/>
      <c r="V48" s="113"/>
      <c r="W48" s="113"/>
      <c r="X48" s="113"/>
      <c r="Y48" s="125"/>
      <c r="AA48" s="129" t="s">
        <v>264</v>
      </c>
      <c r="AB48" s="155"/>
      <c r="AC48" s="113" t="str">
        <f t="shared" ref="AC48:AC59" si="5">IF(AB48&lt;&gt;AD48,"Change","")</f>
        <v/>
      </c>
      <c r="AD48" s="156" t="str">
        <f>IF(P100="","",P100)</f>
        <v/>
      </c>
      <c r="AH48"/>
      <c r="AI48"/>
      <c r="AJ48"/>
      <c r="AK48"/>
      <c r="AL48"/>
    </row>
    <row r="49" spans="1:38">
      <c r="A49" s="109">
        <v>49</v>
      </c>
      <c r="B49" s="157"/>
      <c r="C49" s="113"/>
      <c r="D49" s="113"/>
      <c r="E49" s="130" t="s">
        <v>59</v>
      </c>
      <c r="F49" s="113"/>
      <c r="G49" s="113"/>
      <c r="H49" s="113"/>
      <c r="I49" s="113"/>
      <c r="J49" s="113"/>
      <c r="K49" s="113"/>
      <c r="L49" s="198" t="str">
        <f>IF(O43="","TBD",IF(O43=1,"YES",IF(O43=3,"NA","")))</f>
        <v>TBD</v>
      </c>
      <c r="M49" s="199" t="str">
        <f t="shared" si="4"/>
        <v/>
      </c>
      <c r="N49" s="113"/>
      <c r="O49" s="177"/>
      <c r="P49" s="113" t="s">
        <v>66</v>
      </c>
      <c r="Q49" s="113"/>
      <c r="R49" s="113"/>
      <c r="S49" s="113"/>
      <c r="T49" s="113"/>
      <c r="U49" s="113"/>
      <c r="V49" s="113"/>
      <c r="W49" s="113"/>
      <c r="X49" s="113"/>
      <c r="Y49" s="125"/>
      <c r="AA49" s="129" t="s">
        <v>372</v>
      </c>
      <c r="AB49" s="155"/>
      <c r="AC49" s="113" t="str">
        <f t="shared" si="5"/>
        <v/>
      </c>
      <c r="AD49" s="156" t="str">
        <f>IF(Q100="","",Q100)</f>
        <v/>
      </c>
      <c r="AH49"/>
      <c r="AI49"/>
      <c r="AJ49"/>
      <c r="AK49"/>
      <c r="AL49"/>
    </row>
    <row r="50" spans="1:38">
      <c r="A50" s="109">
        <v>50</v>
      </c>
      <c r="B50" s="157"/>
      <c r="C50" s="113"/>
      <c r="D50" s="113"/>
      <c r="E50" s="117" t="str">
        <f>P44</f>
        <v>Unit installed as shown on shielding plan</v>
      </c>
      <c r="L50" s="198" t="str">
        <f>IF(O36=2,"",IF(O44="","TBD",IF(O44=1,"YES",IF(OR(O36=3,O44=3),"NA",""))))</f>
        <v>TBD</v>
      </c>
      <c r="M50" s="199" t="str">
        <f t="shared" si="4"/>
        <v/>
      </c>
      <c r="N50" s="113"/>
      <c r="O50" s="177">
        <v>3</v>
      </c>
      <c r="P50" s="113" t="s">
        <v>67</v>
      </c>
      <c r="Q50" s="113"/>
      <c r="R50" s="113"/>
      <c r="S50" s="113"/>
      <c r="T50" s="113"/>
      <c r="U50" s="113"/>
      <c r="V50" s="113"/>
      <c r="W50" s="113"/>
      <c r="X50" s="113"/>
      <c r="Y50" s="125"/>
      <c r="AA50" s="129" t="s">
        <v>373</v>
      </c>
      <c r="AB50" s="155"/>
      <c r="AC50" s="113" t="str">
        <f t="shared" si="5"/>
        <v/>
      </c>
      <c r="AD50" s="156" t="str">
        <f>IF(R100="","",R100)</f>
        <v/>
      </c>
      <c r="AH50"/>
      <c r="AI50"/>
      <c r="AJ50"/>
      <c r="AK50"/>
      <c r="AL50"/>
    </row>
    <row r="51" spans="1:38">
      <c r="A51" s="109">
        <v>51</v>
      </c>
      <c r="B51" s="157"/>
      <c r="C51" s="113"/>
      <c r="D51" s="113"/>
      <c r="E51" s="113"/>
      <c r="F51" s="113"/>
      <c r="G51" s="113"/>
      <c r="H51" s="146" t="s">
        <v>62</v>
      </c>
      <c r="I51" s="113"/>
      <c r="J51" s="113"/>
      <c r="K51" s="113"/>
      <c r="L51" s="113"/>
      <c r="M51" s="158"/>
      <c r="N51" s="113"/>
      <c r="O51" s="177"/>
      <c r="P51" s="113" t="s">
        <v>68</v>
      </c>
      <c r="Q51" s="113"/>
      <c r="R51" s="113"/>
      <c r="S51" s="113"/>
      <c r="T51" s="113"/>
      <c r="U51" s="113"/>
      <c r="V51" s="113"/>
      <c r="W51" s="113"/>
      <c r="X51" s="113"/>
      <c r="Y51" s="125"/>
      <c r="AA51" s="129" t="s">
        <v>264</v>
      </c>
      <c r="AB51" s="155"/>
      <c r="AC51" s="113" t="str">
        <f t="shared" si="5"/>
        <v/>
      </c>
      <c r="AD51" s="156" t="str">
        <f>IF(P101="","",P101)</f>
        <v/>
      </c>
      <c r="AH51"/>
      <c r="AI51"/>
      <c r="AJ51"/>
      <c r="AK51"/>
      <c r="AL51"/>
    </row>
    <row r="52" spans="1:38">
      <c r="A52" s="109">
        <v>52</v>
      </c>
      <c r="B52" s="157"/>
      <c r="C52" s="113"/>
      <c r="D52" s="113"/>
      <c r="E52" s="113" t="s">
        <v>63</v>
      </c>
      <c r="F52" s="113"/>
      <c r="G52" s="113"/>
      <c r="H52" s="113"/>
      <c r="I52" s="113"/>
      <c r="J52" s="113"/>
      <c r="K52" s="113"/>
      <c r="L52" s="198" t="str">
        <f t="shared" ref="L52:L64" si="6">IF(O46="","TBD",IF(O46=1,"YES",IF(O46=3,"NA","")))</f>
        <v>TBD</v>
      </c>
      <c r="M52" s="199" t="str">
        <f t="shared" ref="M52:M64" si="7">IF(O46=2,"NO","")</f>
        <v/>
      </c>
      <c r="N52" s="113"/>
      <c r="O52" s="200" t="str">
        <f>IF(S132="","",IF(S132="Pass",1,2))</f>
        <v/>
      </c>
      <c r="P52" s="113" t="s">
        <v>69</v>
      </c>
      <c r="Q52" s="113"/>
      <c r="R52" s="113"/>
      <c r="S52" s="113"/>
      <c r="T52" s="113"/>
      <c r="U52" s="113"/>
      <c r="V52" s="113"/>
      <c r="W52" s="113"/>
      <c r="X52" s="113"/>
      <c r="Y52" s="125"/>
      <c r="AA52" s="129" t="s">
        <v>372</v>
      </c>
      <c r="AB52" s="155"/>
      <c r="AC52" s="113" t="str">
        <f t="shared" si="5"/>
        <v/>
      </c>
      <c r="AD52" s="156" t="str">
        <f>IF(Q101="","",Q101)</f>
        <v/>
      </c>
      <c r="AH52"/>
      <c r="AI52"/>
      <c r="AJ52"/>
      <c r="AK52"/>
      <c r="AL52"/>
    </row>
    <row r="53" spans="1:38">
      <c r="A53" s="109">
        <v>53</v>
      </c>
      <c r="B53" s="157"/>
      <c r="C53" s="113"/>
      <c r="D53" s="113"/>
      <c r="E53" s="113" t="s">
        <v>64</v>
      </c>
      <c r="F53" s="113"/>
      <c r="G53" s="113"/>
      <c r="H53" s="113"/>
      <c r="I53" s="113"/>
      <c r="J53" s="113"/>
      <c r="K53" s="113"/>
      <c r="L53" s="198" t="str">
        <f t="shared" si="6"/>
        <v>TBD</v>
      </c>
      <c r="M53" s="199" t="str">
        <f t="shared" si="7"/>
        <v/>
      </c>
      <c r="N53" s="113"/>
      <c r="O53" s="177"/>
      <c r="P53" s="113" t="s">
        <v>70</v>
      </c>
      <c r="Q53" s="113"/>
      <c r="R53" s="113"/>
      <c r="S53" s="113"/>
      <c r="T53" s="113"/>
      <c r="U53" s="113"/>
      <c r="V53" s="113"/>
      <c r="W53" s="113"/>
      <c r="X53" s="113"/>
      <c r="Y53" s="125"/>
      <c r="AA53" s="129" t="s">
        <v>373</v>
      </c>
      <c r="AB53" s="155"/>
      <c r="AC53" s="113" t="str">
        <f t="shared" si="5"/>
        <v/>
      </c>
      <c r="AD53" s="156" t="str">
        <f>IF(R101="","",R101)</f>
        <v/>
      </c>
      <c r="AH53"/>
      <c r="AI53"/>
      <c r="AJ53"/>
      <c r="AK53"/>
      <c r="AL53"/>
    </row>
    <row r="54" spans="1:38">
      <c r="A54" s="109">
        <v>54</v>
      </c>
      <c r="B54" s="157"/>
      <c r="C54" s="113"/>
      <c r="D54" s="113"/>
      <c r="E54" s="113" t="s">
        <v>65</v>
      </c>
      <c r="F54" s="113"/>
      <c r="G54" s="113"/>
      <c r="H54" s="113"/>
      <c r="I54" s="113"/>
      <c r="J54" s="113"/>
      <c r="K54" s="113"/>
      <c r="L54" s="198" t="str">
        <f t="shared" si="6"/>
        <v>TBD</v>
      </c>
      <c r="M54" s="199" t="str">
        <f t="shared" si="7"/>
        <v/>
      </c>
      <c r="N54" s="113"/>
      <c r="O54" s="177"/>
      <c r="P54" s="113" t="s">
        <v>71</v>
      </c>
      <c r="Q54" s="113"/>
      <c r="R54" s="113"/>
      <c r="S54" s="113"/>
      <c r="T54" s="113"/>
      <c r="U54" s="113"/>
      <c r="V54" s="113"/>
      <c r="W54" s="113"/>
      <c r="X54" s="113"/>
      <c r="Y54" s="125"/>
      <c r="AA54" s="129" t="s">
        <v>264</v>
      </c>
      <c r="AB54" s="155"/>
      <c r="AC54" s="113" t="str">
        <f t="shared" si="5"/>
        <v/>
      </c>
      <c r="AD54" s="156" t="str">
        <f>IF(P102="","",P102)</f>
        <v/>
      </c>
      <c r="AH54"/>
      <c r="AI54"/>
      <c r="AJ54"/>
      <c r="AK54"/>
      <c r="AL54"/>
    </row>
    <row r="55" spans="1:38">
      <c r="A55" s="109">
        <v>55</v>
      </c>
      <c r="B55" s="157"/>
      <c r="C55" s="113"/>
      <c r="D55" s="113"/>
      <c r="E55" s="113" t="s">
        <v>66</v>
      </c>
      <c r="F55" s="113"/>
      <c r="G55" s="113"/>
      <c r="H55" s="113"/>
      <c r="I55" s="113"/>
      <c r="J55" s="113"/>
      <c r="K55" s="113"/>
      <c r="L55" s="198" t="str">
        <f t="shared" si="6"/>
        <v>TBD</v>
      </c>
      <c r="M55" s="199" t="str">
        <f t="shared" si="7"/>
        <v/>
      </c>
      <c r="N55" s="113"/>
      <c r="O55" s="177"/>
      <c r="P55" s="113" t="s">
        <v>72</v>
      </c>
      <c r="Q55" s="113"/>
      <c r="R55" s="113"/>
      <c r="S55" s="113"/>
      <c r="T55" s="113"/>
      <c r="U55" s="113"/>
      <c r="V55" s="113"/>
      <c r="W55" s="113"/>
      <c r="X55" s="113"/>
      <c r="Y55" s="125"/>
      <c r="AA55" s="129" t="s">
        <v>372</v>
      </c>
      <c r="AB55" s="155"/>
      <c r="AC55" s="113" t="str">
        <f t="shared" si="5"/>
        <v/>
      </c>
      <c r="AD55" s="156" t="str">
        <f>IF(Q102="","",Q102)</f>
        <v/>
      </c>
      <c r="AH55"/>
      <c r="AI55"/>
      <c r="AJ55"/>
      <c r="AK55"/>
      <c r="AL55"/>
    </row>
    <row r="56" spans="1:38">
      <c r="A56" s="109">
        <v>56</v>
      </c>
      <c r="B56" s="157"/>
      <c r="C56" s="113"/>
      <c r="D56" s="113"/>
      <c r="E56" s="113" t="s">
        <v>67</v>
      </c>
      <c r="F56" s="113"/>
      <c r="G56" s="113"/>
      <c r="H56" s="113"/>
      <c r="I56" s="113"/>
      <c r="J56" s="113"/>
      <c r="K56" s="113"/>
      <c r="L56" s="198" t="str">
        <f t="shared" si="6"/>
        <v>NA</v>
      </c>
      <c r="M56" s="199" t="str">
        <f t="shared" si="7"/>
        <v/>
      </c>
      <c r="N56" s="113"/>
      <c r="O56" s="177"/>
      <c r="P56" s="113" t="s">
        <v>73</v>
      </c>
      <c r="Q56" s="113"/>
      <c r="R56" s="113"/>
      <c r="S56" s="113"/>
      <c r="T56" s="113"/>
      <c r="U56" s="113"/>
      <c r="V56" s="113"/>
      <c r="W56" s="113"/>
      <c r="X56" s="113"/>
      <c r="Y56" s="125"/>
      <c r="AA56" s="129" t="s">
        <v>373</v>
      </c>
      <c r="AB56" s="155"/>
      <c r="AC56" s="113" t="str">
        <f t="shared" si="5"/>
        <v/>
      </c>
      <c r="AD56" s="156" t="str">
        <f>IF(R102="","",R102)</f>
        <v/>
      </c>
      <c r="AH56"/>
      <c r="AI56"/>
      <c r="AJ56"/>
      <c r="AK56"/>
      <c r="AL56"/>
    </row>
    <row r="57" spans="1:38">
      <c r="A57" s="109">
        <v>57</v>
      </c>
      <c r="B57" s="157"/>
      <c r="C57" s="113"/>
      <c r="D57" s="113"/>
      <c r="E57" s="113" t="s">
        <v>68</v>
      </c>
      <c r="F57" s="113"/>
      <c r="G57" s="113"/>
      <c r="H57" s="113"/>
      <c r="I57" s="113"/>
      <c r="J57" s="113"/>
      <c r="K57" s="113"/>
      <c r="L57" s="198" t="str">
        <f t="shared" si="6"/>
        <v>TBD</v>
      </c>
      <c r="M57" s="199" t="str">
        <f t="shared" si="7"/>
        <v/>
      </c>
      <c r="N57" s="113"/>
      <c r="O57" s="177"/>
      <c r="P57" s="113" t="s">
        <v>74</v>
      </c>
      <c r="Q57" s="113"/>
      <c r="R57" s="113"/>
      <c r="S57" s="113"/>
      <c r="T57" s="113"/>
      <c r="U57" s="113"/>
      <c r="V57" s="113"/>
      <c r="W57" s="113"/>
      <c r="X57" s="113"/>
      <c r="Y57" s="125"/>
      <c r="AA57" s="129" t="s">
        <v>264</v>
      </c>
      <c r="AB57" s="155"/>
      <c r="AC57" s="113" t="str">
        <f t="shared" si="5"/>
        <v/>
      </c>
      <c r="AD57" s="156" t="str">
        <f>IF(P103="","",P103)</f>
        <v/>
      </c>
      <c r="AH57"/>
      <c r="AI57"/>
      <c r="AJ57"/>
      <c r="AK57"/>
      <c r="AL57"/>
    </row>
    <row r="58" spans="1:38">
      <c r="A58" s="109">
        <v>58</v>
      </c>
      <c r="B58" s="157"/>
      <c r="C58" s="113"/>
      <c r="D58" s="113"/>
      <c r="E58" s="113" t="s">
        <v>69</v>
      </c>
      <c r="F58" s="113"/>
      <c r="G58" s="113"/>
      <c r="H58" s="113"/>
      <c r="I58" s="113"/>
      <c r="J58" s="113"/>
      <c r="K58" s="113"/>
      <c r="L58" s="198" t="str">
        <f t="shared" si="6"/>
        <v>TBD</v>
      </c>
      <c r="M58" s="199" t="str">
        <f t="shared" si="7"/>
        <v/>
      </c>
      <c r="N58" s="113"/>
      <c r="O58" s="177"/>
      <c r="P58" s="113" t="s">
        <v>75</v>
      </c>
      <c r="Q58" s="113"/>
      <c r="R58" s="113"/>
      <c r="S58" s="113"/>
      <c r="T58" s="113"/>
      <c r="U58" s="113"/>
      <c r="V58" s="113"/>
      <c r="W58" s="113"/>
      <c r="X58" s="113"/>
      <c r="Y58" s="125"/>
      <c r="AA58" s="129" t="s">
        <v>372</v>
      </c>
      <c r="AB58" s="155"/>
      <c r="AC58" s="113" t="str">
        <f t="shared" si="5"/>
        <v/>
      </c>
      <c r="AD58" s="156" t="str">
        <f>IF(Q103="","",Q103)</f>
        <v/>
      </c>
      <c r="AH58"/>
      <c r="AI58"/>
      <c r="AJ58"/>
      <c r="AK58"/>
      <c r="AL58"/>
    </row>
    <row r="59" spans="1:38">
      <c r="A59" s="109">
        <v>59</v>
      </c>
      <c r="B59" s="157"/>
      <c r="C59" s="113"/>
      <c r="D59" s="113"/>
      <c r="E59" s="113" t="s">
        <v>70</v>
      </c>
      <c r="F59" s="113"/>
      <c r="G59" s="113"/>
      <c r="H59" s="113"/>
      <c r="I59" s="113"/>
      <c r="J59" s="113"/>
      <c r="K59" s="113"/>
      <c r="L59" s="198" t="str">
        <f t="shared" si="6"/>
        <v>TBD</v>
      </c>
      <c r="M59" s="199" t="str">
        <f t="shared" si="7"/>
        <v/>
      </c>
      <c r="N59" s="113"/>
      <c r="O59" s="123"/>
      <c r="P59" s="113"/>
      <c r="Q59" s="113"/>
      <c r="R59" s="113"/>
      <c r="S59" s="113"/>
      <c r="T59" s="113"/>
      <c r="U59" s="113"/>
      <c r="V59" s="113"/>
      <c r="W59" s="113"/>
      <c r="X59" s="113"/>
      <c r="Y59" s="125"/>
      <c r="AA59" s="129" t="s">
        <v>373</v>
      </c>
      <c r="AB59" s="155"/>
      <c r="AC59" s="113" t="str">
        <f t="shared" si="5"/>
        <v/>
      </c>
      <c r="AD59" s="156" t="str">
        <f>IF(R103="","",R103)</f>
        <v/>
      </c>
      <c r="AH59"/>
      <c r="AI59"/>
      <c r="AJ59"/>
      <c r="AK59"/>
      <c r="AL59"/>
    </row>
    <row r="60" spans="1:38">
      <c r="A60" s="109">
        <v>60</v>
      </c>
      <c r="B60" s="157"/>
      <c r="C60" s="113"/>
      <c r="D60" s="113"/>
      <c r="E60" s="113" t="s">
        <v>71</v>
      </c>
      <c r="F60" s="113"/>
      <c r="G60" s="113"/>
      <c r="H60" s="113"/>
      <c r="I60" s="113"/>
      <c r="J60" s="113"/>
      <c r="K60" s="113"/>
      <c r="L60" s="198" t="str">
        <f t="shared" si="6"/>
        <v>TBD</v>
      </c>
      <c r="M60" s="199" t="str">
        <f t="shared" si="7"/>
        <v/>
      </c>
      <c r="N60" s="113"/>
      <c r="O60" s="123"/>
      <c r="P60" s="113"/>
      <c r="Q60" s="113"/>
      <c r="R60" s="113"/>
      <c r="S60" s="113"/>
      <c r="T60" s="146" t="s">
        <v>76</v>
      </c>
      <c r="U60" s="113"/>
      <c r="V60" s="113"/>
      <c r="W60" s="113"/>
      <c r="X60" s="113"/>
      <c r="Y60" s="125"/>
      <c r="AA60" s="137" t="s">
        <v>374</v>
      </c>
      <c r="AB60" s="113"/>
      <c r="AC60" s="113"/>
      <c r="AD60" s="113"/>
      <c r="AH60"/>
      <c r="AI60"/>
      <c r="AJ60"/>
      <c r="AK60"/>
      <c r="AL60"/>
    </row>
    <row r="61" spans="1:38">
      <c r="A61" s="109">
        <v>61</v>
      </c>
      <c r="B61" s="157"/>
      <c r="C61" s="113"/>
      <c r="D61" s="113"/>
      <c r="E61" s="113" t="s">
        <v>72</v>
      </c>
      <c r="F61" s="113"/>
      <c r="G61" s="113"/>
      <c r="H61" s="113"/>
      <c r="I61" s="113"/>
      <c r="J61" s="113"/>
      <c r="K61" s="113"/>
      <c r="L61" s="198" t="str">
        <f t="shared" si="6"/>
        <v>TBD</v>
      </c>
      <c r="M61" s="199" t="str">
        <f t="shared" si="7"/>
        <v/>
      </c>
      <c r="N61" s="113"/>
      <c r="O61" s="177"/>
      <c r="P61" s="113" t="s">
        <v>77</v>
      </c>
      <c r="Q61" s="113"/>
      <c r="R61" s="113"/>
      <c r="S61" s="113"/>
      <c r="T61" s="113"/>
      <c r="U61" s="113"/>
      <c r="V61" s="113"/>
      <c r="W61" s="113"/>
      <c r="X61" s="113"/>
      <c r="Y61" s="125"/>
      <c r="AA61" s="129" t="s">
        <v>264</v>
      </c>
      <c r="AB61" s="155"/>
      <c r="AC61" s="113" t="str">
        <f t="shared" ref="AC61:AC72" si="8">IF(AB61&lt;&gt;AD61,"Change","")</f>
        <v/>
      </c>
      <c r="AD61" s="156" t="str">
        <f>IF(S100="","",S100)</f>
        <v/>
      </c>
      <c r="AH61"/>
      <c r="AI61"/>
      <c r="AJ61"/>
      <c r="AK61"/>
      <c r="AL61"/>
    </row>
    <row r="62" spans="1:38">
      <c r="A62" s="109">
        <v>62</v>
      </c>
      <c r="B62" s="157"/>
      <c r="C62" s="113"/>
      <c r="D62" s="113"/>
      <c r="E62" s="113" t="s">
        <v>73</v>
      </c>
      <c r="F62" s="113"/>
      <c r="G62" s="113"/>
      <c r="H62" s="113"/>
      <c r="I62" s="113"/>
      <c r="J62" s="113"/>
      <c r="K62" s="113"/>
      <c r="L62" s="198" t="str">
        <f t="shared" si="6"/>
        <v>TBD</v>
      </c>
      <c r="M62" s="199" t="str">
        <f t="shared" si="7"/>
        <v/>
      </c>
      <c r="N62" s="113"/>
      <c r="O62" s="177"/>
      <c r="P62" s="113" t="s">
        <v>79</v>
      </c>
      <c r="Q62" s="113"/>
      <c r="R62" s="113"/>
      <c r="S62" s="113"/>
      <c r="T62" s="113"/>
      <c r="U62" s="113"/>
      <c r="V62" s="113"/>
      <c r="W62" s="113"/>
      <c r="X62" s="113"/>
      <c r="Y62" s="125"/>
      <c r="AA62" s="129" t="s">
        <v>372</v>
      </c>
      <c r="AB62" s="155"/>
      <c r="AC62" s="113" t="str">
        <f t="shared" si="8"/>
        <v/>
      </c>
      <c r="AD62" s="156" t="str">
        <f>IF(T100="","",T100)</f>
        <v/>
      </c>
      <c r="AH62"/>
      <c r="AI62"/>
      <c r="AJ62"/>
      <c r="AK62"/>
      <c r="AL62"/>
    </row>
    <row r="63" spans="1:38">
      <c r="A63" s="109">
        <v>63</v>
      </c>
      <c r="B63" s="157"/>
      <c r="C63" s="113"/>
      <c r="D63" s="113"/>
      <c r="E63" s="113" t="s">
        <v>78</v>
      </c>
      <c r="F63" s="113"/>
      <c r="G63" s="113"/>
      <c r="H63" s="113"/>
      <c r="I63" s="113"/>
      <c r="J63" s="113"/>
      <c r="K63" s="113"/>
      <c r="L63" s="198" t="str">
        <f t="shared" si="6"/>
        <v>TBD</v>
      </c>
      <c r="M63" s="199" t="str">
        <f t="shared" si="7"/>
        <v/>
      </c>
      <c r="N63" s="113"/>
      <c r="O63" s="177"/>
      <c r="P63" s="113" t="s">
        <v>81</v>
      </c>
      <c r="Q63" s="113"/>
      <c r="R63" s="113"/>
      <c r="S63" s="113"/>
      <c r="T63" s="113"/>
      <c r="U63" s="113"/>
      <c r="V63" s="113"/>
      <c r="W63" s="113"/>
      <c r="X63" s="113"/>
      <c r="Y63" s="125"/>
      <c r="AA63" s="129" t="s">
        <v>373</v>
      </c>
      <c r="AB63" s="155"/>
      <c r="AC63" s="113" t="str">
        <f t="shared" si="8"/>
        <v/>
      </c>
      <c r="AD63" s="156" t="str">
        <f>IF(U100="","",U100)</f>
        <v/>
      </c>
      <c r="AH63"/>
      <c r="AI63"/>
      <c r="AJ63"/>
      <c r="AK63"/>
      <c r="AL63"/>
    </row>
    <row r="64" spans="1:38">
      <c r="A64" s="109">
        <v>64</v>
      </c>
      <c r="B64" s="157"/>
      <c r="C64" s="201"/>
      <c r="D64" s="201"/>
      <c r="E64" s="113" t="s">
        <v>80</v>
      </c>
      <c r="F64" s="113"/>
      <c r="G64" s="113"/>
      <c r="H64" s="113"/>
      <c r="I64" s="113"/>
      <c r="J64" s="113"/>
      <c r="K64" s="113"/>
      <c r="L64" s="198" t="str">
        <f t="shared" si="6"/>
        <v>TBD</v>
      </c>
      <c r="M64" s="199" t="str">
        <f t="shared" si="7"/>
        <v/>
      </c>
      <c r="N64" s="113"/>
      <c r="O64" s="177"/>
      <c r="P64" s="113" t="s">
        <v>82</v>
      </c>
      <c r="Q64" s="113"/>
      <c r="R64" s="113"/>
      <c r="S64" s="113"/>
      <c r="T64" s="113"/>
      <c r="U64" s="113"/>
      <c r="V64" s="113"/>
      <c r="W64" s="113"/>
      <c r="X64" s="113"/>
      <c r="Y64" s="125"/>
      <c r="AA64" s="129" t="s">
        <v>264</v>
      </c>
      <c r="AB64" s="155"/>
      <c r="AC64" s="113" t="str">
        <f t="shared" si="8"/>
        <v/>
      </c>
      <c r="AD64" s="156" t="str">
        <f>IF(S101="","",S101)</f>
        <v/>
      </c>
      <c r="AH64"/>
      <c r="AI64"/>
      <c r="AJ64"/>
      <c r="AK64"/>
      <c r="AL64"/>
    </row>
    <row r="65" spans="1:38">
      <c r="A65" s="109">
        <v>65</v>
      </c>
      <c r="B65" s="157"/>
      <c r="C65" s="201"/>
      <c r="D65" s="201"/>
      <c r="E65" s="201"/>
      <c r="F65" s="201"/>
      <c r="G65" s="201"/>
      <c r="H65" s="201"/>
      <c r="I65" s="201"/>
      <c r="J65" s="201"/>
      <c r="K65" s="201"/>
      <c r="L65" s="201"/>
      <c r="M65" s="202"/>
      <c r="N65" s="113"/>
      <c r="O65" s="177"/>
      <c r="P65" s="113" t="s">
        <v>83</v>
      </c>
      <c r="Q65" s="113"/>
      <c r="R65" s="113"/>
      <c r="S65" s="113"/>
      <c r="T65" s="113"/>
      <c r="U65" s="113"/>
      <c r="V65" s="113"/>
      <c r="W65" s="113"/>
      <c r="X65" s="113"/>
      <c r="Y65" s="125"/>
      <c r="AA65" s="129" t="s">
        <v>372</v>
      </c>
      <c r="AB65" s="155"/>
      <c r="AC65" s="113" t="str">
        <f t="shared" si="8"/>
        <v/>
      </c>
      <c r="AD65" s="156" t="str">
        <f>IF(T101="","",T101)</f>
        <v/>
      </c>
      <c r="AH65"/>
      <c r="AI65"/>
      <c r="AJ65"/>
      <c r="AK65"/>
      <c r="AL65"/>
    </row>
    <row r="66" spans="1:38" ht="16.2" thickBot="1">
      <c r="A66" s="109">
        <v>66</v>
      </c>
      <c r="B66" s="174"/>
      <c r="C66" s="175"/>
      <c r="D66" s="175"/>
      <c r="E66" s="175"/>
      <c r="F66" s="175"/>
      <c r="G66" s="175"/>
      <c r="H66" s="175"/>
      <c r="I66" s="175"/>
      <c r="J66" s="175"/>
      <c r="K66" s="175"/>
      <c r="L66" s="175"/>
      <c r="M66" s="176"/>
      <c r="N66" s="113"/>
      <c r="O66" s="177"/>
      <c r="P66" s="113" t="s">
        <v>84</v>
      </c>
      <c r="Q66" s="113"/>
      <c r="R66" s="113"/>
      <c r="S66" s="113"/>
      <c r="T66" s="113"/>
      <c r="U66" s="113"/>
      <c r="V66" s="113"/>
      <c r="W66" s="113"/>
      <c r="X66" s="113"/>
      <c r="Y66" s="125"/>
      <c r="AA66" s="129" t="s">
        <v>373</v>
      </c>
      <c r="AB66" s="155"/>
      <c r="AC66" s="113" t="str">
        <f t="shared" si="8"/>
        <v/>
      </c>
      <c r="AD66" s="156" t="str">
        <f>IF(U101="","",U101)</f>
        <v/>
      </c>
      <c r="AH66"/>
      <c r="AI66"/>
      <c r="AJ66"/>
      <c r="AK66"/>
      <c r="AL66"/>
    </row>
    <row r="67" spans="1:38" ht="16.2" thickTop="1">
      <c r="A67" s="109">
        <v>67</v>
      </c>
      <c r="B67" s="113"/>
      <c r="C67" s="203" t="s">
        <v>3</v>
      </c>
      <c r="D67" s="204" t="str">
        <f>IF($P$7="","",$P$7)</f>
        <v/>
      </c>
      <c r="E67" s="120"/>
      <c r="F67" s="120"/>
      <c r="G67" s="120"/>
      <c r="H67" s="120"/>
      <c r="I67" s="120"/>
      <c r="J67" s="120"/>
      <c r="K67" s="120"/>
      <c r="L67" s="203" t="s">
        <v>4</v>
      </c>
      <c r="M67" s="205" t="str">
        <f>IF($X$7="","",$X$7)</f>
        <v>Eugene Mah</v>
      </c>
      <c r="N67" s="113"/>
      <c r="O67" s="200" t="str">
        <f>IF(OR(R166=2,R166=3),3,IF(U169="","",IF(U169&gt;=160,1,2)))</f>
        <v/>
      </c>
      <c r="P67" s="113" t="s">
        <v>85</v>
      </c>
      <c r="Q67" s="113"/>
      <c r="R67" s="113"/>
      <c r="S67" s="113"/>
      <c r="T67" s="113"/>
      <c r="U67" s="113"/>
      <c r="V67" s="113"/>
      <c r="W67" s="113"/>
      <c r="X67" s="113"/>
      <c r="Y67" s="125"/>
      <c r="AA67" s="129" t="s">
        <v>264</v>
      </c>
      <c r="AB67" s="155"/>
      <c r="AC67" s="113" t="str">
        <f t="shared" si="8"/>
        <v/>
      </c>
      <c r="AD67" s="156" t="str">
        <f>IF(S102="","",S102)</f>
        <v/>
      </c>
      <c r="AH67"/>
      <c r="AI67"/>
      <c r="AJ67"/>
      <c r="AK67"/>
      <c r="AL67"/>
    </row>
    <row r="68" spans="1:38">
      <c r="A68" s="109">
        <v>68</v>
      </c>
      <c r="B68" s="113"/>
      <c r="C68" s="203" t="s">
        <v>86</v>
      </c>
      <c r="D68" s="206" t="str">
        <f>IF($R$14="","",$R$14)</f>
        <v/>
      </c>
      <c r="E68" s="120"/>
      <c r="F68" s="120"/>
      <c r="G68" s="120"/>
      <c r="H68" s="120"/>
      <c r="I68" s="120"/>
      <c r="J68" s="120"/>
      <c r="K68" s="120"/>
      <c r="L68" s="203" t="s">
        <v>16</v>
      </c>
      <c r="M68" s="205" t="str">
        <f>IF($R$13="","",$R$13)</f>
        <v/>
      </c>
      <c r="N68" s="113"/>
      <c r="O68" s="177"/>
      <c r="P68" s="113" t="s">
        <v>87</v>
      </c>
      <c r="Q68" s="113"/>
      <c r="R68" s="113"/>
      <c r="S68" s="113"/>
      <c r="T68" s="113"/>
      <c r="U68" s="113"/>
      <c r="V68" s="113"/>
      <c r="W68" s="113"/>
      <c r="X68" s="113"/>
      <c r="Y68" s="125"/>
      <c r="AA68" s="129" t="s">
        <v>372</v>
      </c>
      <c r="AB68" s="155"/>
      <c r="AC68" s="113" t="str">
        <f t="shared" si="8"/>
        <v/>
      </c>
      <c r="AD68" s="156" t="str">
        <f>IF(T102="","",T102)</f>
        <v/>
      </c>
      <c r="AH68"/>
      <c r="AI68"/>
      <c r="AJ68"/>
      <c r="AK68"/>
      <c r="AL68"/>
    </row>
    <row r="69" spans="1:38" ht="16.2">
      <c r="A69" s="109">
        <v>1</v>
      </c>
      <c r="B69" s="113"/>
      <c r="C69" s="113"/>
      <c r="D69" s="113"/>
      <c r="E69" s="113"/>
      <c r="F69" s="113"/>
      <c r="G69" s="113"/>
      <c r="H69" s="113"/>
      <c r="I69" s="113"/>
      <c r="J69" s="113"/>
      <c r="K69" s="113"/>
      <c r="L69" s="113"/>
      <c r="M69" s="207" t="str">
        <f>$H$2</f>
        <v>Medical University of South Carolina</v>
      </c>
      <c r="N69" s="113"/>
      <c r="O69" s="177"/>
      <c r="P69" s="113" t="s">
        <v>88</v>
      </c>
      <c r="Q69" s="113"/>
      <c r="R69" s="113"/>
      <c r="S69" s="113"/>
      <c r="T69" s="113"/>
      <c r="U69" s="113"/>
      <c r="V69" s="113"/>
      <c r="W69" s="113"/>
      <c r="X69" s="113"/>
      <c r="Y69" s="125"/>
      <c r="AA69" s="129" t="s">
        <v>373</v>
      </c>
      <c r="AB69" s="155"/>
      <c r="AC69" s="113" t="str">
        <f t="shared" si="8"/>
        <v/>
      </c>
      <c r="AD69" s="156" t="str">
        <f>IF(U102="","",U102)</f>
        <v/>
      </c>
      <c r="AH69"/>
      <c r="AI69"/>
      <c r="AJ69"/>
      <c r="AK69"/>
      <c r="AL69"/>
    </row>
    <row r="70" spans="1:38" ht="18" thickBot="1">
      <c r="A70" s="109">
        <v>2</v>
      </c>
      <c r="B70" s="113"/>
      <c r="C70" s="113"/>
      <c r="D70" s="113"/>
      <c r="E70" s="113"/>
      <c r="F70" s="113"/>
      <c r="G70" s="113"/>
      <c r="H70" s="144" t="s">
        <v>50</v>
      </c>
      <c r="I70" s="113"/>
      <c r="J70" s="113"/>
      <c r="K70" s="113"/>
      <c r="L70" s="113"/>
      <c r="M70" s="208" t="str">
        <f>$H$5</f>
        <v>Mammography System Compliance Inspection</v>
      </c>
      <c r="N70" s="113"/>
      <c r="O70" s="177"/>
      <c r="P70" s="113" t="s">
        <v>89</v>
      </c>
      <c r="Q70" s="113"/>
      <c r="R70" s="113"/>
      <c r="S70" s="113"/>
      <c r="T70" s="113"/>
      <c r="U70" s="113"/>
      <c r="V70" s="113"/>
      <c r="W70" s="113"/>
      <c r="X70" s="113"/>
      <c r="Y70" s="125"/>
      <c r="AA70" s="129" t="s">
        <v>264</v>
      </c>
      <c r="AB70" s="155"/>
      <c r="AC70" s="113" t="str">
        <f t="shared" si="8"/>
        <v/>
      </c>
      <c r="AD70" s="156" t="str">
        <f>IF(S103="","",S103)</f>
        <v/>
      </c>
      <c r="AH70"/>
      <c r="AI70"/>
      <c r="AJ70"/>
      <c r="AK70"/>
      <c r="AL70"/>
    </row>
    <row r="71" spans="1:38" ht="16.2" thickTop="1">
      <c r="A71" s="109">
        <v>3</v>
      </c>
      <c r="B71" s="148"/>
      <c r="C71" s="209" t="s">
        <v>60</v>
      </c>
      <c r="D71" s="149"/>
      <c r="E71" s="149"/>
      <c r="F71" s="149"/>
      <c r="G71" s="149"/>
      <c r="H71" s="210" t="s">
        <v>76</v>
      </c>
      <c r="I71" s="149"/>
      <c r="J71" s="149"/>
      <c r="K71" s="149"/>
      <c r="L71" s="149"/>
      <c r="M71" s="151"/>
      <c r="N71" s="113"/>
      <c r="O71" s="177"/>
      <c r="P71" s="113" t="s">
        <v>90</v>
      </c>
      <c r="Q71" s="113"/>
      <c r="R71" s="113"/>
      <c r="S71" s="113"/>
      <c r="T71" s="113"/>
      <c r="U71" s="113"/>
      <c r="V71" s="113"/>
      <c r="W71" s="113"/>
      <c r="X71" s="113"/>
      <c r="Y71" s="125"/>
      <c r="AA71" s="129" t="s">
        <v>372</v>
      </c>
      <c r="AB71" s="155"/>
      <c r="AC71" s="113" t="str">
        <f t="shared" si="8"/>
        <v/>
      </c>
      <c r="AD71" s="156" t="str">
        <f>IF(T103="","",T103)</f>
        <v/>
      </c>
      <c r="AH71"/>
      <c r="AI71"/>
      <c r="AJ71"/>
      <c r="AK71"/>
      <c r="AL71"/>
    </row>
    <row r="72" spans="1:38">
      <c r="A72" s="109">
        <v>4</v>
      </c>
      <c r="B72" s="157"/>
      <c r="C72" s="113" t="s">
        <v>91</v>
      </c>
      <c r="D72" s="113"/>
      <c r="E72" s="113" t="s">
        <v>92</v>
      </c>
      <c r="F72" s="113"/>
      <c r="G72" s="113"/>
      <c r="H72" s="113"/>
      <c r="I72" s="113"/>
      <c r="J72" s="113"/>
      <c r="K72" s="113"/>
      <c r="L72" s="198" t="str">
        <f t="shared" ref="L72:L104" si="9">IF(O61="","TBD",IF(O61=1,"YES",IF(O61=3,"NA","")))</f>
        <v>TBD</v>
      </c>
      <c r="M72" s="199" t="str">
        <f t="shared" ref="M72:M104" si="10">IF(O61=2,"NO","")</f>
        <v/>
      </c>
      <c r="N72" s="113"/>
      <c r="O72" s="177"/>
      <c r="P72" s="113" t="s">
        <v>93</v>
      </c>
      <c r="Q72" s="113"/>
      <c r="R72" s="113"/>
      <c r="S72" s="113"/>
      <c r="T72" s="113"/>
      <c r="U72" s="113"/>
      <c r="V72" s="113"/>
      <c r="W72" s="113"/>
      <c r="X72" s="113"/>
      <c r="Y72" s="125"/>
      <c r="AA72" s="129" t="s">
        <v>373</v>
      </c>
      <c r="AB72" s="155"/>
      <c r="AC72" s="113" t="str">
        <f t="shared" si="8"/>
        <v/>
      </c>
      <c r="AD72" s="156" t="str">
        <f>IF(U103="","",U103)</f>
        <v/>
      </c>
      <c r="AH72"/>
      <c r="AI72"/>
      <c r="AJ72"/>
      <c r="AK72"/>
      <c r="AL72"/>
    </row>
    <row r="73" spans="1:38">
      <c r="A73" s="109">
        <v>5</v>
      </c>
      <c r="B73" s="157"/>
      <c r="C73" s="113" t="s">
        <v>94</v>
      </c>
      <c r="D73" s="113"/>
      <c r="E73" s="113" t="s">
        <v>95</v>
      </c>
      <c r="F73" s="113"/>
      <c r="G73" s="113"/>
      <c r="H73" s="113"/>
      <c r="I73" s="113"/>
      <c r="J73" s="113"/>
      <c r="K73" s="113"/>
      <c r="L73" s="198" t="str">
        <f t="shared" si="9"/>
        <v>TBD</v>
      </c>
      <c r="M73" s="199" t="str">
        <f t="shared" si="10"/>
        <v/>
      </c>
      <c r="N73" s="113"/>
      <c r="O73" s="177"/>
      <c r="P73" s="113" t="s">
        <v>96</v>
      </c>
      <c r="Q73" s="113"/>
      <c r="R73" s="113"/>
      <c r="S73" s="113"/>
      <c r="T73" s="113"/>
      <c r="U73" s="113"/>
      <c r="V73" s="113"/>
      <c r="W73" s="113"/>
      <c r="X73" s="113"/>
      <c r="Y73" s="125"/>
      <c r="AA73" s="137" t="s">
        <v>44</v>
      </c>
      <c r="AB73" s="113"/>
      <c r="AC73" s="113"/>
      <c r="AD73" s="113"/>
      <c r="AH73"/>
      <c r="AI73"/>
      <c r="AJ73"/>
      <c r="AK73"/>
      <c r="AL73"/>
    </row>
    <row r="74" spans="1:38">
      <c r="A74" s="109">
        <v>6</v>
      </c>
      <c r="B74" s="157"/>
      <c r="C74" s="113" t="s">
        <v>97</v>
      </c>
      <c r="D74" s="113"/>
      <c r="E74" s="113" t="s">
        <v>81</v>
      </c>
      <c r="F74" s="113"/>
      <c r="G74" s="113"/>
      <c r="H74" s="113"/>
      <c r="I74" s="113"/>
      <c r="J74" s="113"/>
      <c r="K74" s="113"/>
      <c r="L74" s="198" t="str">
        <f t="shared" si="9"/>
        <v>TBD</v>
      </c>
      <c r="M74" s="199" t="str">
        <f t="shared" si="10"/>
        <v/>
      </c>
      <c r="N74" s="113"/>
      <c r="O74" s="177"/>
      <c r="P74" s="113" t="s">
        <v>98</v>
      </c>
      <c r="Q74" s="113"/>
      <c r="R74" s="113"/>
      <c r="S74" s="113"/>
      <c r="T74" s="113"/>
      <c r="U74" s="113"/>
      <c r="V74" s="113"/>
      <c r="W74" s="113"/>
      <c r="X74" s="113"/>
      <c r="Y74" s="125"/>
      <c r="AA74" s="129" t="s">
        <v>264</v>
      </c>
      <c r="AB74" s="155"/>
      <c r="AC74" s="113" t="str">
        <f t="shared" ref="AC74:AC85" si="11">IF(AB74&lt;&gt;AD74,"Change","")</f>
        <v/>
      </c>
      <c r="AD74" s="156" t="str">
        <f>IF(V100="","",V100)</f>
        <v/>
      </c>
      <c r="AH74"/>
      <c r="AI74"/>
      <c r="AJ74"/>
      <c r="AK74"/>
      <c r="AL74"/>
    </row>
    <row r="75" spans="1:38">
      <c r="A75" s="109">
        <v>7</v>
      </c>
      <c r="B75" s="157"/>
      <c r="C75" s="113" t="s">
        <v>99</v>
      </c>
      <c r="D75" s="113"/>
      <c r="E75" s="113" t="s">
        <v>100</v>
      </c>
      <c r="F75" s="113"/>
      <c r="G75" s="113"/>
      <c r="H75" s="113"/>
      <c r="I75" s="113"/>
      <c r="J75" s="113"/>
      <c r="K75" s="113"/>
      <c r="L75" s="198" t="str">
        <f t="shared" si="9"/>
        <v>TBD</v>
      </c>
      <c r="M75" s="199" t="str">
        <f t="shared" si="10"/>
        <v/>
      </c>
      <c r="N75" s="113"/>
      <c r="O75" s="177"/>
      <c r="P75" s="113" t="s">
        <v>101</v>
      </c>
      <c r="Q75" s="113"/>
      <c r="R75" s="113"/>
      <c r="S75" s="113"/>
      <c r="T75" s="113"/>
      <c r="U75" s="113"/>
      <c r="V75" s="113"/>
      <c r="W75" s="113"/>
      <c r="X75" s="113"/>
      <c r="Y75" s="125"/>
      <c r="AA75" s="129" t="s">
        <v>372</v>
      </c>
      <c r="AB75" s="155"/>
      <c r="AC75" s="113" t="str">
        <f t="shared" si="11"/>
        <v/>
      </c>
      <c r="AD75" s="156" t="str">
        <f>IF(W100="","",W100)</f>
        <v/>
      </c>
      <c r="AH75"/>
      <c r="AI75"/>
      <c r="AJ75"/>
      <c r="AK75"/>
      <c r="AL75"/>
    </row>
    <row r="76" spans="1:38">
      <c r="A76" s="109">
        <v>8</v>
      </c>
      <c r="B76" s="157"/>
      <c r="C76" s="113" t="s">
        <v>102</v>
      </c>
      <c r="D76" s="113"/>
      <c r="E76" s="113" t="s">
        <v>83</v>
      </c>
      <c r="F76" s="113"/>
      <c r="G76" s="113"/>
      <c r="H76" s="113"/>
      <c r="I76" s="113"/>
      <c r="J76" s="113"/>
      <c r="K76" s="113"/>
      <c r="L76" s="198" t="str">
        <f t="shared" si="9"/>
        <v>TBD</v>
      </c>
      <c r="M76" s="199" t="str">
        <f t="shared" si="10"/>
        <v/>
      </c>
      <c r="N76" s="113"/>
      <c r="O76" s="177"/>
      <c r="P76" s="113" t="s">
        <v>103</v>
      </c>
      <c r="Q76" s="113"/>
      <c r="R76" s="113"/>
      <c r="S76" s="113"/>
      <c r="T76" s="113"/>
      <c r="U76" s="113"/>
      <c r="V76" s="113"/>
      <c r="W76" s="113"/>
      <c r="X76" s="113"/>
      <c r="Y76" s="125"/>
      <c r="AA76" s="129" t="s">
        <v>373</v>
      </c>
      <c r="AB76" s="155"/>
      <c r="AC76" s="113" t="str">
        <f t="shared" si="11"/>
        <v/>
      </c>
      <c r="AD76" s="156" t="str">
        <f>IF(X100="","",X100)</f>
        <v/>
      </c>
      <c r="AH76"/>
      <c r="AI76"/>
      <c r="AJ76"/>
      <c r="AK76"/>
      <c r="AL76"/>
    </row>
    <row r="77" spans="1:38">
      <c r="A77" s="109">
        <v>9</v>
      </c>
      <c r="B77" s="157"/>
      <c r="C77" s="113" t="s">
        <v>104</v>
      </c>
      <c r="D77" s="113"/>
      <c r="E77" s="113" t="s">
        <v>105</v>
      </c>
      <c r="F77" s="113"/>
      <c r="G77" s="113"/>
      <c r="H77" s="113"/>
      <c r="I77" s="113"/>
      <c r="J77" s="113"/>
      <c r="K77" s="113"/>
      <c r="L77" s="198" t="str">
        <f t="shared" si="9"/>
        <v>TBD</v>
      </c>
      <c r="M77" s="199" t="str">
        <f t="shared" si="10"/>
        <v/>
      </c>
      <c r="N77" s="113"/>
      <c r="O77" s="177"/>
      <c r="P77" s="113" t="s">
        <v>106</v>
      </c>
      <c r="Q77" s="113"/>
      <c r="R77" s="113"/>
      <c r="S77" s="113"/>
      <c r="T77" s="113"/>
      <c r="U77" s="113"/>
      <c r="V77" s="113"/>
      <c r="W77" s="113"/>
      <c r="X77" s="113"/>
      <c r="Y77" s="125"/>
      <c r="AA77" s="129" t="s">
        <v>264</v>
      </c>
      <c r="AB77" s="155"/>
      <c r="AC77" s="113" t="str">
        <f t="shared" si="11"/>
        <v/>
      </c>
      <c r="AD77" s="156" t="str">
        <f>IF(V101="","",V101)</f>
        <v/>
      </c>
      <c r="AH77"/>
      <c r="AI77"/>
      <c r="AJ77"/>
      <c r="AK77"/>
      <c r="AL77"/>
    </row>
    <row r="78" spans="1:38">
      <c r="A78" s="109">
        <v>10</v>
      </c>
      <c r="B78" s="157"/>
      <c r="C78" s="113" t="s">
        <v>107</v>
      </c>
      <c r="D78" s="113"/>
      <c r="E78" s="113" t="s">
        <v>85</v>
      </c>
      <c r="F78" s="113"/>
      <c r="G78" s="113"/>
      <c r="H78" s="113"/>
      <c r="I78" s="113"/>
      <c r="J78" s="113"/>
      <c r="K78" s="113"/>
      <c r="L78" s="198" t="str">
        <f t="shared" si="9"/>
        <v>TBD</v>
      </c>
      <c r="M78" s="199" t="str">
        <f t="shared" si="10"/>
        <v/>
      </c>
      <c r="N78" s="113"/>
      <c r="O78" s="177"/>
      <c r="P78" s="113" t="s">
        <v>108</v>
      </c>
      <c r="Q78" s="113"/>
      <c r="R78" s="113"/>
      <c r="S78" s="113"/>
      <c r="T78" s="113"/>
      <c r="U78" s="113"/>
      <c r="V78" s="113"/>
      <c r="W78" s="113"/>
      <c r="X78" s="113"/>
      <c r="Y78" s="125"/>
      <c r="AA78" s="129" t="s">
        <v>372</v>
      </c>
      <c r="AB78" s="155"/>
      <c r="AC78" s="113" t="str">
        <f t="shared" si="11"/>
        <v/>
      </c>
      <c r="AD78" s="156" t="str">
        <f>IF(W101="","",W101)</f>
        <v/>
      </c>
      <c r="AH78"/>
      <c r="AI78"/>
      <c r="AJ78"/>
      <c r="AK78"/>
      <c r="AL78"/>
    </row>
    <row r="79" spans="1:38">
      <c r="A79" s="109">
        <v>11</v>
      </c>
      <c r="B79" s="157"/>
      <c r="C79" s="113" t="s">
        <v>109</v>
      </c>
      <c r="D79" s="113"/>
      <c r="E79" s="113" t="s">
        <v>110</v>
      </c>
      <c r="F79" s="113"/>
      <c r="G79" s="113"/>
      <c r="H79" s="113"/>
      <c r="I79" s="113"/>
      <c r="J79" s="113"/>
      <c r="K79" s="113"/>
      <c r="L79" s="198" t="str">
        <f t="shared" si="9"/>
        <v>TBD</v>
      </c>
      <c r="M79" s="199" t="str">
        <f t="shared" si="10"/>
        <v/>
      </c>
      <c r="N79" s="113"/>
      <c r="O79" s="200" t="str">
        <f>IF(O213="","",O213)</f>
        <v/>
      </c>
      <c r="P79" s="113" t="s">
        <v>111</v>
      </c>
      <c r="Q79" s="113"/>
      <c r="R79" s="113"/>
      <c r="S79" s="113"/>
      <c r="T79" s="113"/>
      <c r="U79" s="113"/>
      <c r="V79" s="113"/>
      <c r="W79" s="113"/>
      <c r="X79" s="113"/>
      <c r="Y79" s="125"/>
      <c r="AA79" s="129" t="s">
        <v>373</v>
      </c>
      <c r="AB79" s="155"/>
      <c r="AC79" s="113" t="str">
        <f t="shared" si="11"/>
        <v/>
      </c>
      <c r="AD79" s="156" t="str">
        <f>IF(X101="","",X101)</f>
        <v/>
      </c>
      <c r="AH79"/>
      <c r="AI79"/>
      <c r="AJ79"/>
      <c r="AK79"/>
      <c r="AL79"/>
    </row>
    <row r="80" spans="1:38">
      <c r="A80" s="109">
        <v>12</v>
      </c>
      <c r="B80" s="157"/>
      <c r="C80" s="113" t="s">
        <v>112</v>
      </c>
      <c r="D80" s="113"/>
      <c r="E80" s="113" t="s">
        <v>88</v>
      </c>
      <c r="F80" s="113"/>
      <c r="G80" s="113"/>
      <c r="H80" s="113"/>
      <c r="I80" s="113"/>
      <c r="J80" s="113"/>
      <c r="K80" s="113"/>
      <c r="L80" s="198" t="str">
        <f t="shared" si="9"/>
        <v>TBD</v>
      </c>
      <c r="M80" s="199" t="str">
        <f t="shared" si="10"/>
        <v/>
      </c>
      <c r="N80" s="113"/>
      <c r="O80" s="200" t="str">
        <f>IF(O212="","",O212)</f>
        <v/>
      </c>
      <c r="P80" s="113" t="s">
        <v>113</v>
      </c>
      <c r="Q80" s="113"/>
      <c r="R80" s="113"/>
      <c r="S80" s="113"/>
      <c r="T80" s="113"/>
      <c r="U80" s="113"/>
      <c r="V80" s="113"/>
      <c r="W80" s="113"/>
      <c r="X80" s="113"/>
      <c r="Y80" s="125"/>
      <c r="AA80" s="129" t="s">
        <v>264</v>
      </c>
      <c r="AB80" s="155"/>
      <c r="AC80" s="113" t="str">
        <f t="shared" si="11"/>
        <v/>
      </c>
      <c r="AD80" s="156" t="str">
        <f>IF(V102="","",V102)</f>
        <v/>
      </c>
      <c r="AH80"/>
      <c r="AI80"/>
      <c r="AJ80"/>
      <c r="AK80"/>
      <c r="AL80"/>
    </row>
    <row r="81" spans="1:38">
      <c r="A81" s="109">
        <v>13</v>
      </c>
      <c r="B81" s="157"/>
      <c r="C81" s="113" t="s">
        <v>114</v>
      </c>
      <c r="D81" s="113"/>
      <c r="E81" s="113" t="s">
        <v>89</v>
      </c>
      <c r="F81" s="113"/>
      <c r="G81" s="113"/>
      <c r="H81" s="113"/>
      <c r="I81" s="113"/>
      <c r="J81" s="113"/>
      <c r="K81" s="113"/>
      <c r="L81" s="198" t="str">
        <f t="shared" si="9"/>
        <v>TBD</v>
      </c>
      <c r="M81" s="199" t="str">
        <f t="shared" si="10"/>
        <v/>
      </c>
      <c r="N81" s="113"/>
      <c r="O81" s="177"/>
      <c r="P81" s="113" t="s">
        <v>115</v>
      </c>
      <c r="Q81" s="113"/>
      <c r="R81" s="113"/>
      <c r="S81" s="113"/>
      <c r="T81" s="113"/>
      <c r="U81" s="113"/>
      <c r="V81" s="113"/>
      <c r="W81" s="113"/>
      <c r="X81" s="113"/>
      <c r="Y81" s="125"/>
      <c r="AA81" s="129" t="s">
        <v>372</v>
      </c>
      <c r="AB81" s="155"/>
      <c r="AC81" s="113" t="str">
        <f t="shared" si="11"/>
        <v/>
      </c>
      <c r="AD81" s="156" t="str">
        <f>IF(W102="","",W102)</f>
        <v/>
      </c>
      <c r="AH81"/>
      <c r="AI81"/>
      <c r="AJ81"/>
      <c r="AK81"/>
      <c r="AL81"/>
    </row>
    <row r="82" spans="1:38">
      <c r="A82" s="109">
        <v>14</v>
      </c>
      <c r="B82" s="157"/>
      <c r="C82" s="113" t="s">
        <v>114</v>
      </c>
      <c r="D82" s="113"/>
      <c r="E82" s="113" t="s">
        <v>90</v>
      </c>
      <c r="F82" s="113"/>
      <c r="G82" s="113"/>
      <c r="H82" s="113"/>
      <c r="I82" s="113"/>
      <c r="J82" s="113"/>
      <c r="K82" s="113"/>
      <c r="L82" s="198" t="str">
        <f t="shared" si="9"/>
        <v>TBD</v>
      </c>
      <c r="M82" s="199" t="str">
        <f t="shared" si="10"/>
        <v/>
      </c>
      <c r="N82" s="113"/>
      <c r="O82" s="177"/>
      <c r="P82" s="113" t="s">
        <v>116</v>
      </c>
      <c r="Q82" s="113"/>
      <c r="R82" s="113"/>
      <c r="S82" s="113"/>
      <c r="T82" s="113"/>
      <c r="U82" s="113"/>
      <c r="V82" s="113"/>
      <c r="W82" s="113"/>
      <c r="X82" s="113"/>
      <c r="Y82" s="125"/>
      <c r="AA82" s="129" t="s">
        <v>373</v>
      </c>
      <c r="AB82" s="155"/>
      <c r="AC82" s="113" t="str">
        <f t="shared" si="11"/>
        <v/>
      </c>
      <c r="AD82" s="156" t="str">
        <f>IF(X102="","",X102)</f>
        <v/>
      </c>
    </row>
    <row r="83" spans="1:38">
      <c r="A83" s="109">
        <v>15</v>
      </c>
      <c r="B83" s="157"/>
      <c r="C83" s="113" t="s">
        <v>117</v>
      </c>
      <c r="D83" s="113"/>
      <c r="E83" s="113" t="s">
        <v>93</v>
      </c>
      <c r="F83" s="113"/>
      <c r="G83" s="113"/>
      <c r="H83" s="113"/>
      <c r="I83" s="113"/>
      <c r="J83" s="113"/>
      <c r="K83" s="113"/>
      <c r="L83" s="198" t="str">
        <f t="shared" si="9"/>
        <v>TBD</v>
      </c>
      <c r="M83" s="199" t="str">
        <f t="shared" si="10"/>
        <v/>
      </c>
      <c r="N83" s="113"/>
      <c r="O83" s="177"/>
      <c r="P83" s="113" t="s">
        <v>118</v>
      </c>
      <c r="Q83" s="113"/>
      <c r="R83" s="113"/>
      <c r="S83" s="113"/>
      <c r="T83" s="113"/>
      <c r="U83" s="113"/>
      <c r="V83" s="113"/>
      <c r="W83" s="113"/>
      <c r="X83" s="113"/>
      <c r="Y83" s="125"/>
      <c r="AA83" s="129" t="s">
        <v>264</v>
      </c>
      <c r="AB83" s="155"/>
      <c r="AC83" s="113" t="str">
        <f t="shared" si="11"/>
        <v/>
      </c>
      <c r="AD83" s="156" t="str">
        <f>IF(V103="","",V103)</f>
        <v/>
      </c>
    </row>
    <row r="84" spans="1:38">
      <c r="A84" s="109">
        <v>16</v>
      </c>
      <c r="B84" s="157"/>
      <c r="C84" s="113" t="s">
        <v>119</v>
      </c>
      <c r="D84" s="113"/>
      <c r="E84" s="113" t="s">
        <v>96</v>
      </c>
      <c r="F84" s="113"/>
      <c r="G84" s="113"/>
      <c r="H84" s="113"/>
      <c r="I84" s="113"/>
      <c r="J84" s="113"/>
      <c r="K84" s="113"/>
      <c r="L84" s="198" t="str">
        <f t="shared" si="9"/>
        <v>TBD</v>
      </c>
      <c r="M84" s="199" t="str">
        <f t="shared" si="10"/>
        <v/>
      </c>
      <c r="N84" s="113"/>
      <c r="O84" s="177"/>
      <c r="P84" s="113" t="s">
        <v>120</v>
      </c>
      <c r="Q84" s="113"/>
      <c r="R84" s="113"/>
      <c r="S84" s="113"/>
      <c r="T84" s="113"/>
      <c r="U84" s="113"/>
      <c r="V84" s="113"/>
      <c r="W84" s="113"/>
      <c r="X84" s="113"/>
      <c r="Y84" s="125"/>
      <c r="AA84" s="129" t="s">
        <v>372</v>
      </c>
      <c r="AB84" s="155"/>
      <c r="AC84" s="113" t="str">
        <f t="shared" si="11"/>
        <v/>
      </c>
      <c r="AD84" s="156" t="str">
        <f>IF(W103="","",W103)</f>
        <v/>
      </c>
    </row>
    <row r="85" spans="1:38">
      <c r="A85" s="109">
        <v>17</v>
      </c>
      <c r="B85" s="157"/>
      <c r="C85" s="173"/>
      <c r="D85" s="113"/>
      <c r="E85" s="113" t="s">
        <v>98</v>
      </c>
      <c r="F85" s="113"/>
      <c r="G85" s="113"/>
      <c r="H85" s="113"/>
      <c r="I85" s="113"/>
      <c r="J85" s="113"/>
      <c r="K85" s="113"/>
      <c r="L85" s="198" t="str">
        <f t="shared" si="9"/>
        <v>TBD</v>
      </c>
      <c r="M85" s="199" t="str">
        <f t="shared" si="10"/>
        <v/>
      </c>
      <c r="N85" s="113"/>
      <c r="O85" s="177"/>
      <c r="P85" s="113" t="s">
        <v>121</v>
      </c>
      <c r="Q85" s="113"/>
      <c r="R85" s="113"/>
      <c r="S85" s="113"/>
      <c r="T85" s="113"/>
      <c r="U85" s="113"/>
      <c r="V85" s="113"/>
      <c r="W85" s="113"/>
      <c r="X85" s="113"/>
      <c r="Y85" s="125"/>
      <c r="AA85" s="129" t="s">
        <v>373</v>
      </c>
      <c r="AB85" s="155"/>
      <c r="AC85" s="113" t="str">
        <f t="shared" si="11"/>
        <v/>
      </c>
      <c r="AD85" s="156" t="str">
        <f>IF(X103="","",X103)</f>
        <v/>
      </c>
    </row>
    <row r="86" spans="1:38">
      <c r="A86" s="109">
        <v>18</v>
      </c>
      <c r="B86" s="157"/>
      <c r="C86" s="113" t="s">
        <v>122</v>
      </c>
      <c r="D86" s="113"/>
      <c r="E86" s="113" t="s">
        <v>101</v>
      </c>
      <c r="F86" s="113"/>
      <c r="G86" s="113"/>
      <c r="H86" s="113"/>
      <c r="I86" s="113"/>
      <c r="J86" s="113"/>
      <c r="K86" s="113"/>
      <c r="L86" s="198" t="str">
        <f t="shared" si="9"/>
        <v>TBD</v>
      </c>
      <c r="M86" s="199" t="str">
        <f t="shared" si="10"/>
        <v/>
      </c>
      <c r="N86" s="113"/>
      <c r="O86" s="177"/>
      <c r="P86" s="113" t="s">
        <v>123</v>
      </c>
      <c r="Q86" s="113"/>
      <c r="R86" s="113"/>
      <c r="S86" s="113"/>
      <c r="T86" s="113"/>
      <c r="U86" s="113"/>
      <c r="V86" s="113"/>
      <c r="W86" s="113"/>
      <c r="X86" s="113"/>
      <c r="Y86" s="125"/>
      <c r="AA86" s="113"/>
      <c r="AB86" s="113"/>
      <c r="AC86" s="113"/>
      <c r="AD86" s="113"/>
    </row>
    <row r="87" spans="1:38">
      <c r="A87" s="109">
        <v>19</v>
      </c>
      <c r="B87" s="157"/>
      <c r="C87" s="113" t="s">
        <v>124</v>
      </c>
      <c r="D87" s="113"/>
      <c r="E87" s="113" t="s">
        <v>103</v>
      </c>
      <c r="F87" s="113"/>
      <c r="G87" s="113"/>
      <c r="H87" s="113"/>
      <c r="I87" s="113"/>
      <c r="J87" s="113"/>
      <c r="K87" s="113"/>
      <c r="L87" s="198" t="str">
        <f t="shared" si="9"/>
        <v>TBD</v>
      </c>
      <c r="M87" s="199" t="str">
        <f t="shared" si="10"/>
        <v/>
      </c>
      <c r="N87" s="113"/>
      <c r="O87" s="177"/>
      <c r="P87" s="113" t="s">
        <v>125</v>
      </c>
      <c r="Q87" s="113"/>
      <c r="R87" s="113"/>
      <c r="S87" s="113"/>
      <c r="T87" s="113"/>
      <c r="U87" s="113"/>
      <c r="V87" s="113"/>
      <c r="W87" s="113"/>
      <c r="X87" s="113"/>
      <c r="Y87" s="125"/>
      <c r="AA87" s="129" t="s">
        <v>375</v>
      </c>
      <c r="AB87" s="155"/>
      <c r="AC87" s="113" t="str">
        <f t="shared" ref="AC87:AC93" si="12">IF(AB87&lt;&gt;AD87,"Change","")</f>
        <v/>
      </c>
      <c r="AD87" s="211" t="str">
        <f>IF(X297="","",X297)</f>
        <v/>
      </c>
    </row>
    <row r="88" spans="1:38">
      <c r="A88" s="109">
        <v>20</v>
      </c>
      <c r="B88" s="157"/>
      <c r="C88" s="113" t="s">
        <v>126</v>
      </c>
      <c r="D88" s="113"/>
      <c r="E88" s="113" t="s">
        <v>106</v>
      </c>
      <c r="F88" s="113"/>
      <c r="G88" s="113"/>
      <c r="H88" s="113"/>
      <c r="I88" s="113"/>
      <c r="J88" s="113"/>
      <c r="K88" s="113"/>
      <c r="L88" s="198" t="str">
        <f t="shared" si="9"/>
        <v>TBD</v>
      </c>
      <c r="M88" s="199" t="str">
        <f t="shared" si="10"/>
        <v/>
      </c>
      <c r="N88" s="113"/>
      <c r="O88" s="177"/>
      <c r="P88" s="113" t="s">
        <v>127</v>
      </c>
      <c r="Q88" s="113"/>
      <c r="R88" s="113"/>
      <c r="S88" s="113"/>
      <c r="T88" s="113"/>
      <c r="U88" s="113"/>
      <c r="V88" s="113"/>
      <c r="W88" s="113"/>
      <c r="X88" s="113"/>
      <c r="Y88" s="125"/>
      <c r="AA88" s="129" t="s">
        <v>376</v>
      </c>
      <c r="AB88" s="155"/>
      <c r="AC88" s="113" t="str">
        <f t="shared" si="12"/>
        <v/>
      </c>
      <c r="AD88" s="212" t="str">
        <f>IF(W447="","",W447)</f>
        <v/>
      </c>
    </row>
    <row r="89" spans="1:38">
      <c r="A89" s="109">
        <v>21</v>
      </c>
      <c r="B89" s="157"/>
      <c r="C89" s="113" t="s">
        <v>128</v>
      </c>
      <c r="D89" s="113"/>
      <c r="E89" s="113" t="s">
        <v>129</v>
      </c>
      <c r="F89" s="113"/>
      <c r="G89" s="113"/>
      <c r="H89" s="113"/>
      <c r="I89" s="113"/>
      <c r="J89" s="113"/>
      <c r="K89" s="113"/>
      <c r="L89" s="198" t="str">
        <f t="shared" si="9"/>
        <v>TBD</v>
      </c>
      <c r="M89" s="199" t="str">
        <f t="shared" si="10"/>
        <v/>
      </c>
      <c r="N89" s="113"/>
      <c r="O89" s="177">
        <v>3</v>
      </c>
      <c r="P89" s="113" t="s">
        <v>130</v>
      </c>
      <c r="Q89" s="113"/>
      <c r="R89" s="113"/>
      <c r="S89" s="113"/>
      <c r="T89" s="113"/>
      <c r="U89" s="113"/>
      <c r="V89" s="113"/>
      <c r="W89" s="113"/>
      <c r="X89" s="113"/>
      <c r="Y89" s="125"/>
      <c r="AA89" s="129" t="s">
        <v>377</v>
      </c>
      <c r="AB89" s="155"/>
      <c r="AC89" s="113" t="str">
        <f t="shared" si="12"/>
        <v/>
      </c>
      <c r="AD89" s="211" t="str">
        <f>IF(X447="","",X447)</f>
        <v/>
      </c>
    </row>
    <row r="90" spans="1:38">
      <c r="A90" s="109">
        <v>22</v>
      </c>
      <c r="B90" s="157"/>
      <c r="C90" s="113" t="s">
        <v>131</v>
      </c>
      <c r="D90" s="113"/>
      <c r="E90" s="113" t="s">
        <v>132</v>
      </c>
      <c r="F90" s="113"/>
      <c r="G90" s="113"/>
      <c r="H90" s="113"/>
      <c r="I90" s="113"/>
      <c r="J90" s="113"/>
      <c r="K90" s="113"/>
      <c r="L90" s="198" t="str">
        <f t="shared" si="9"/>
        <v>TBD</v>
      </c>
      <c r="M90" s="199" t="str">
        <f t="shared" si="10"/>
        <v/>
      </c>
      <c r="N90" s="113"/>
      <c r="O90" s="177">
        <v>3</v>
      </c>
      <c r="P90" s="113" t="s">
        <v>133</v>
      </c>
      <c r="Q90" s="113"/>
      <c r="R90" s="113"/>
      <c r="S90" s="113"/>
      <c r="T90" s="113"/>
      <c r="U90" s="113"/>
      <c r="V90" s="113"/>
      <c r="W90" s="113"/>
      <c r="X90" s="113"/>
      <c r="Y90" s="125"/>
      <c r="AA90" s="129" t="s">
        <v>378</v>
      </c>
      <c r="AB90" s="155"/>
      <c r="AC90" s="113" t="str">
        <f t="shared" si="12"/>
        <v/>
      </c>
      <c r="AD90" s="211" t="str">
        <f>IF(X312="","",X312)</f>
        <v/>
      </c>
    </row>
    <row r="91" spans="1:38">
      <c r="A91" s="109">
        <v>23</v>
      </c>
      <c r="B91" s="157"/>
      <c r="C91" s="201"/>
      <c r="D91" s="201"/>
      <c r="E91" s="113" t="s">
        <v>113</v>
      </c>
      <c r="F91" s="201"/>
      <c r="G91" s="201"/>
      <c r="H91" s="201"/>
      <c r="I91" s="201"/>
      <c r="J91" s="201"/>
      <c r="K91" s="201"/>
      <c r="L91" s="198" t="str">
        <f t="shared" si="9"/>
        <v>TBD</v>
      </c>
      <c r="M91" s="199" t="str">
        <f t="shared" si="10"/>
        <v/>
      </c>
      <c r="N91" s="113"/>
      <c r="O91" s="177">
        <v>3</v>
      </c>
      <c r="P91" s="113" t="s">
        <v>134</v>
      </c>
      <c r="Q91" s="113"/>
      <c r="R91" s="113"/>
      <c r="S91" s="113"/>
      <c r="T91" s="113"/>
      <c r="U91" s="113"/>
      <c r="V91" s="113"/>
      <c r="W91" s="113"/>
      <c r="X91" s="113"/>
      <c r="Y91" s="125"/>
      <c r="AA91" s="129" t="s">
        <v>379</v>
      </c>
      <c r="AB91" s="155"/>
      <c r="AC91" s="201" t="str">
        <f t="shared" si="12"/>
        <v/>
      </c>
      <c r="AD91" s="211" t="str">
        <f>IF(X332="","",X332)</f>
        <v/>
      </c>
    </row>
    <row r="92" spans="1:38">
      <c r="A92" s="109">
        <v>24</v>
      </c>
      <c r="B92" s="157"/>
      <c r="C92" s="113" t="s">
        <v>135</v>
      </c>
      <c r="D92" s="113"/>
      <c r="E92" s="113" t="s">
        <v>115</v>
      </c>
      <c r="F92" s="113"/>
      <c r="G92" s="113"/>
      <c r="H92" s="113"/>
      <c r="I92" s="113"/>
      <c r="J92" s="113"/>
      <c r="K92" s="113"/>
      <c r="L92" s="198" t="str">
        <f t="shared" si="9"/>
        <v>TBD</v>
      </c>
      <c r="M92" s="199" t="str">
        <f t="shared" si="10"/>
        <v/>
      </c>
      <c r="N92" s="113"/>
      <c r="O92" s="177"/>
      <c r="P92" s="113" t="s">
        <v>136</v>
      </c>
      <c r="Q92" s="113"/>
      <c r="R92" s="113"/>
      <c r="S92" s="113"/>
      <c r="T92" s="113"/>
      <c r="U92" s="113"/>
      <c r="V92" s="113"/>
      <c r="W92" s="113"/>
      <c r="X92" s="113"/>
      <c r="Y92" s="125"/>
      <c r="AA92" s="129" t="s">
        <v>380</v>
      </c>
      <c r="AB92" s="155"/>
      <c r="AC92" s="201" t="str">
        <f t="shared" si="12"/>
        <v/>
      </c>
      <c r="AD92" s="211" t="str">
        <f>IF(X344="","",X344)</f>
        <v/>
      </c>
    </row>
    <row r="93" spans="1:38" ht="16.2" thickBot="1">
      <c r="A93" s="109">
        <v>25</v>
      </c>
      <c r="B93" s="157"/>
      <c r="C93" s="113" t="s">
        <v>137</v>
      </c>
      <c r="D93" s="113"/>
      <c r="E93" s="113" t="s">
        <v>116</v>
      </c>
      <c r="F93" s="113"/>
      <c r="G93" s="113"/>
      <c r="H93" s="113"/>
      <c r="I93" s="113"/>
      <c r="J93" s="113"/>
      <c r="K93" s="113"/>
      <c r="L93" s="198" t="str">
        <f t="shared" si="9"/>
        <v>TBD</v>
      </c>
      <c r="M93" s="199" t="str">
        <f t="shared" si="10"/>
        <v/>
      </c>
      <c r="N93" s="113"/>
      <c r="O93" s="179"/>
      <c r="P93" s="135" t="s">
        <v>138</v>
      </c>
      <c r="Q93" s="135"/>
      <c r="R93" s="135"/>
      <c r="S93" s="135"/>
      <c r="T93" s="135"/>
      <c r="U93" s="135"/>
      <c r="V93" s="135"/>
      <c r="W93" s="135"/>
      <c r="X93" s="135"/>
      <c r="Y93" s="136"/>
      <c r="AA93" s="129" t="s">
        <v>381</v>
      </c>
      <c r="AB93" s="155"/>
      <c r="AC93" s="201" t="str">
        <f t="shared" si="12"/>
        <v/>
      </c>
      <c r="AD93" s="211" t="str">
        <f>IF(X349="","",X349)</f>
        <v/>
      </c>
    </row>
    <row r="94" spans="1:38">
      <c r="A94" s="109">
        <v>26</v>
      </c>
      <c r="B94" s="157"/>
      <c r="C94" s="113" t="s">
        <v>139</v>
      </c>
      <c r="D94" s="113"/>
      <c r="E94" s="113" t="s">
        <v>118</v>
      </c>
      <c r="F94" s="113"/>
      <c r="G94" s="113"/>
      <c r="H94" s="113"/>
      <c r="I94" s="113"/>
      <c r="J94" s="113"/>
      <c r="K94" s="113"/>
      <c r="L94" s="198" t="str">
        <f t="shared" si="9"/>
        <v>TBD</v>
      </c>
      <c r="M94" s="199" t="str">
        <f t="shared" si="10"/>
        <v/>
      </c>
      <c r="N94" s="113"/>
      <c r="O94" s="113"/>
      <c r="P94" s="113"/>
      <c r="Q94" s="113"/>
      <c r="R94" s="113"/>
      <c r="S94" s="113"/>
      <c r="T94" s="113"/>
      <c r="U94" s="113"/>
      <c r="V94" s="113"/>
      <c r="W94" s="113"/>
      <c r="X94" s="113"/>
      <c r="Y94" s="113"/>
      <c r="AA94" s="523" t="s">
        <v>797</v>
      </c>
      <c r="AB94" s="155"/>
      <c r="AC94" s="201" t="str">
        <f t="shared" ref="AC94" si="13">IF(AB94&lt;&gt;AD94,"Change","")</f>
        <v/>
      </c>
      <c r="AD94" s="211" t="str">
        <f>IF(X358="","",X358)</f>
        <v/>
      </c>
    </row>
    <row r="95" spans="1:38" ht="16.2" thickBot="1">
      <c r="A95" s="109">
        <v>27</v>
      </c>
      <c r="B95" s="157"/>
      <c r="C95" s="113" t="s">
        <v>140</v>
      </c>
      <c r="D95" s="113"/>
      <c r="E95" s="113" t="s">
        <v>120</v>
      </c>
      <c r="F95" s="113"/>
      <c r="G95" s="113"/>
      <c r="H95" s="113"/>
      <c r="I95" s="113"/>
      <c r="J95" s="113"/>
      <c r="K95" s="113"/>
      <c r="L95" s="198" t="str">
        <f t="shared" si="9"/>
        <v>TBD</v>
      </c>
      <c r="M95" s="199" t="str">
        <f t="shared" si="10"/>
        <v/>
      </c>
      <c r="N95" s="113"/>
      <c r="O95" s="113"/>
      <c r="P95" s="113"/>
      <c r="Q95" s="113"/>
      <c r="R95" s="113"/>
      <c r="S95" s="113"/>
      <c r="T95" s="146" t="s">
        <v>141</v>
      </c>
      <c r="U95" s="113"/>
      <c r="V95" s="113"/>
      <c r="W95" s="113"/>
      <c r="X95" s="113"/>
      <c r="Y95" s="113"/>
      <c r="AA95" s="523" t="s">
        <v>696</v>
      </c>
      <c r="AB95" s="155"/>
      <c r="AC95" s="201" t="str">
        <f>IF(AB95&lt;&gt;AD95,"Change","")</f>
        <v/>
      </c>
      <c r="AD95" s="211" t="str">
        <f>IF(X373="","",X373)</f>
        <v/>
      </c>
    </row>
    <row r="96" spans="1:38" ht="16.2" thickBot="1">
      <c r="A96" s="109">
        <v>28</v>
      </c>
      <c r="B96" s="157"/>
      <c r="C96" s="113" t="s">
        <v>142</v>
      </c>
      <c r="D96" s="113"/>
      <c r="E96" s="113" t="s">
        <v>121</v>
      </c>
      <c r="F96" s="113"/>
      <c r="G96" s="113"/>
      <c r="H96" s="113"/>
      <c r="I96" s="113"/>
      <c r="J96" s="113"/>
      <c r="K96" s="113"/>
      <c r="L96" s="198" t="str">
        <f t="shared" si="9"/>
        <v>TBD</v>
      </c>
      <c r="M96" s="199" t="str">
        <f t="shared" si="10"/>
        <v/>
      </c>
      <c r="N96" s="113"/>
      <c r="O96" s="152"/>
      <c r="P96" s="115"/>
      <c r="Q96" s="115"/>
      <c r="R96" s="115"/>
      <c r="S96" s="115"/>
      <c r="T96" s="115"/>
      <c r="U96" s="115"/>
      <c r="V96" s="115"/>
      <c r="W96" s="115"/>
      <c r="X96" s="115"/>
      <c r="Y96" s="116"/>
      <c r="AA96" s="523" t="s">
        <v>697</v>
      </c>
      <c r="AB96" s="155"/>
      <c r="AC96" s="201" t="str">
        <f>IF(AB96&lt;&gt;AD96,"Change","")</f>
        <v/>
      </c>
      <c r="AD96" s="211" t="str">
        <f>IF(X388="","",X388)</f>
        <v/>
      </c>
    </row>
    <row r="97" spans="1:30" ht="16.8" thickTop="1" thickBot="1">
      <c r="A97" s="109">
        <v>29</v>
      </c>
      <c r="B97" s="157"/>
      <c r="C97" s="173"/>
      <c r="D97" s="113"/>
      <c r="E97" s="113" t="s">
        <v>123</v>
      </c>
      <c r="F97" s="113"/>
      <c r="G97" s="113"/>
      <c r="H97" s="113"/>
      <c r="I97" s="113"/>
      <c r="J97" s="113"/>
      <c r="K97" s="113"/>
      <c r="L97" s="198" t="str">
        <f t="shared" si="9"/>
        <v>TBD</v>
      </c>
      <c r="M97" s="199" t="str">
        <f t="shared" si="10"/>
        <v/>
      </c>
      <c r="N97" s="113"/>
      <c r="O97" s="178" t="s">
        <v>41</v>
      </c>
      <c r="P97" s="645" t="s">
        <v>42</v>
      </c>
      <c r="Q97" s="645"/>
      <c r="R97" s="645"/>
      <c r="S97" s="646" t="s">
        <v>43</v>
      </c>
      <c r="T97" s="646"/>
      <c r="U97" s="646"/>
      <c r="V97" s="645" t="s">
        <v>44</v>
      </c>
      <c r="W97" s="645"/>
      <c r="X97" s="645"/>
      <c r="Y97" s="125"/>
      <c r="AA97" s="216" t="s">
        <v>226</v>
      </c>
      <c r="AB97" s="201"/>
      <c r="AC97" s="201"/>
      <c r="AD97" s="201"/>
    </row>
    <row r="98" spans="1:30" ht="16.2" thickTop="1">
      <c r="A98" s="109">
        <v>30</v>
      </c>
      <c r="B98" s="157"/>
      <c r="C98" s="113"/>
      <c r="D98" s="113"/>
      <c r="E98" s="113" t="s">
        <v>125</v>
      </c>
      <c r="F98" s="113"/>
      <c r="G98" s="113"/>
      <c r="H98" s="113"/>
      <c r="I98" s="113"/>
      <c r="J98" s="113"/>
      <c r="K98" s="113"/>
      <c r="L98" s="198" t="str">
        <f t="shared" si="9"/>
        <v>TBD</v>
      </c>
      <c r="M98" s="199" t="str">
        <f t="shared" si="10"/>
        <v/>
      </c>
      <c r="N98" s="113"/>
      <c r="O98" s="180" t="s">
        <v>45</v>
      </c>
      <c r="P98" s="645"/>
      <c r="Q98" s="645"/>
      <c r="R98" s="645"/>
      <c r="S98" s="646"/>
      <c r="T98" s="646"/>
      <c r="U98" s="646"/>
      <c r="V98" s="645"/>
      <c r="W98" s="645"/>
      <c r="X98" s="645"/>
      <c r="Y98" s="125"/>
      <c r="AA98" s="217" t="str">
        <f>Q223</f>
        <v>W</v>
      </c>
      <c r="AB98" s="155"/>
      <c r="AC98" s="217" t="str">
        <f t="shared" ref="AC98:AC100" si="14">IF(AB98&lt;&gt;AD98,"Change","")</f>
        <v/>
      </c>
      <c r="AD98" s="211" t="str">
        <f>IF(Q226="","",Q226)</f>
        <v/>
      </c>
    </row>
    <row r="99" spans="1:30" ht="16.2" thickBot="1">
      <c r="A99" s="109">
        <v>31</v>
      </c>
      <c r="B99" s="157"/>
      <c r="C99" s="113" t="s">
        <v>143</v>
      </c>
      <c r="D99" s="113"/>
      <c r="E99" s="113" t="s">
        <v>127</v>
      </c>
      <c r="F99" s="113"/>
      <c r="G99" s="113"/>
      <c r="H99" s="113"/>
      <c r="I99" s="113"/>
      <c r="J99" s="113"/>
      <c r="K99" s="113"/>
      <c r="L99" s="198" t="str">
        <f t="shared" si="9"/>
        <v>TBD</v>
      </c>
      <c r="M99" s="199" t="str">
        <f t="shared" si="10"/>
        <v/>
      </c>
      <c r="N99" s="113"/>
      <c r="O99" s="180" t="s">
        <v>46</v>
      </c>
      <c r="P99" s="181" t="s">
        <v>47</v>
      </c>
      <c r="Q99" s="182" t="s">
        <v>48</v>
      </c>
      <c r="R99" s="183" t="s">
        <v>49</v>
      </c>
      <c r="S99" s="181" t="s">
        <v>47</v>
      </c>
      <c r="T99" s="182" t="s">
        <v>48</v>
      </c>
      <c r="U99" s="183" t="s">
        <v>49</v>
      </c>
      <c r="V99" s="181" t="s">
        <v>47</v>
      </c>
      <c r="W99" s="182" t="s">
        <v>48</v>
      </c>
      <c r="X99" s="183" t="s">
        <v>49</v>
      </c>
      <c r="Y99" s="125"/>
      <c r="AA99" s="217" t="str">
        <f>R223</f>
        <v>W</v>
      </c>
      <c r="AB99" s="155"/>
      <c r="AC99" s="217" t="str">
        <f t="shared" si="14"/>
        <v/>
      </c>
      <c r="AD99" s="211" t="str">
        <f>IF(R226="","",R226)</f>
        <v/>
      </c>
    </row>
    <row r="100" spans="1:30" ht="16.2" thickTop="1">
      <c r="A100" s="109">
        <v>32</v>
      </c>
      <c r="B100" s="157"/>
      <c r="C100" s="113" t="s">
        <v>144</v>
      </c>
      <c r="D100" s="113"/>
      <c r="E100" s="113" t="s">
        <v>130</v>
      </c>
      <c r="F100" s="113"/>
      <c r="G100" s="113"/>
      <c r="H100" s="113"/>
      <c r="I100" s="113"/>
      <c r="J100" s="113"/>
      <c r="K100" s="113"/>
      <c r="L100" s="198" t="str">
        <f t="shared" si="9"/>
        <v>NA</v>
      </c>
      <c r="M100" s="199" t="str">
        <f t="shared" si="10"/>
        <v/>
      </c>
      <c r="N100" s="113"/>
      <c r="O100" s="184" t="s">
        <v>51</v>
      </c>
      <c r="P100" s="218" t="str">
        <f>IF(P108&lt;&gt;"",P108,IF(AB48="","",AB48))</f>
        <v/>
      </c>
      <c r="Q100" s="219" t="str">
        <f>IF(Q108&lt;&gt;"",Q108,IF(AB49="","",AB49))</f>
        <v/>
      </c>
      <c r="R100" s="220" t="str">
        <f>IF(R108&lt;&gt;"",R108,IF(AB50="","",AB50))</f>
        <v/>
      </c>
      <c r="S100" s="218" t="str">
        <f>IF(S108&lt;&gt;"",S108,IF(AB61="","",AB61))</f>
        <v/>
      </c>
      <c r="T100" s="219" t="str">
        <f>IF(T108&lt;&gt;"",T108,IF(AB62="","",AB62))</f>
        <v/>
      </c>
      <c r="U100" s="220" t="str">
        <f>IF(U108&lt;&gt;"",U108,IF(AB63="","",AB63))</f>
        <v/>
      </c>
      <c r="V100" s="218" t="str">
        <f>IF(V108&lt;&gt;"",V108,IF(AB74="","",AB74))</f>
        <v/>
      </c>
      <c r="W100" s="219" t="str">
        <f>IF(W108&lt;&gt;"",W108,IF(AB75="","",AB75))</f>
        <v/>
      </c>
      <c r="X100" s="220" t="str">
        <f>IF(X108&lt;&gt;"",X108,IF(AB76="","",AB76))</f>
        <v/>
      </c>
      <c r="Y100" s="125"/>
      <c r="AA100" s="217" t="str">
        <f>S223</f>
        <v>W</v>
      </c>
      <c r="AB100" s="155"/>
      <c r="AC100" s="217" t="str">
        <f t="shared" si="14"/>
        <v/>
      </c>
      <c r="AD100" s="211" t="str">
        <f>IF(S226="","",S226)</f>
        <v/>
      </c>
    </row>
    <row r="101" spans="1:30">
      <c r="A101" s="109">
        <v>33</v>
      </c>
      <c r="B101" s="157"/>
      <c r="C101" s="113" t="s">
        <v>145</v>
      </c>
      <c r="D101" s="113"/>
      <c r="E101" s="113" t="s">
        <v>146</v>
      </c>
      <c r="F101" s="113"/>
      <c r="G101" s="113"/>
      <c r="H101" s="113"/>
      <c r="I101" s="113"/>
      <c r="J101" s="113"/>
      <c r="K101" s="113"/>
      <c r="L101" s="198" t="str">
        <f t="shared" si="9"/>
        <v>NA</v>
      </c>
      <c r="M101" s="199" t="str">
        <f t="shared" si="10"/>
        <v/>
      </c>
      <c r="N101" s="113"/>
      <c r="O101" s="189" t="s">
        <v>53</v>
      </c>
      <c r="P101" s="221" t="str">
        <f>IF(P109&lt;&gt;"",P109,IF(AB51="","",AB51))</f>
        <v/>
      </c>
      <c r="Q101" s="222" t="str">
        <f>IF(Q109&lt;&gt;"",Q109,IF(AB52="","",AB52))</f>
        <v/>
      </c>
      <c r="R101" s="223" t="str">
        <f>IF(R109&lt;&gt;"",R109,IF(AB53="","",AB53))</f>
        <v/>
      </c>
      <c r="S101" s="221" t="str">
        <f>IF(S109&lt;&gt;"",S109,IF(AB64="","",AB64))</f>
        <v/>
      </c>
      <c r="T101" s="222" t="str">
        <f>IF(T109&lt;&gt;"",T109,IF(AB65="","",AB65))</f>
        <v/>
      </c>
      <c r="U101" s="223" t="str">
        <f>IF(U109&lt;&gt;"",U109,IF(AB66="","",AB66))</f>
        <v/>
      </c>
      <c r="V101" s="221" t="str">
        <f>IF(V109&lt;&gt;"",V109,IF(AB77="","",AB77))</f>
        <v/>
      </c>
      <c r="W101" s="222" t="str">
        <f>IF(W109&lt;&gt;"",W109,IF(AB78="","",AB78))</f>
        <v/>
      </c>
      <c r="X101" s="223" t="str">
        <f>IF(X109&lt;&gt;"",X109,IF(AB79="","",AB79))</f>
        <v/>
      </c>
      <c r="Y101" s="125"/>
      <c r="AA101" s="217"/>
      <c r="AB101" s="217"/>
      <c r="AC101" s="217"/>
      <c r="AD101" s="217"/>
    </row>
    <row r="102" spans="1:30">
      <c r="A102" s="109">
        <v>34</v>
      </c>
      <c r="B102" s="157"/>
      <c r="C102" s="113" t="s">
        <v>147</v>
      </c>
      <c r="D102" s="113"/>
      <c r="E102" s="113" t="s">
        <v>134</v>
      </c>
      <c r="F102" s="113"/>
      <c r="G102" s="113"/>
      <c r="H102" s="113"/>
      <c r="I102" s="113"/>
      <c r="J102" s="113"/>
      <c r="K102" s="113"/>
      <c r="L102" s="198" t="str">
        <f t="shared" si="9"/>
        <v>NA</v>
      </c>
      <c r="M102" s="199" t="str">
        <f t="shared" si="10"/>
        <v/>
      </c>
      <c r="N102" s="113"/>
      <c r="O102" s="189" t="s">
        <v>55</v>
      </c>
      <c r="P102" s="221" t="str">
        <f>IF(P110&lt;&gt;"",P110,IF(AB54="","",AB54))</f>
        <v/>
      </c>
      <c r="Q102" s="222" t="str">
        <f>IF(Q110&lt;&gt;"",Q110,IF(AB55="","",AB55))</f>
        <v/>
      </c>
      <c r="R102" s="223" t="str">
        <f>IF(R110&lt;&gt;"",R110,IF(AB56="","",AB56))</f>
        <v/>
      </c>
      <c r="S102" s="221" t="str">
        <f>IF(S110&lt;&gt;"",S110,IF(AB67="","",AB67))</f>
        <v/>
      </c>
      <c r="T102" s="222" t="str">
        <f>IF(T110&lt;&gt;"",T110,IF(AB68="","",AB68))</f>
        <v/>
      </c>
      <c r="U102" s="223" t="str">
        <f>IF(U110&lt;&gt;"",U110,IF(AB69="","",AB69))</f>
        <v/>
      </c>
      <c r="V102" s="221" t="str">
        <f>IF(V110&lt;&gt;"",V110,IF(AB80="","",AB80))</f>
        <v/>
      </c>
      <c r="W102" s="222" t="str">
        <f>IF(W110&lt;&gt;"",W110,IF(AB81="","",AB81))</f>
        <v/>
      </c>
      <c r="X102" s="223" t="str">
        <f>IF(X110&lt;&gt;"",X110,IF(AB82="","",AB82))</f>
        <v/>
      </c>
      <c r="Y102" s="125"/>
      <c r="AA102" s="165" t="s">
        <v>382</v>
      </c>
      <c r="AB102" s="113"/>
      <c r="AC102" s="113"/>
      <c r="AD102" s="113"/>
    </row>
    <row r="103" spans="1:30" ht="16.2" thickBot="1">
      <c r="A103" s="109">
        <v>35</v>
      </c>
      <c r="B103" s="157"/>
      <c r="C103" s="113" t="s">
        <v>148</v>
      </c>
      <c r="D103" s="113"/>
      <c r="E103" s="113" t="s">
        <v>136</v>
      </c>
      <c r="F103" s="113"/>
      <c r="G103" s="113"/>
      <c r="H103" s="113"/>
      <c r="I103" s="113"/>
      <c r="J103" s="113"/>
      <c r="K103" s="113"/>
      <c r="L103" s="198" t="str">
        <f t="shared" si="9"/>
        <v>TBD</v>
      </c>
      <c r="M103" s="199" t="str">
        <f t="shared" si="10"/>
        <v/>
      </c>
      <c r="N103" s="113"/>
      <c r="O103" s="193" t="s">
        <v>56</v>
      </c>
      <c r="P103" s="224" t="str">
        <f>IF(P111&lt;&gt;"",P111,IF(AB57="","",AB57))</f>
        <v/>
      </c>
      <c r="Q103" s="225" t="str">
        <f>IF(Q111&lt;&gt;"",Q111,IF(AB58="","",AB58))</f>
        <v/>
      </c>
      <c r="R103" s="226" t="str">
        <f>IF(R111&lt;&gt;"",R111,IF(AB59="","",AB59))</f>
        <v/>
      </c>
      <c r="S103" s="224" t="str">
        <f>IF(S111&lt;&gt;"",S111,IF(AB70="","",AB70))</f>
        <v/>
      </c>
      <c r="T103" s="225" t="str">
        <f>IF(T111&lt;&gt;"",T111,IF(AB71="","",AB71))</f>
        <v/>
      </c>
      <c r="U103" s="226" t="str">
        <f>IF(U111&lt;&gt;"",U111,IF(AB72="","",AB72))</f>
        <v/>
      </c>
      <c r="V103" s="224" t="str">
        <f>IF(V111&lt;&gt;"",V111,IF(AB83="","",AB83))</f>
        <v/>
      </c>
      <c r="W103" s="225" t="str">
        <f>IF(W111&lt;&gt;"",W111,IF(AB84="","",AB84))</f>
        <v/>
      </c>
      <c r="X103" s="226" t="str">
        <f>IF(X111&lt;&gt;"",X111,IF(AB85="","",AB85))</f>
        <v/>
      </c>
      <c r="Y103" s="125"/>
      <c r="AA103" s="129" t="s">
        <v>172</v>
      </c>
      <c r="AB103" s="155"/>
      <c r="AC103" s="113" t="str">
        <f t="shared" ref="AC103:AC111" si="15">IF(AB103&lt;&gt;AD103,"Change","")</f>
        <v/>
      </c>
      <c r="AD103" s="156">
        <f t="shared" ref="AD103:AD108" si="16">IF(Q504="","",Q504)</f>
        <v>0</v>
      </c>
    </row>
    <row r="104" spans="1:30" ht="16.8" thickTop="1" thickBot="1">
      <c r="A104" s="109">
        <v>36</v>
      </c>
      <c r="B104" s="157"/>
      <c r="C104" s="113" t="s">
        <v>149</v>
      </c>
      <c r="D104" s="113"/>
      <c r="E104" s="113" t="s">
        <v>138</v>
      </c>
      <c r="F104" s="113"/>
      <c r="G104" s="113"/>
      <c r="H104" s="113"/>
      <c r="I104" s="113"/>
      <c r="J104" s="113"/>
      <c r="K104" s="113"/>
      <c r="L104" s="198" t="str">
        <f t="shared" si="9"/>
        <v>TBD</v>
      </c>
      <c r="M104" s="199" t="str">
        <f t="shared" si="10"/>
        <v/>
      </c>
      <c r="N104" s="113"/>
      <c r="O104" s="123"/>
      <c r="P104" s="113"/>
      <c r="Q104" s="113"/>
      <c r="R104" s="113"/>
      <c r="S104" s="113"/>
      <c r="T104" s="113"/>
      <c r="U104" s="113"/>
      <c r="V104" s="113"/>
      <c r="W104" s="113"/>
      <c r="X104" s="113"/>
      <c r="Y104" s="125"/>
      <c r="AA104" s="129" t="s">
        <v>262</v>
      </c>
      <c r="AB104" s="155"/>
      <c r="AC104" s="113" t="str">
        <f t="shared" si="15"/>
        <v/>
      </c>
      <c r="AD104" s="156">
        <f t="shared" si="16"/>
        <v>0</v>
      </c>
    </row>
    <row r="105" spans="1:30" ht="16.8" thickTop="1" thickBot="1">
      <c r="A105" s="109">
        <v>37</v>
      </c>
      <c r="B105" s="157"/>
      <c r="C105" s="113"/>
      <c r="D105" s="113"/>
      <c r="E105" s="113"/>
      <c r="F105" s="113"/>
      <c r="G105" s="113"/>
      <c r="H105" s="146" t="s">
        <v>150</v>
      </c>
      <c r="I105" s="113"/>
      <c r="J105" s="113"/>
      <c r="K105" s="113"/>
      <c r="L105" s="113"/>
      <c r="M105" s="158"/>
      <c r="N105" s="113"/>
      <c r="O105" s="178" t="s">
        <v>41</v>
      </c>
      <c r="P105" s="645" t="s">
        <v>42</v>
      </c>
      <c r="Q105" s="645"/>
      <c r="R105" s="645"/>
      <c r="S105" s="646" t="s">
        <v>43</v>
      </c>
      <c r="T105" s="646"/>
      <c r="U105" s="646"/>
      <c r="V105" s="645" t="s">
        <v>44</v>
      </c>
      <c r="W105" s="645"/>
      <c r="X105" s="645"/>
      <c r="Y105" s="125"/>
      <c r="AA105" s="129" t="s">
        <v>383</v>
      </c>
      <c r="AB105" s="155"/>
      <c r="AC105" s="113" t="str">
        <f t="shared" si="15"/>
        <v/>
      </c>
      <c r="AD105" s="156" t="str">
        <f t="shared" si="16"/>
        <v/>
      </c>
    </row>
    <row r="106" spans="1:30" ht="16.2" thickTop="1">
      <c r="A106" s="109">
        <v>38</v>
      </c>
      <c r="B106" s="157"/>
      <c r="C106" s="227" t="str">
        <f>IF(Q542="","",IF(LEN(Q542)&lt;=135,Q542,IF(LEN(Q542)&lt;=260,LEFT(Q542,SEARCH(" ",Q542,125)),LEFT(Q542,SEARCH(" ",Q542,130)))))</f>
        <v/>
      </c>
      <c r="D106" s="228"/>
      <c r="E106" s="228"/>
      <c r="F106" s="228"/>
      <c r="G106" s="228"/>
      <c r="H106" s="228"/>
      <c r="I106" s="228"/>
      <c r="J106" s="228"/>
      <c r="K106" s="228"/>
      <c r="L106" s="228"/>
      <c r="M106" s="158"/>
      <c r="N106" s="113"/>
      <c r="O106" s="180" t="s">
        <v>45</v>
      </c>
      <c r="P106" s="645"/>
      <c r="Q106" s="645"/>
      <c r="R106" s="645"/>
      <c r="S106" s="646"/>
      <c r="T106" s="646"/>
      <c r="U106" s="646"/>
      <c r="V106" s="645"/>
      <c r="W106" s="645"/>
      <c r="X106" s="645"/>
      <c r="Y106" s="125"/>
      <c r="AA106" s="129" t="s">
        <v>268</v>
      </c>
      <c r="AB106" s="155"/>
      <c r="AC106" s="113" t="str">
        <f t="shared" si="15"/>
        <v/>
      </c>
      <c r="AD106" s="156" t="str">
        <f t="shared" si="16"/>
        <v/>
      </c>
    </row>
    <row r="107" spans="1:30" ht="16.2" thickBot="1">
      <c r="A107" s="109">
        <v>39</v>
      </c>
      <c r="B107" s="157"/>
      <c r="C107" s="229" t="str">
        <f>IF(LEN(Q542)&lt;=135,"",IF(LEN(Q542)&lt;=260,RIGHT(Q542,LEN(Q542)-SEARCH(" ",Q542,125)),MID(Q542,SEARCH(" ",Q542,130),IF(LEN(Q542)&lt;=265,LEN(Q542),SEARCH(" ",Q542,255)-SEARCH(" ",Q542,130)))))</f>
        <v/>
      </c>
      <c r="D107" s="230"/>
      <c r="E107" s="230"/>
      <c r="F107" s="230"/>
      <c r="G107" s="230"/>
      <c r="H107" s="230"/>
      <c r="I107" s="230"/>
      <c r="J107" s="230"/>
      <c r="K107" s="230"/>
      <c r="L107" s="230"/>
      <c r="M107" s="158"/>
      <c r="N107" s="113"/>
      <c r="O107" s="180" t="s">
        <v>46</v>
      </c>
      <c r="P107" s="181" t="s">
        <v>47</v>
      </c>
      <c r="Q107" s="182" t="s">
        <v>48</v>
      </c>
      <c r="R107" s="183" t="s">
        <v>49</v>
      </c>
      <c r="S107" s="181" t="s">
        <v>47</v>
      </c>
      <c r="T107" s="182" t="s">
        <v>48</v>
      </c>
      <c r="U107" s="183" t="s">
        <v>49</v>
      </c>
      <c r="V107" s="181" t="s">
        <v>47</v>
      </c>
      <c r="W107" s="182" t="s">
        <v>48</v>
      </c>
      <c r="X107" s="183" t="s">
        <v>49</v>
      </c>
      <c r="Y107" s="125"/>
      <c r="AA107" s="129" t="s">
        <v>273</v>
      </c>
      <c r="AB107" s="155"/>
      <c r="AC107" s="113" t="str">
        <f t="shared" si="15"/>
        <v/>
      </c>
      <c r="AD107" s="156" t="str">
        <f t="shared" si="16"/>
        <v/>
      </c>
    </row>
    <row r="108" spans="1:30" ht="16.2" thickTop="1">
      <c r="A108" s="109">
        <v>40</v>
      </c>
      <c r="B108" s="157"/>
      <c r="C108" s="229" t="str">
        <f>IF(LEN(Q542)&lt;=265,"",RIGHT(Q542,LEN(Q542)-SEARCH(" ",Q542,255)))</f>
        <v/>
      </c>
      <c r="D108" s="230"/>
      <c r="E108" s="230"/>
      <c r="F108" s="230"/>
      <c r="G108" s="230"/>
      <c r="H108" s="230"/>
      <c r="I108" s="230"/>
      <c r="J108" s="230"/>
      <c r="K108" s="230"/>
      <c r="L108" s="230"/>
      <c r="M108" s="158"/>
      <c r="N108" s="113"/>
      <c r="O108" s="184" t="s">
        <v>51</v>
      </c>
      <c r="P108" s="231"/>
      <c r="Q108" s="232"/>
      <c r="R108" s="233"/>
      <c r="S108" s="231"/>
      <c r="T108" s="232"/>
      <c r="U108" s="233"/>
      <c r="V108" s="231"/>
      <c r="W108" s="232"/>
      <c r="X108" s="233"/>
      <c r="Y108" s="125"/>
      <c r="AA108" s="129" t="s">
        <v>276</v>
      </c>
      <c r="AB108" s="155"/>
      <c r="AC108" s="113" t="str">
        <f t="shared" si="15"/>
        <v/>
      </c>
      <c r="AD108" s="156" t="str">
        <f t="shared" si="16"/>
        <v/>
      </c>
    </row>
    <row r="109" spans="1:30">
      <c r="A109" s="109">
        <v>41</v>
      </c>
      <c r="B109" s="157"/>
      <c r="C109" s="229" t="str">
        <f>IF(Q544="","",IF(LEN(Q544)&lt;=135,Q544,IF(LEN(Q544)&lt;=260,LEFT(Q544,SEARCH(" ",Q544,125)),LEFT(Q544,SEARCH(" ",Q544,130)))))</f>
        <v/>
      </c>
      <c r="D109" s="230"/>
      <c r="E109" s="230"/>
      <c r="F109" s="230"/>
      <c r="G109" s="230"/>
      <c r="H109" s="230"/>
      <c r="I109" s="230"/>
      <c r="J109" s="230"/>
      <c r="K109" s="230"/>
      <c r="L109" s="230"/>
      <c r="M109" s="158"/>
      <c r="N109" s="113"/>
      <c r="O109" s="189" t="s">
        <v>53</v>
      </c>
      <c r="P109" s="234"/>
      <c r="Q109" s="235"/>
      <c r="R109" s="236"/>
      <c r="S109" s="234"/>
      <c r="T109" s="235"/>
      <c r="U109" s="236"/>
      <c r="V109" s="234"/>
      <c r="W109" s="235"/>
      <c r="X109" s="236"/>
      <c r="Y109" s="125"/>
      <c r="AA109" s="129" t="s">
        <v>266</v>
      </c>
      <c r="AB109" s="155"/>
      <c r="AC109" s="113" t="str">
        <f t="shared" si="15"/>
        <v/>
      </c>
      <c r="AD109" s="156" t="str">
        <f>IF(U504="","",U504)</f>
        <v/>
      </c>
    </row>
    <row r="110" spans="1:30">
      <c r="A110" s="109">
        <v>42</v>
      </c>
      <c r="B110" s="157"/>
      <c r="C110" s="229" t="str">
        <f>IF(LEN(Q544)&lt;=135,"",IF(LEN(Q544)&lt;=260,RIGHT(Q544,LEN(Q544)-SEARCH(" ",Q544,125)),MID(Q544,SEARCH(" ",Q544,130),IF(LEN(Q544)&lt;=265,LEN(Q544),SEARCH(" ",Q544,255)-SEARCH(" ",Q544,130)))))</f>
        <v/>
      </c>
      <c r="D110" s="230"/>
      <c r="E110" s="230"/>
      <c r="F110" s="230"/>
      <c r="G110" s="230"/>
      <c r="H110" s="230"/>
      <c r="I110" s="230"/>
      <c r="J110" s="230"/>
      <c r="K110" s="230"/>
      <c r="L110" s="230"/>
      <c r="M110" s="158"/>
      <c r="N110" s="113"/>
      <c r="O110" s="189" t="s">
        <v>55</v>
      </c>
      <c r="P110" s="234"/>
      <c r="Q110" s="235"/>
      <c r="R110" s="236"/>
      <c r="S110" s="234"/>
      <c r="T110" s="235"/>
      <c r="U110" s="236"/>
      <c r="V110" s="234"/>
      <c r="W110" s="235"/>
      <c r="X110" s="236"/>
      <c r="Y110" s="125"/>
      <c r="AA110" s="129" t="s">
        <v>269</v>
      </c>
      <c r="AB110" s="155"/>
      <c r="AC110" s="113" t="str">
        <f t="shared" si="15"/>
        <v/>
      </c>
      <c r="AD110" s="156" t="str">
        <f>IF(U505="","",U505)</f>
        <v/>
      </c>
    </row>
    <row r="111" spans="1:30" ht="16.2" thickBot="1">
      <c r="A111" s="109">
        <v>43</v>
      </c>
      <c r="B111" s="157"/>
      <c r="C111" s="229" t="str">
        <f>IF(LEN(Q544)&lt;=265,"",RIGHT(Q544,LEN(Q544)-SEARCH(" ",Q544,255)))</f>
        <v/>
      </c>
      <c r="D111" s="230"/>
      <c r="E111" s="230"/>
      <c r="F111" s="230"/>
      <c r="G111" s="230"/>
      <c r="H111" s="230"/>
      <c r="I111" s="230"/>
      <c r="J111" s="230"/>
      <c r="K111" s="230"/>
      <c r="L111" s="230"/>
      <c r="M111" s="158"/>
      <c r="N111" s="113"/>
      <c r="O111" s="237" t="s">
        <v>56</v>
      </c>
      <c r="P111" s="238"/>
      <c r="Q111" s="239"/>
      <c r="R111" s="240"/>
      <c r="S111" s="238"/>
      <c r="T111" s="239"/>
      <c r="U111" s="240"/>
      <c r="V111" s="238"/>
      <c r="W111" s="239"/>
      <c r="X111" s="240"/>
      <c r="Y111" s="136"/>
      <c r="AA111" s="129" t="s">
        <v>274</v>
      </c>
      <c r="AB111" s="155"/>
      <c r="AC111" s="113" t="str">
        <f t="shared" si="15"/>
        <v/>
      </c>
      <c r="AD111" s="156" t="str">
        <f>IF(U506="","",U506)</f>
        <v/>
      </c>
    </row>
    <row r="112" spans="1:30">
      <c r="A112" s="109">
        <v>44</v>
      </c>
      <c r="B112" s="157"/>
      <c r="C112" s="229" t="str">
        <f>IF(Q546="","",IF(LEN(Q546)&lt;=135,Q546,IF(LEN(Q546)&lt;=260,LEFT(Q546,SEARCH(" ",Q546,125)),LEFT(Q546,SEARCH(" ",Q546,130)))))</f>
        <v/>
      </c>
      <c r="D112" s="230"/>
      <c r="E112" s="230"/>
      <c r="F112" s="230"/>
      <c r="G112" s="230"/>
      <c r="H112" s="230"/>
      <c r="I112" s="230"/>
      <c r="J112" s="230"/>
      <c r="K112" s="230"/>
      <c r="L112" s="230"/>
      <c r="M112" s="158"/>
      <c r="N112" s="113"/>
      <c r="O112" s="173"/>
      <c r="P112" s="173"/>
      <c r="Q112" s="173"/>
      <c r="R112" s="173"/>
      <c r="S112" s="173"/>
      <c r="T112" s="173"/>
      <c r="U112" s="173"/>
      <c r="V112" s="173"/>
      <c r="W112" s="173"/>
      <c r="X112" s="173"/>
      <c r="Y112" s="113"/>
      <c r="AA112" s="165" t="s">
        <v>384</v>
      </c>
      <c r="AB112" s="113"/>
      <c r="AC112" s="113"/>
      <c r="AD112" s="113"/>
    </row>
    <row r="113" spans="1:30" ht="16.2" thickBot="1">
      <c r="A113" s="109">
        <v>45</v>
      </c>
      <c r="B113" s="157"/>
      <c r="C113" s="229" t="str">
        <f>IF(LEN(Q546)&lt;=135,"",IF(LEN(Q546)&lt;=260,RIGHT(Q546,LEN(Q546)-SEARCH(" ",Q546,125)),MID(Q546,SEARCH(" ",Q546,130),IF(LEN(Q546)&lt;=265,LEN(Q546),SEARCH(" ",Q546,255)-SEARCH(" ",Q546,130)))))</f>
        <v/>
      </c>
      <c r="D113" s="230"/>
      <c r="E113" s="230"/>
      <c r="F113" s="230"/>
      <c r="G113" s="230"/>
      <c r="H113" s="230"/>
      <c r="I113" s="230"/>
      <c r="J113" s="230"/>
      <c r="K113" s="230"/>
      <c r="L113" s="230"/>
      <c r="M113" s="158"/>
      <c r="N113" s="113"/>
      <c r="O113" s="113"/>
      <c r="P113" s="113"/>
      <c r="Q113" s="113"/>
      <c r="R113" s="113"/>
      <c r="S113" s="113"/>
      <c r="T113" s="146" t="s">
        <v>50</v>
      </c>
      <c r="U113" s="113"/>
      <c r="V113" s="113"/>
      <c r="W113" s="113"/>
      <c r="X113" s="113"/>
      <c r="Y113" s="113"/>
      <c r="AA113" s="129" t="s">
        <v>385</v>
      </c>
      <c r="AB113" s="155"/>
      <c r="AC113" s="113" t="str">
        <f t="shared" ref="AC113:AC130" si="17">IF(AB113&lt;&gt;AD113,"Change","")</f>
        <v/>
      </c>
      <c r="AD113" s="156">
        <f t="shared" ref="AD113:AD118" si="18">IF(P520="","",P520)</f>
        <v>0</v>
      </c>
    </row>
    <row r="114" spans="1:30">
      <c r="A114" s="109">
        <v>46</v>
      </c>
      <c r="B114" s="157"/>
      <c r="C114" s="229" t="str">
        <f>IF(LEN(Q546)&lt;=265,"",RIGHT(Q546,LEN(Q546)-SEARCH(" ",Q546,255)))</f>
        <v/>
      </c>
      <c r="D114" s="230"/>
      <c r="E114" s="230"/>
      <c r="F114" s="230"/>
      <c r="G114" s="230"/>
      <c r="H114" s="230"/>
      <c r="I114" s="230"/>
      <c r="J114" s="230"/>
      <c r="K114" s="230"/>
      <c r="L114" s="230"/>
      <c r="M114" s="158"/>
      <c r="N114" s="113"/>
      <c r="O114" s="241" t="s">
        <v>151</v>
      </c>
      <c r="P114" s="115"/>
      <c r="Q114" s="115"/>
      <c r="R114" s="115"/>
      <c r="S114" s="115"/>
      <c r="T114" s="115"/>
      <c r="U114" s="115"/>
      <c r="V114" s="115"/>
      <c r="W114" s="115"/>
      <c r="X114" s="115"/>
      <c r="Y114" s="116"/>
      <c r="AA114" s="129" t="s">
        <v>262</v>
      </c>
      <c r="AB114" s="155"/>
      <c r="AC114" s="113" t="str">
        <f t="shared" si="17"/>
        <v/>
      </c>
      <c r="AD114" s="156">
        <f t="shared" si="18"/>
        <v>0</v>
      </c>
    </row>
    <row r="115" spans="1:30">
      <c r="A115" s="109">
        <v>47</v>
      </c>
      <c r="B115" s="157"/>
      <c r="C115" s="229" t="str">
        <f>IF(Q548="","",IF(LEN(Q548)&lt;=135,Q548,IF(LEN(Q548)&lt;=260,LEFT(Q548,SEARCH(" ",Q548,125)),LEFT(Q548,SEARCH(" ",Q548,130)))))</f>
        <v/>
      </c>
      <c r="D115" s="230"/>
      <c r="E115" s="230"/>
      <c r="F115" s="230"/>
      <c r="G115" s="230"/>
      <c r="H115" s="230"/>
      <c r="I115" s="230"/>
      <c r="J115" s="230"/>
      <c r="K115" s="230"/>
      <c r="L115" s="230"/>
      <c r="M115" s="158"/>
      <c r="N115" s="113"/>
      <c r="O115" s="123"/>
      <c r="P115" s="113"/>
      <c r="Q115" s="113" t="s">
        <v>152</v>
      </c>
      <c r="R115" s="113" t="s">
        <v>153</v>
      </c>
      <c r="S115" s="113" t="s">
        <v>154</v>
      </c>
      <c r="T115" s="113" t="s">
        <v>155</v>
      </c>
      <c r="U115" s="113"/>
      <c r="V115" s="113"/>
      <c r="W115" s="113"/>
      <c r="X115" s="113"/>
      <c r="Y115" s="125"/>
      <c r="AA115" s="129" t="s">
        <v>386</v>
      </c>
      <c r="AB115" s="155"/>
      <c r="AC115" s="113" t="str">
        <f t="shared" si="17"/>
        <v/>
      </c>
      <c r="AD115" s="156">
        <f t="shared" si="18"/>
        <v>0</v>
      </c>
    </row>
    <row r="116" spans="1:30">
      <c r="A116" s="109">
        <v>48</v>
      </c>
      <c r="B116" s="157"/>
      <c r="C116" s="229" t="str">
        <f>IF(LEN(Q548)&lt;=135,"",IF(LEN(Q548)&lt;=260,RIGHT(Q548,LEN(Q548)-SEARCH(" ",Q548,125)),MID(Q548,SEARCH(" ",Q548,130),IF(LEN(Q548)&lt;=265,LEN(Q548),SEARCH(" ",Q548,255)-SEARCH(" ",Q548,130)))))</f>
        <v/>
      </c>
      <c r="D116" s="230"/>
      <c r="E116" s="230"/>
      <c r="F116" s="230"/>
      <c r="G116" s="230"/>
      <c r="H116" s="230"/>
      <c r="I116" s="230"/>
      <c r="J116" s="230"/>
      <c r="K116" s="230"/>
      <c r="L116" s="230"/>
      <c r="M116" s="158"/>
      <c r="N116" s="113"/>
      <c r="O116" s="123"/>
      <c r="P116" s="113" t="s">
        <v>156</v>
      </c>
      <c r="Q116" s="242"/>
      <c r="R116" s="242"/>
      <c r="S116" s="242"/>
      <c r="T116" s="242"/>
      <c r="U116" s="113"/>
      <c r="V116" s="113"/>
      <c r="W116" s="113"/>
      <c r="X116" s="113"/>
      <c r="Y116" s="125"/>
      <c r="AA116" s="129" t="s">
        <v>266</v>
      </c>
      <c r="AB116" s="155"/>
      <c r="AC116" s="113" t="str">
        <f t="shared" si="17"/>
        <v/>
      </c>
      <c r="AD116" s="156" t="str">
        <f t="shared" si="18"/>
        <v/>
      </c>
    </row>
    <row r="117" spans="1:30">
      <c r="A117" s="109">
        <v>49</v>
      </c>
      <c r="B117" s="157"/>
      <c r="C117" s="229" t="str">
        <f>IF(LEN(Q548)&lt;=265,"",RIGHT(Q548,LEN(Q548)-SEARCH(" ",Q548,255)))</f>
        <v/>
      </c>
      <c r="D117" s="230"/>
      <c r="E117" s="230"/>
      <c r="F117" s="230"/>
      <c r="G117" s="230"/>
      <c r="H117" s="230"/>
      <c r="I117" s="230"/>
      <c r="J117" s="230"/>
      <c r="K117" s="230"/>
      <c r="L117" s="230"/>
      <c r="M117" s="158"/>
      <c r="N117" s="113"/>
      <c r="O117" s="123"/>
      <c r="P117" s="113" t="s">
        <v>157</v>
      </c>
      <c r="Q117" s="242"/>
      <c r="R117" s="242"/>
      <c r="S117" s="242"/>
      <c r="T117" s="242"/>
      <c r="U117" s="113"/>
      <c r="V117" s="113"/>
      <c r="W117" s="113"/>
      <c r="X117" s="113"/>
      <c r="Y117" s="125"/>
      <c r="AA117" s="129" t="s">
        <v>269</v>
      </c>
      <c r="AB117" s="155"/>
      <c r="AC117" s="113" t="str">
        <f t="shared" si="17"/>
        <v/>
      </c>
      <c r="AD117" s="156" t="str">
        <f t="shared" si="18"/>
        <v/>
      </c>
    </row>
    <row r="118" spans="1:30">
      <c r="A118" s="109">
        <v>50</v>
      </c>
      <c r="B118" s="157"/>
      <c r="C118" s="229" t="str">
        <f>IF(Q550="","",IF(LEN(Q550)&lt;=135,Q550,IF(LEN(Q550)&lt;=260,LEFT(Q550,SEARCH(" ",Q550,125)),LEFT(Q550,SEARCH(" ",Q550,130)))))</f>
        <v/>
      </c>
      <c r="D118" s="230"/>
      <c r="E118" s="230"/>
      <c r="F118" s="230"/>
      <c r="G118" s="230"/>
      <c r="H118" s="230"/>
      <c r="I118" s="230"/>
      <c r="J118" s="230"/>
      <c r="K118" s="230"/>
      <c r="L118" s="230"/>
      <c r="M118" s="158"/>
      <c r="N118" s="113"/>
      <c r="O118" s="123"/>
      <c r="P118" s="120" t="s">
        <v>158</v>
      </c>
      <c r="Q118" s="120" t="s">
        <v>159</v>
      </c>
      <c r="R118" s="113"/>
      <c r="S118" s="113"/>
      <c r="T118" s="113"/>
      <c r="U118" s="113"/>
      <c r="V118" s="113"/>
      <c r="W118" s="113"/>
      <c r="X118" s="113"/>
      <c r="Y118" s="125"/>
      <c r="AA118" s="129" t="s">
        <v>274</v>
      </c>
      <c r="AB118" s="155"/>
      <c r="AC118" s="113" t="str">
        <f t="shared" si="17"/>
        <v/>
      </c>
      <c r="AD118" s="156" t="str">
        <f t="shared" si="18"/>
        <v/>
      </c>
    </row>
    <row r="119" spans="1:30">
      <c r="A119" s="109">
        <v>51</v>
      </c>
      <c r="B119" s="157"/>
      <c r="C119" s="229" t="str">
        <f>IF(LEN(Q550)&lt;=135,"",IF(LEN(Q550)&lt;=260,RIGHT(Q550,LEN(Q550)-SEARCH(" ",Q550,125)),MID(Q550,SEARCH(" ",Q550,130),IF(LEN(Q550)&lt;=265,LEN(Q550),SEARCH(" ",Q550,255)-SEARCH(" ",Q550,130)))))</f>
        <v/>
      </c>
      <c r="D119" s="230"/>
      <c r="E119" s="230"/>
      <c r="F119" s="230"/>
      <c r="G119" s="230"/>
      <c r="H119" s="230"/>
      <c r="I119" s="230"/>
      <c r="J119" s="230"/>
      <c r="K119" s="230"/>
      <c r="L119" s="230"/>
      <c r="M119" s="158"/>
      <c r="N119" s="113"/>
      <c r="O119" s="123"/>
      <c r="P119" s="120"/>
      <c r="Q119" s="120" t="s">
        <v>160</v>
      </c>
      <c r="R119" s="113"/>
      <c r="S119" s="113"/>
      <c r="T119" s="113"/>
      <c r="U119" s="113"/>
      <c r="V119" s="113"/>
      <c r="W119" s="113"/>
      <c r="X119" s="113"/>
      <c r="Y119" s="125"/>
      <c r="AA119" s="129" t="s">
        <v>387</v>
      </c>
      <c r="AB119" s="155"/>
      <c r="AC119" s="113" t="str">
        <f t="shared" si="17"/>
        <v/>
      </c>
      <c r="AD119" s="156" t="str">
        <f t="shared" ref="AD119:AD124" si="19">IF(R520="","",R520)</f>
        <v/>
      </c>
    </row>
    <row r="120" spans="1:30">
      <c r="A120" s="109">
        <v>52</v>
      </c>
      <c r="B120" s="157"/>
      <c r="C120" s="229" t="str">
        <f>IF(LEN(Q550)&lt;=265,"",RIGHT(Q550,LEN(Q550)-SEARCH(" ",Q550,255)))</f>
        <v/>
      </c>
      <c r="D120" s="230"/>
      <c r="E120" s="230"/>
      <c r="F120" s="230"/>
      <c r="G120" s="230"/>
      <c r="H120" s="230"/>
      <c r="I120" s="230"/>
      <c r="J120" s="230"/>
      <c r="K120" s="230"/>
      <c r="L120" s="230"/>
      <c r="M120" s="158"/>
      <c r="N120" s="113"/>
      <c r="O120" s="123"/>
      <c r="P120" s="113"/>
      <c r="Q120" s="113"/>
      <c r="R120" s="113"/>
      <c r="S120" s="113"/>
      <c r="T120" s="113"/>
      <c r="U120" s="113"/>
      <c r="V120" s="113"/>
      <c r="W120" s="113"/>
      <c r="X120" s="113"/>
      <c r="Y120" s="125"/>
      <c r="AA120" s="129" t="s">
        <v>262</v>
      </c>
      <c r="AB120" s="155"/>
      <c r="AC120" s="113" t="str">
        <f t="shared" si="17"/>
        <v/>
      </c>
      <c r="AD120" s="156" t="str">
        <f t="shared" si="19"/>
        <v/>
      </c>
    </row>
    <row r="121" spans="1:30">
      <c r="A121" s="109">
        <v>53</v>
      </c>
      <c r="B121" s="157"/>
      <c r="C121" s="229" t="str">
        <f>IF(Q552="","",IF(LEN(Q552)&lt;=135,Q552,IF(LEN(Q552)&lt;=260,LEFT(Q552,SEARCH(" ",Q552,125)),LEFT(Q552,SEARCH(" ",Q552,130)))))</f>
        <v/>
      </c>
      <c r="D121" s="230"/>
      <c r="E121" s="230"/>
      <c r="F121" s="230"/>
      <c r="G121" s="230"/>
      <c r="H121" s="230"/>
      <c r="I121" s="230"/>
      <c r="J121" s="230"/>
      <c r="K121" s="230"/>
      <c r="L121" s="230"/>
      <c r="M121" s="158"/>
      <c r="N121" s="113"/>
      <c r="O121" s="243" t="s">
        <v>161</v>
      </c>
      <c r="P121" s="113"/>
      <c r="Q121" s="113"/>
      <c r="R121" s="113"/>
      <c r="S121" s="113"/>
      <c r="T121" s="113"/>
      <c r="U121" s="113"/>
      <c r="V121" s="113"/>
      <c r="W121" s="113"/>
      <c r="X121" s="113"/>
      <c r="Y121" s="125"/>
      <c r="AA121" s="129" t="s">
        <v>386</v>
      </c>
      <c r="AB121" s="155"/>
      <c r="AC121" s="113" t="str">
        <f t="shared" si="17"/>
        <v/>
      </c>
      <c r="AD121" s="156" t="str">
        <f t="shared" si="19"/>
        <v/>
      </c>
    </row>
    <row r="122" spans="1:30">
      <c r="A122" s="109">
        <v>54</v>
      </c>
      <c r="B122" s="157"/>
      <c r="C122" s="229" t="str">
        <f>IF(LEN(Q552)&lt;=135,"",IF(LEN(Q552)&lt;=260,RIGHT(Q552,LEN(Q552)-SEARCH(" ",Q552,125)),MID(Q552,SEARCH(" ",Q552,130),IF(LEN(Q552)&lt;=265,LEN(Q552),SEARCH(" ",Q552,255)-SEARCH(" ",Q552,130)))))</f>
        <v/>
      </c>
      <c r="D122" s="230"/>
      <c r="E122" s="230"/>
      <c r="F122" s="230"/>
      <c r="G122" s="230"/>
      <c r="H122" s="230"/>
      <c r="I122" s="230"/>
      <c r="J122" s="230"/>
      <c r="K122" s="230"/>
      <c r="L122" s="230"/>
      <c r="M122" s="158"/>
      <c r="N122" s="113"/>
      <c r="O122" s="123"/>
      <c r="P122" s="113" t="s">
        <v>162</v>
      </c>
      <c r="Q122" s="128" t="s">
        <v>152</v>
      </c>
      <c r="R122" s="128" t="s">
        <v>163</v>
      </c>
      <c r="S122" s="113"/>
      <c r="T122" s="113"/>
      <c r="U122" s="113"/>
      <c r="V122" s="113"/>
      <c r="W122" s="113"/>
      <c r="X122" s="113"/>
      <c r="Y122" s="125"/>
      <c r="AA122" s="129" t="s">
        <v>266</v>
      </c>
      <c r="AB122" s="155"/>
      <c r="AC122" s="113" t="str">
        <f t="shared" si="17"/>
        <v/>
      </c>
      <c r="AD122" s="156" t="str">
        <f t="shared" si="19"/>
        <v/>
      </c>
    </row>
    <row r="123" spans="1:30">
      <c r="A123" s="109">
        <v>55</v>
      </c>
      <c r="B123" s="157"/>
      <c r="C123" s="229" t="str">
        <f>IF(LEN(Q552)&lt;=265,"",RIGHT(Q552,LEN(Q552)-SEARCH(" ",Q552,255)))</f>
        <v/>
      </c>
      <c r="D123" s="230"/>
      <c r="E123" s="230"/>
      <c r="F123" s="230"/>
      <c r="G123" s="230"/>
      <c r="H123" s="230"/>
      <c r="I123" s="230"/>
      <c r="J123" s="230"/>
      <c r="K123" s="230"/>
      <c r="L123" s="230"/>
      <c r="M123" s="158"/>
      <c r="N123" s="113"/>
      <c r="O123" s="123"/>
      <c r="P123" s="128">
        <v>1</v>
      </c>
      <c r="Q123" s="244"/>
      <c r="R123" s="245" t="str">
        <f t="shared" ref="R123:R130" si="20">IF(Q123="","",ABS(Q123-P123))</f>
        <v/>
      </c>
      <c r="S123" s="113"/>
      <c r="T123" s="113"/>
      <c r="U123" s="113"/>
      <c r="V123" s="113"/>
      <c r="W123" s="113"/>
      <c r="X123" s="113"/>
      <c r="Y123" s="125"/>
      <c r="AA123" s="129" t="s">
        <v>269</v>
      </c>
      <c r="AB123" s="155"/>
      <c r="AC123" s="113" t="str">
        <f t="shared" si="17"/>
        <v/>
      </c>
      <c r="AD123" s="156" t="str">
        <f t="shared" si="19"/>
        <v/>
      </c>
    </row>
    <row r="124" spans="1:30">
      <c r="A124" s="109">
        <v>56</v>
      </c>
      <c r="B124" s="157"/>
      <c r="C124" s="229" t="str">
        <f>IF(Q554="","",IF(LEN(Q554)&lt;=135,Q554,IF(LEN(Q554)&lt;=260,LEFT(Q554,SEARCH(" ",Q554,125)),LEFT(Q554,SEARCH(" ",Q554,130)))))</f>
        <v/>
      </c>
      <c r="D124" s="230"/>
      <c r="E124" s="230"/>
      <c r="F124" s="230"/>
      <c r="G124" s="230"/>
      <c r="H124" s="230"/>
      <c r="I124" s="230"/>
      <c r="J124" s="230"/>
      <c r="K124" s="230"/>
      <c r="L124" s="230"/>
      <c r="M124" s="158"/>
      <c r="N124" s="113"/>
      <c r="O124" s="123"/>
      <c r="P124" s="128">
        <v>2</v>
      </c>
      <c r="Q124" s="244"/>
      <c r="R124" s="245" t="str">
        <f t="shared" si="20"/>
        <v/>
      </c>
      <c r="S124" s="113"/>
      <c r="T124" s="113"/>
      <c r="U124" s="113"/>
      <c r="V124" s="113"/>
      <c r="W124" s="113"/>
      <c r="X124" s="113"/>
      <c r="Y124" s="125"/>
      <c r="AA124" s="129" t="s">
        <v>274</v>
      </c>
      <c r="AB124" s="155"/>
      <c r="AC124" s="113" t="str">
        <f t="shared" si="17"/>
        <v/>
      </c>
      <c r="AD124" s="156" t="str">
        <f t="shared" si="19"/>
        <v/>
      </c>
    </row>
    <row r="125" spans="1:30">
      <c r="A125" s="109">
        <v>57</v>
      </c>
      <c r="B125" s="157"/>
      <c r="C125" s="229" t="str">
        <f>IF(LEN(Q554)&lt;=135,"",IF(LEN(Q554)&lt;=260,RIGHT(Q554,LEN(Q554)-SEARCH(" ",Q554,125)),MID(Q554,SEARCH(" ",Q554,130),IF(LEN(Q554)&lt;=265,LEN(Q554),SEARCH(" ",Q554,255)-SEARCH(" ",Q554,130)))))</f>
        <v/>
      </c>
      <c r="D125" s="230"/>
      <c r="E125" s="230"/>
      <c r="F125" s="230"/>
      <c r="G125" s="230"/>
      <c r="H125" s="230"/>
      <c r="I125" s="230"/>
      <c r="J125" s="230"/>
      <c r="K125" s="230"/>
      <c r="L125" s="230"/>
      <c r="M125" s="158"/>
      <c r="N125" s="113"/>
      <c r="O125" s="123"/>
      <c r="P125" s="128">
        <v>4</v>
      </c>
      <c r="Q125" s="244"/>
      <c r="R125" s="245" t="str">
        <f t="shared" si="20"/>
        <v/>
      </c>
      <c r="S125" s="129" t="s">
        <v>164</v>
      </c>
      <c r="T125" s="246" t="str">
        <f>IF(OR(Q125="",Q126="",Q127="",Q128=""),"",AVERAGE(Q125:Q128))</f>
        <v/>
      </c>
      <c r="U125" s="113"/>
      <c r="V125" s="113"/>
      <c r="W125" s="113"/>
      <c r="X125" s="113"/>
      <c r="Y125" s="125"/>
      <c r="AA125" s="129" t="s">
        <v>388</v>
      </c>
      <c r="AB125" s="155"/>
      <c r="AC125" s="113" t="str">
        <f t="shared" si="17"/>
        <v/>
      </c>
      <c r="AD125" s="156" t="str">
        <f t="shared" ref="AD125:AD130" si="21">IF(T520="","",T520)</f>
        <v/>
      </c>
    </row>
    <row r="126" spans="1:30">
      <c r="A126" s="109">
        <v>58</v>
      </c>
      <c r="B126" s="157"/>
      <c r="C126" s="229" t="str">
        <f>IF(LEN(Q554)&lt;=265,"",RIGHT(Q554,LEN(Q554)-SEARCH(" ",Q554,255)))</f>
        <v/>
      </c>
      <c r="D126" s="230"/>
      <c r="E126" s="230"/>
      <c r="F126" s="230"/>
      <c r="G126" s="230"/>
      <c r="H126" s="230"/>
      <c r="I126" s="230"/>
      <c r="J126" s="230"/>
      <c r="K126" s="230"/>
      <c r="L126" s="230"/>
      <c r="M126" s="158"/>
      <c r="N126" s="113"/>
      <c r="O126" s="123"/>
      <c r="P126" s="128">
        <v>4</v>
      </c>
      <c r="Q126" s="244"/>
      <c r="R126" s="245" t="str">
        <f t="shared" si="20"/>
        <v/>
      </c>
      <c r="S126" s="129" t="s">
        <v>165</v>
      </c>
      <c r="T126" s="247" t="str">
        <f>IF(OR(Q125="",Q126="",Q127="",Q128=""),"",STDEV(Q125:Q128))</f>
        <v/>
      </c>
      <c r="U126" s="113"/>
      <c r="V126" s="113"/>
      <c r="W126" s="113"/>
      <c r="X126" s="113"/>
      <c r="Y126" s="125"/>
      <c r="AA126" s="129" t="s">
        <v>262</v>
      </c>
      <c r="AB126" s="155"/>
      <c r="AC126" s="113" t="str">
        <f t="shared" si="17"/>
        <v/>
      </c>
      <c r="AD126" s="156" t="str">
        <f t="shared" si="21"/>
        <v/>
      </c>
    </row>
    <row r="127" spans="1:30">
      <c r="A127" s="109">
        <v>59</v>
      </c>
      <c r="B127" s="157"/>
      <c r="C127" s="229" t="str">
        <f>IF(Q556="","",IF(LEN(Q556)&lt;=135,Q556,IF(LEN(Q556)&lt;=260,LEFT(Q556,SEARCH(" ",Q556,125)),LEFT(Q556,SEARCH(" ",Q556,130)))))</f>
        <v/>
      </c>
      <c r="D127" s="230"/>
      <c r="E127" s="230"/>
      <c r="F127" s="230"/>
      <c r="G127" s="230"/>
      <c r="H127" s="230"/>
      <c r="I127" s="230"/>
      <c r="J127" s="230"/>
      <c r="K127" s="230"/>
      <c r="L127" s="230"/>
      <c r="M127" s="158"/>
      <c r="N127" s="113"/>
      <c r="O127" s="123"/>
      <c r="P127" s="128">
        <v>4</v>
      </c>
      <c r="Q127" s="244"/>
      <c r="R127" s="245" t="str">
        <f t="shared" si="20"/>
        <v/>
      </c>
      <c r="S127" s="113"/>
      <c r="T127" s="113"/>
      <c r="U127" s="113"/>
      <c r="V127" s="113"/>
      <c r="W127" s="113"/>
      <c r="X127" s="113"/>
      <c r="Y127" s="125"/>
      <c r="AA127" s="129" t="s">
        <v>386</v>
      </c>
      <c r="AB127" s="155"/>
      <c r="AC127" s="113" t="str">
        <f t="shared" si="17"/>
        <v/>
      </c>
      <c r="AD127" s="156" t="str">
        <f t="shared" si="21"/>
        <v/>
      </c>
    </row>
    <row r="128" spans="1:30">
      <c r="A128" s="109">
        <v>60</v>
      </c>
      <c r="B128" s="157"/>
      <c r="C128" s="229" t="str">
        <f>IF(LEN(Q556)&lt;=135,"",IF(LEN(Q556)&lt;=260,RIGHT(Q556,LEN(Q556)-SEARCH(" ",Q556,125)),MID(Q556,SEARCH(" ",Q556,130),IF(LEN(Q556)&lt;=265,LEN(Q556),SEARCH(" ",Q556,255)-SEARCH(" ",Q556,130)))))</f>
        <v/>
      </c>
      <c r="D128" s="230"/>
      <c r="E128" s="230"/>
      <c r="F128" s="230"/>
      <c r="G128" s="230"/>
      <c r="H128" s="230"/>
      <c r="I128" s="230"/>
      <c r="J128" s="230"/>
      <c r="K128" s="230"/>
      <c r="L128" s="230"/>
      <c r="M128" s="158"/>
      <c r="N128" s="113"/>
      <c r="O128" s="123"/>
      <c r="P128" s="128">
        <v>4</v>
      </c>
      <c r="Q128" s="244"/>
      <c r="R128" s="245" t="str">
        <f t="shared" si="20"/>
        <v/>
      </c>
      <c r="S128" s="113"/>
      <c r="T128" s="208" t="s">
        <v>158</v>
      </c>
      <c r="U128" s="120" t="s">
        <v>166</v>
      </c>
      <c r="V128" s="113"/>
      <c r="W128" s="113"/>
      <c r="X128" s="113"/>
      <c r="Y128" s="125"/>
      <c r="AA128" s="129" t="s">
        <v>266</v>
      </c>
      <c r="AB128" s="155"/>
      <c r="AC128" s="113" t="str">
        <f t="shared" si="17"/>
        <v/>
      </c>
      <c r="AD128" s="156" t="str">
        <f t="shared" si="21"/>
        <v/>
      </c>
    </row>
    <row r="129" spans="1:30">
      <c r="A129" s="109">
        <v>61</v>
      </c>
      <c r="B129" s="157"/>
      <c r="C129" s="229" t="str">
        <f>IF(LEN(Q556)&lt;=265,"",RIGHT(Q556,LEN(Q556)-SEARCH(" ",Q556,255)))</f>
        <v/>
      </c>
      <c r="D129" s="230"/>
      <c r="E129" s="230"/>
      <c r="F129" s="230"/>
      <c r="G129" s="230"/>
      <c r="H129" s="230"/>
      <c r="I129" s="230"/>
      <c r="J129" s="230"/>
      <c r="K129" s="230"/>
      <c r="L129" s="230"/>
      <c r="M129" s="158"/>
      <c r="N129" s="113"/>
      <c r="O129" s="123"/>
      <c r="P129" s="128">
        <v>6</v>
      </c>
      <c r="Q129" s="244"/>
      <c r="R129" s="245" t="str">
        <f t="shared" si="20"/>
        <v/>
      </c>
      <c r="S129" s="113"/>
      <c r="T129" s="113"/>
      <c r="U129" s="113"/>
      <c r="V129" s="113"/>
      <c r="W129" s="113"/>
      <c r="X129" s="113"/>
      <c r="Y129" s="125"/>
      <c r="AA129" s="129" t="s">
        <v>269</v>
      </c>
      <c r="AB129" s="155"/>
      <c r="AC129" s="113" t="str">
        <f t="shared" si="17"/>
        <v/>
      </c>
      <c r="AD129" s="156" t="str">
        <f t="shared" si="21"/>
        <v/>
      </c>
    </row>
    <row r="130" spans="1:30">
      <c r="A130" s="109">
        <v>62</v>
      </c>
      <c r="B130" s="157"/>
      <c r="C130" s="229" t="str">
        <f>IF(Q558="","",IF(LEN(Q558)&lt;=135,Q558,IF(LEN(Q558)&lt;=260,LEFT(Q558,SEARCH(" ",Q558,125)),LEFT(Q558,SEARCH(" ",Q558,130)))))</f>
        <v/>
      </c>
      <c r="D130" s="230"/>
      <c r="E130" s="230"/>
      <c r="F130" s="230"/>
      <c r="G130" s="230"/>
      <c r="H130" s="230"/>
      <c r="I130" s="230"/>
      <c r="J130" s="230"/>
      <c r="K130" s="230"/>
      <c r="L130" s="230"/>
      <c r="M130" s="158"/>
      <c r="N130" s="113"/>
      <c r="O130" s="123"/>
      <c r="P130" s="128">
        <v>8</v>
      </c>
      <c r="Q130" s="244"/>
      <c r="R130" s="245" t="str">
        <f t="shared" si="20"/>
        <v/>
      </c>
      <c r="S130" s="113"/>
      <c r="T130" s="113"/>
      <c r="U130" s="113"/>
      <c r="V130" s="113"/>
      <c r="W130" s="113"/>
      <c r="X130" s="113"/>
      <c r="Y130" s="125"/>
      <c r="AA130" s="129" t="s">
        <v>274</v>
      </c>
      <c r="AB130" s="155"/>
      <c r="AC130" s="113" t="str">
        <f t="shared" si="17"/>
        <v/>
      </c>
      <c r="AD130" s="156" t="str">
        <f t="shared" si="21"/>
        <v/>
      </c>
    </row>
    <row r="131" spans="1:30">
      <c r="A131" s="109">
        <v>63</v>
      </c>
      <c r="B131" s="157"/>
      <c r="C131" s="229" t="str">
        <f>IF(LEN(Q558)&lt;=135,"",IF(LEN(Q558)&lt;=260,RIGHT(Q558,LEN(Q558)-SEARCH(" ",Q558,125)),MID(Q558,SEARCH(" ",Q558,130),IF(LEN(Q558)&lt;=265,LEN(Q558),SEARCH(" ",Q558,255)-SEARCH(" ",Q558,130)))))</f>
        <v/>
      </c>
      <c r="D131" s="230"/>
      <c r="E131" s="230"/>
      <c r="F131" s="230"/>
      <c r="G131" s="230"/>
      <c r="H131" s="230"/>
      <c r="I131" s="230"/>
      <c r="J131" s="230"/>
      <c r="K131" s="230"/>
      <c r="L131" s="230"/>
      <c r="M131" s="158"/>
      <c r="N131" s="113"/>
      <c r="O131" s="123"/>
      <c r="P131" s="113"/>
      <c r="Q131" s="113"/>
      <c r="R131" s="113"/>
      <c r="S131" s="113"/>
      <c r="T131" s="113"/>
      <c r="U131" s="113"/>
      <c r="V131" s="113"/>
      <c r="W131" s="113"/>
      <c r="X131" s="113"/>
      <c r="Y131" s="125"/>
      <c r="AA131" s="129" t="s">
        <v>701</v>
      </c>
      <c r="AB131" s="155"/>
      <c r="AC131" s="113" t="str">
        <f t="shared" ref="AC131:AC142" si="22">IF(AB131&lt;&gt;AD131,"Change","")</f>
        <v/>
      </c>
      <c r="AD131" s="156" t="str">
        <f t="shared" ref="AD131:AD136" si="23">IF(V520="","",V520)</f>
        <v/>
      </c>
    </row>
    <row r="132" spans="1:30">
      <c r="A132" s="109">
        <v>64</v>
      </c>
      <c r="B132" s="157"/>
      <c r="C132" s="252" t="str">
        <f>IF(LEN(Q558)&lt;=265,"",RIGHT(Q558,LEN(Q558)-SEARCH(" ",Q558,255)))</f>
        <v/>
      </c>
      <c r="D132" s="253"/>
      <c r="E132" s="253"/>
      <c r="F132" s="253"/>
      <c r="G132" s="253"/>
      <c r="H132" s="253"/>
      <c r="I132" s="253"/>
      <c r="J132" s="253"/>
      <c r="K132" s="253"/>
      <c r="L132" s="253"/>
      <c r="M132" s="158"/>
      <c r="N132" s="113"/>
      <c r="O132" s="177"/>
      <c r="P132" s="113" t="s">
        <v>167</v>
      </c>
      <c r="Q132" s="113"/>
      <c r="R132" s="113"/>
      <c r="S132" s="254" t="str">
        <f>IF(R123="","",IF(OR(R123&gt;0.5,R124&gt;0.5,R125&gt;0.5,R126&gt;0.5,R127&gt;0.5,R128&gt;0.5,R129&gt;0.5,R130&gt;0.5),"Fail","Pass"))</f>
        <v/>
      </c>
      <c r="T132" s="130" t="s">
        <v>168</v>
      </c>
      <c r="U132" s="113"/>
      <c r="V132" s="113"/>
      <c r="W132" s="113"/>
      <c r="X132" s="113"/>
      <c r="Y132" s="125"/>
      <c r="AA132" s="129" t="s">
        <v>262</v>
      </c>
      <c r="AB132" s="155"/>
      <c r="AC132" s="113" t="str">
        <f t="shared" si="22"/>
        <v/>
      </c>
      <c r="AD132" s="156" t="str">
        <f t="shared" si="23"/>
        <v/>
      </c>
    </row>
    <row r="133" spans="1:30">
      <c r="A133" s="109">
        <v>65</v>
      </c>
      <c r="B133" s="157"/>
      <c r="C133" s="201"/>
      <c r="D133" s="201"/>
      <c r="E133" s="201"/>
      <c r="F133" s="201"/>
      <c r="G133" s="201"/>
      <c r="H133" s="201"/>
      <c r="I133" s="201"/>
      <c r="J133" s="201"/>
      <c r="K133" s="201"/>
      <c r="L133" s="201"/>
      <c r="M133" s="158"/>
      <c r="N133" s="113"/>
      <c r="O133" s="177"/>
      <c r="P133" s="113" t="s">
        <v>169</v>
      </c>
      <c r="Q133" s="113"/>
      <c r="R133" s="113"/>
      <c r="S133" s="113"/>
      <c r="T133" s="113"/>
      <c r="U133" s="113"/>
      <c r="V133" s="113"/>
      <c r="W133" s="113"/>
      <c r="X133" s="113"/>
      <c r="Y133" s="125"/>
      <c r="AA133" s="129" t="s">
        <v>386</v>
      </c>
      <c r="AB133" s="155"/>
      <c r="AC133" s="113" t="str">
        <f t="shared" si="22"/>
        <v/>
      </c>
      <c r="AD133" s="156" t="str">
        <f t="shared" si="23"/>
        <v/>
      </c>
    </row>
    <row r="134" spans="1:30" ht="16.2" thickBot="1">
      <c r="A134" s="109">
        <v>66</v>
      </c>
      <c r="B134" s="174"/>
      <c r="C134" s="256"/>
      <c r="D134" s="132"/>
      <c r="E134" s="132"/>
      <c r="F134" s="132"/>
      <c r="G134" s="132"/>
      <c r="H134" s="132"/>
      <c r="I134" s="132"/>
      <c r="J134" s="132"/>
      <c r="K134" s="132"/>
      <c r="L134" s="132"/>
      <c r="M134" s="176"/>
      <c r="N134" s="113"/>
      <c r="O134" s="123"/>
      <c r="P134" s="113"/>
      <c r="Q134" s="113"/>
      <c r="R134" s="113"/>
      <c r="S134" s="113"/>
      <c r="T134" s="113"/>
      <c r="U134" s="113"/>
      <c r="V134" s="113"/>
      <c r="W134" s="113"/>
      <c r="X134" s="113"/>
      <c r="Y134" s="125"/>
      <c r="AA134" s="129" t="s">
        <v>266</v>
      </c>
      <c r="AB134" s="155"/>
      <c r="AC134" s="113" t="str">
        <f t="shared" si="22"/>
        <v/>
      </c>
      <c r="AD134" s="156" t="str">
        <f t="shared" si="23"/>
        <v/>
      </c>
    </row>
    <row r="135" spans="1:30" ht="16.2" thickTop="1">
      <c r="A135" s="109">
        <v>67</v>
      </c>
      <c r="B135" s="113"/>
      <c r="C135" s="203" t="s">
        <v>3</v>
      </c>
      <c r="D135" s="479" t="str">
        <f>IF($P$7="","",$P$7)</f>
        <v/>
      </c>
      <c r="E135" s="120"/>
      <c r="F135" s="120"/>
      <c r="G135" s="120"/>
      <c r="H135" s="120"/>
      <c r="I135" s="120"/>
      <c r="J135" s="120"/>
      <c r="K135" s="120"/>
      <c r="L135" s="203" t="s">
        <v>4</v>
      </c>
      <c r="M135" s="205" t="str">
        <f>IF($X$7="","",$X$7)</f>
        <v>Eugene Mah</v>
      </c>
      <c r="N135" s="113"/>
      <c r="O135" s="243" t="s">
        <v>170</v>
      </c>
      <c r="P135" s="113"/>
      <c r="Q135" s="165" t="s">
        <v>676</v>
      </c>
      <c r="R135" s="113"/>
      <c r="S135" s="113"/>
      <c r="T135" s="113"/>
      <c r="U135" s="113"/>
      <c r="V135" s="113"/>
      <c r="W135" s="113"/>
      <c r="X135" s="113"/>
      <c r="Y135" s="125"/>
      <c r="AA135" s="129" t="s">
        <v>269</v>
      </c>
      <c r="AB135" s="155"/>
      <c r="AC135" s="113" t="str">
        <f t="shared" si="22"/>
        <v/>
      </c>
      <c r="AD135" s="156" t="str">
        <f t="shared" si="23"/>
        <v/>
      </c>
    </row>
    <row r="136" spans="1:30">
      <c r="A136" s="109">
        <v>68</v>
      </c>
      <c r="B136" s="113"/>
      <c r="C136" s="203" t="s">
        <v>86</v>
      </c>
      <c r="D136" s="206" t="str">
        <f>IF($R$14="","",$R$14)</f>
        <v/>
      </c>
      <c r="E136" s="120"/>
      <c r="F136" s="120"/>
      <c r="G136" s="120"/>
      <c r="H136" s="120"/>
      <c r="I136" s="120"/>
      <c r="J136" s="120"/>
      <c r="K136" s="120"/>
      <c r="L136" s="203" t="s">
        <v>16</v>
      </c>
      <c r="M136" s="205" t="str">
        <f>IF($R$13="","",$R$13)</f>
        <v/>
      </c>
      <c r="N136" s="113"/>
      <c r="O136" s="123"/>
      <c r="P136" s="129" t="s">
        <v>29</v>
      </c>
      <c r="Q136" s="242" t="s">
        <v>786</v>
      </c>
      <c r="R136" s="242" t="s">
        <v>786</v>
      </c>
      <c r="S136" s="242" t="s">
        <v>786</v>
      </c>
      <c r="T136" s="242" t="s">
        <v>786</v>
      </c>
      <c r="U136" s="242" t="s">
        <v>786</v>
      </c>
      <c r="V136" s="242" t="s">
        <v>786</v>
      </c>
      <c r="W136" s="113"/>
      <c r="X136" s="113"/>
      <c r="Y136" s="125"/>
      <c r="AA136" s="129" t="s">
        <v>274</v>
      </c>
      <c r="AB136" s="155"/>
      <c r="AC136" s="113" t="str">
        <f t="shared" si="22"/>
        <v/>
      </c>
      <c r="AD136" s="156" t="str">
        <f t="shared" si="23"/>
        <v/>
      </c>
    </row>
    <row r="137" spans="1:30" ht="16.2">
      <c r="A137" s="109">
        <v>1</v>
      </c>
      <c r="B137" s="113"/>
      <c r="C137" s="113"/>
      <c r="D137" s="113"/>
      <c r="E137" s="113"/>
      <c r="F137" s="113"/>
      <c r="G137" s="113"/>
      <c r="H137" s="113"/>
      <c r="I137" s="113"/>
      <c r="J137" s="113"/>
      <c r="K137" s="113"/>
      <c r="L137" s="113"/>
      <c r="M137" s="207" t="str">
        <f>$H$2</f>
        <v>Medical University of South Carolina</v>
      </c>
      <c r="N137" s="113"/>
      <c r="O137" s="123"/>
      <c r="P137" s="129" t="s">
        <v>31</v>
      </c>
      <c r="Q137" s="242" t="s">
        <v>585</v>
      </c>
      <c r="R137" s="242" t="s">
        <v>788</v>
      </c>
      <c r="S137" s="242" t="s">
        <v>791</v>
      </c>
      <c r="T137" s="242" t="s">
        <v>789</v>
      </c>
      <c r="U137" s="242" t="s">
        <v>585</v>
      </c>
      <c r="V137" s="242" t="s">
        <v>788</v>
      </c>
      <c r="W137" s="113"/>
      <c r="X137" s="113"/>
      <c r="Y137" s="125"/>
      <c r="AA137" s="129" t="s">
        <v>702</v>
      </c>
      <c r="AB137" s="155"/>
      <c r="AC137" s="113" t="str">
        <f t="shared" si="22"/>
        <v/>
      </c>
      <c r="AD137" s="156" t="str">
        <f t="shared" ref="AD137:AD142" si="24">IF(X520="","",X520)</f>
        <v/>
      </c>
    </row>
    <row r="138" spans="1:30" ht="18" thickBot="1">
      <c r="A138" s="109">
        <v>2</v>
      </c>
      <c r="B138" s="113"/>
      <c r="C138" s="113"/>
      <c r="D138" s="113"/>
      <c r="E138" s="113"/>
      <c r="F138" s="113"/>
      <c r="G138" s="113"/>
      <c r="H138" s="144" t="s">
        <v>50</v>
      </c>
      <c r="I138" s="113"/>
      <c r="J138" s="113"/>
      <c r="K138" s="113"/>
      <c r="L138" s="113"/>
      <c r="M138" s="208" t="str">
        <f>$H$5</f>
        <v>Mammography System Compliance Inspection</v>
      </c>
      <c r="N138" s="113"/>
      <c r="O138" s="123"/>
      <c r="P138" s="129" t="s">
        <v>171</v>
      </c>
      <c r="Q138" s="242" t="s">
        <v>787</v>
      </c>
      <c r="R138" s="242" t="s">
        <v>787</v>
      </c>
      <c r="S138" s="242" t="s">
        <v>787</v>
      </c>
      <c r="T138" s="242" t="s">
        <v>787</v>
      </c>
      <c r="U138" s="242" t="s">
        <v>790</v>
      </c>
      <c r="V138" s="242" t="s">
        <v>790</v>
      </c>
      <c r="W138" s="113"/>
      <c r="X138" s="113"/>
      <c r="Y138" s="125"/>
      <c r="AA138" s="129" t="s">
        <v>262</v>
      </c>
      <c r="AB138" s="155"/>
      <c r="AC138" s="113" t="str">
        <f t="shared" si="22"/>
        <v/>
      </c>
      <c r="AD138" s="156" t="str">
        <f t="shared" si="24"/>
        <v/>
      </c>
    </row>
    <row r="139" spans="1:30" ht="16.2" thickTop="1">
      <c r="A139" s="109">
        <v>3</v>
      </c>
      <c r="B139" s="148"/>
      <c r="C139" s="150" t="s">
        <v>151</v>
      </c>
      <c r="D139" s="149"/>
      <c r="E139" s="149"/>
      <c r="F139" s="149"/>
      <c r="G139" s="149"/>
      <c r="H139" s="149"/>
      <c r="I139" s="149"/>
      <c r="J139" s="149"/>
      <c r="K139" s="149"/>
      <c r="L139" s="149"/>
      <c r="M139" s="151"/>
      <c r="N139" s="113"/>
      <c r="O139" s="123"/>
      <c r="P139" s="129" t="s">
        <v>172</v>
      </c>
      <c r="Q139" s="242"/>
      <c r="R139" s="242"/>
      <c r="S139" s="242"/>
      <c r="T139" s="242">
        <v>28</v>
      </c>
      <c r="U139" s="242"/>
      <c r="V139" s="242"/>
      <c r="W139" s="113"/>
      <c r="X139" s="113"/>
      <c r="Y139" s="125"/>
      <c r="AA139" s="129" t="s">
        <v>386</v>
      </c>
      <c r="AB139" s="155"/>
      <c r="AC139" s="113" t="str">
        <f t="shared" si="22"/>
        <v/>
      </c>
      <c r="AD139" s="156" t="str">
        <f t="shared" si="24"/>
        <v/>
      </c>
    </row>
    <row r="140" spans="1:30" ht="16.2" thickBot="1">
      <c r="A140" s="109">
        <v>4</v>
      </c>
      <c r="B140" s="157"/>
      <c r="C140" s="113"/>
      <c r="D140" s="113"/>
      <c r="E140" s="128" t="s">
        <v>152</v>
      </c>
      <c r="F140" s="128" t="s">
        <v>153</v>
      </c>
      <c r="G140" s="128" t="s">
        <v>154</v>
      </c>
      <c r="H140" s="128" t="s">
        <v>155</v>
      </c>
      <c r="I140" s="113"/>
      <c r="J140" s="113"/>
      <c r="K140" s="113"/>
      <c r="L140" s="113"/>
      <c r="M140" s="158"/>
      <c r="N140" s="113"/>
      <c r="O140" s="123"/>
      <c r="P140" s="129" t="s">
        <v>173</v>
      </c>
      <c r="Q140" s="242"/>
      <c r="R140" s="242"/>
      <c r="S140" s="242"/>
      <c r="T140" s="242">
        <v>100</v>
      </c>
      <c r="U140" s="242"/>
      <c r="V140" s="242"/>
      <c r="W140" s="113"/>
      <c r="X140" s="113"/>
      <c r="Y140" s="125"/>
      <c r="AA140" s="129" t="s">
        <v>266</v>
      </c>
      <c r="AB140" s="155"/>
      <c r="AC140" s="113" t="str">
        <f t="shared" si="22"/>
        <v/>
      </c>
      <c r="AD140" s="156" t="str">
        <f t="shared" si="24"/>
        <v/>
      </c>
    </row>
    <row r="141" spans="1:30" ht="16.2" thickBot="1">
      <c r="A141" s="109">
        <v>5</v>
      </c>
      <c r="B141" s="157"/>
      <c r="C141" s="113"/>
      <c r="D141" s="113" t="s">
        <v>156</v>
      </c>
      <c r="E141" s="159" t="str">
        <f t="shared" ref="E141:H142" si="25">IF(Q116="","",Q116)</f>
        <v/>
      </c>
      <c r="F141" s="160" t="str">
        <f t="shared" si="25"/>
        <v/>
      </c>
      <c r="G141" s="160" t="str">
        <f t="shared" si="25"/>
        <v/>
      </c>
      <c r="H141" s="367" t="str">
        <f t="shared" si="25"/>
        <v/>
      </c>
      <c r="I141" s="113"/>
      <c r="J141" s="113"/>
      <c r="K141" s="113"/>
      <c r="L141" s="113"/>
      <c r="M141" s="158"/>
      <c r="N141" s="113"/>
      <c r="O141" s="123"/>
      <c r="P141" s="129" t="s">
        <v>174</v>
      </c>
      <c r="Q141" s="242"/>
      <c r="R141" s="242"/>
      <c r="S141" s="242"/>
      <c r="T141" s="242"/>
      <c r="U141" s="242"/>
      <c r="V141" s="242"/>
      <c r="W141" s="113"/>
      <c r="X141" s="113"/>
      <c r="Y141" s="125"/>
      <c r="AA141" s="129" t="s">
        <v>269</v>
      </c>
      <c r="AB141" s="155"/>
      <c r="AC141" s="113" t="str">
        <f t="shared" si="22"/>
        <v/>
      </c>
      <c r="AD141" s="156" t="str">
        <f t="shared" si="24"/>
        <v/>
      </c>
    </row>
    <row r="142" spans="1:30" ht="16.2" thickBot="1">
      <c r="A142" s="109">
        <v>6</v>
      </c>
      <c r="B142" s="157"/>
      <c r="C142" s="113"/>
      <c r="D142" s="113" t="s">
        <v>157</v>
      </c>
      <c r="E142" s="213" t="str">
        <f t="shared" si="25"/>
        <v/>
      </c>
      <c r="F142" s="214" t="str">
        <f t="shared" si="25"/>
        <v/>
      </c>
      <c r="G142" s="214" t="str">
        <f t="shared" si="25"/>
        <v/>
      </c>
      <c r="H142" s="363" t="str">
        <f t="shared" si="25"/>
        <v/>
      </c>
      <c r="I142" s="113"/>
      <c r="J142" s="129" t="s">
        <v>175</v>
      </c>
      <c r="K142" s="257" t="str">
        <f>IF(OR(F141="",F142=""),"",IF(AND(F141&gt;=25,F142&lt;=45),"Pass","Fail"))</f>
        <v/>
      </c>
      <c r="L142" s="113"/>
      <c r="M142" s="158"/>
      <c r="N142" s="113"/>
      <c r="O142" s="123"/>
      <c r="P142" s="129" t="s">
        <v>175</v>
      </c>
      <c r="Q142" s="242"/>
      <c r="R142" s="242"/>
      <c r="S142" s="242"/>
      <c r="T142" s="242"/>
      <c r="U142" s="242"/>
      <c r="V142" s="242"/>
      <c r="W142" s="113"/>
      <c r="X142" s="113"/>
      <c r="Y142" s="125"/>
      <c r="AA142" s="129" t="s">
        <v>274</v>
      </c>
      <c r="AB142" s="155"/>
      <c r="AC142" s="113" t="str">
        <f t="shared" si="22"/>
        <v/>
      </c>
      <c r="AD142" s="156" t="str">
        <f t="shared" si="24"/>
        <v/>
      </c>
    </row>
    <row r="143" spans="1:30">
      <c r="A143" s="109">
        <v>7</v>
      </c>
      <c r="B143" s="157"/>
      <c r="C143" s="113"/>
      <c r="D143" s="208" t="s">
        <v>158</v>
      </c>
      <c r="E143" s="120" t="s">
        <v>159</v>
      </c>
      <c r="F143" s="113"/>
      <c r="G143" s="113"/>
      <c r="H143" s="113"/>
      <c r="I143" s="113"/>
      <c r="J143" s="113"/>
      <c r="K143" s="113"/>
      <c r="L143" s="113"/>
      <c r="M143" s="158"/>
      <c r="N143" s="113"/>
      <c r="O143" s="123"/>
      <c r="P143" s="201"/>
      <c r="Q143" s="261" t="s">
        <v>792</v>
      </c>
      <c r="R143" s="201"/>
      <c r="S143" s="201"/>
      <c r="T143" s="201"/>
      <c r="U143" s="201"/>
      <c r="V143" s="201"/>
      <c r="W143" s="113"/>
      <c r="X143" s="113"/>
      <c r="Y143" s="125"/>
      <c r="AA143" s="201"/>
      <c r="AB143" s="201"/>
      <c r="AC143" s="201"/>
      <c r="AD143" s="201"/>
    </row>
    <row r="144" spans="1:30">
      <c r="A144" s="109">
        <v>8</v>
      </c>
      <c r="B144" s="157"/>
      <c r="C144" s="113"/>
      <c r="D144" s="120"/>
      <c r="E144" s="120" t="s">
        <v>160</v>
      </c>
      <c r="F144" s="113"/>
      <c r="G144" s="113"/>
      <c r="H144" s="113"/>
      <c r="I144" s="113"/>
      <c r="J144" s="113"/>
      <c r="K144" s="113"/>
      <c r="L144" s="113"/>
      <c r="M144" s="158"/>
      <c r="N144" s="113"/>
      <c r="O144" s="243" t="s">
        <v>662</v>
      </c>
      <c r="P144" s="113"/>
      <c r="Q144" s="113"/>
      <c r="R144" s="113"/>
      <c r="S144" s="113"/>
      <c r="T144" s="113"/>
      <c r="U144" s="113"/>
      <c r="V144" s="113"/>
      <c r="W144" s="113"/>
      <c r="X144" s="113"/>
      <c r="Y144" s="125"/>
      <c r="AA144" s="129" t="s">
        <v>309</v>
      </c>
      <c r="AB144" s="155"/>
      <c r="AC144" s="113" t="e">
        <f t="shared" ref="AC144:AC145" si="26">IF(AB144&lt;&gt;AD144,"Change","")</f>
        <v>#DIV/0!</v>
      </c>
      <c r="AD144" s="248" t="e">
        <f>IF(T536="","",T536)</f>
        <v>#DIV/0!</v>
      </c>
    </row>
    <row r="145" spans="1:38">
      <c r="A145" s="109">
        <v>9</v>
      </c>
      <c r="B145" s="157"/>
      <c r="C145" s="113"/>
      <c r="D145" s="113"/>
      <c r="E145" s="113"/>
      <c r="F145" s="113"/>
      <c r="G145" s="113"/>
      <c r="H145" s="113"/>
      <c r="I145" s="113"/>
      <c r="J145" s="113"/>
      <c r="K145" s="113"/>
      <c r="L145" s="113"/>
      <c r="M145" s="158"/>
      <c r="N145" s="113"/>
      <c r="O145" s="258"/>
      <c r="P145" s="129" t="s">
        <v>264</v>
      </c>
      <c r="Q145" s="259" t="str">
        <f>Q136&amp;"/"&amp;Q137</f>
        <v>W/Rh</v>
      </c>
      <c r="R145" s="259" t="str">
        <f t="shared" ref="R145:V145" si="27">R136&amp;"/"&amp;R137</f>
        <v>W/Ag</v>
      </c>
      <c r="S145" s="259" t="str">
        <f t="shared" si="27"/>
        <v>W/Al</v>
      </c>
      <c r="T145" s="259" t="str">
        <f t="shared" si="27"/>
        <v>W/Cu</v>
      </c>
      <c r="U145" s="259" t="str">
        <f t="shared" si="27"/>
        <v>W/Rh</v>
      </c>
      <c r="V145" s="259" t="str">
        <f t="shared" si="27"/>
        <v>W/Ag</v>
      </c>
      <c r="Y145" s="125"/>
      <c r="AA145" s="129" t="s">
        <v>311</v>
      </c>
      <c r="AB145" s="155"/>
      <c r="AC145" s="113" t="e">
        <f t="shared" si="26"/>
        <v>#DIV/0!</v>
      </c>
      <c r="AD145" s="156" t="e">
        <f>IF(T537="","",T537)</f>
        <v>#DIV/0!</v>
      </c>
    </row>
    <row r="146" spans="1:38">
      <c r="A146" s="109">
        <v>10</v>
      </c>
      <c r="B146" s="157"/>
      <c r="C146" s="165" t="s">
        <v>161</v>
      </c>
      <c r="D146" s="113"/>
      <c r="E146" s="113"/>
      <c r="F146" s="113"/>
      <c r="G146" s="113"/>
      <c r="H146" s="113"/>
      <c r="I146" s="113"/>
      <c r="J146" s="113"/>
      <c r="K146" s="113"/>
      <c r="L146" s="113"/>
      <c r="M146" s="158"/>
      <c r="N146" s="113"/>
      <c r="O146" s="258"/>
      <c r="P146" s="129" t="s">
        <v>172</v>
      </c>
      <c r="Q146" s="259" t="str">
        <f>IF(Q139="","",Q139)</f>
        <v/>
      </c>
      <c r="R146" s="259" t="str">
        <f t="shared" ref="R146:V146" si="28">IF(R139="","",R139)</f>
        <v/>
      </c>
      <c r="S146" s="259" t="str">
        <f t="shared" si="28"/>
        <v/>
      </c>
      <c r="T146" s="259">
        <f t="shared" si="28"/>
        <v>28</v>
      </c>
      <c r="U146" s="259" t="str">
        <f t="shared" si="28"/>
        <v/>
      </c>
      <c r="V146" s="259" t="str">
        <f t="shared" si="28"/>
        <v/>
      </c>
      <c r="Y146" s="125"/>
      <c r="AA146" s="113"/>
      <c r="AB146" s="113"/>
      <c r="AC146" s="113"/>
      <c r="AD146" s="113"/>
      <c r="AG146" s="117" t="s">
        <v>670</v>
      </c>
    </row>
    <row r="147" spans="1:38" ht="16.2" thickBot="1">
      <c r="A147" s="109">
        <v>11</v>
      </c>
      <c r="B147" s="157"/>
      <c r="C147" s="113"/>
      <c r="D147" s="113" t="s">
        <v>162</v>
      </c>
      <c r="E147" s="128" t="s">
        <v>152</v>
      </c>
      <c r="F147" s="128" t="s">
        <v>163</v>
      </c>
      <c r="G147" s="113"/>
      <c r="H147" s="113"/>
      <c r="I147" s="173"/>
      <c r="J147" s="129" t="s">
        <v>178</v>
      </c>
      <c r="K147" s="497" t="str">
        <f>IF(O132="","",IF(O132=1,"YES",IF(O132=3,"NA","")))</f>
        <v/>
      </c>
      <c r="L147" s="198" t="str">
        <f>IF(O132=2,"NO","")</f>
        <v/>
      </c>
      <c r="M147" s="158"/>
      <c r="N147" s="113"/>
      <c r="O147" s="258"/>
      <c r="P147" s="129" t="s">
        <v>173</v>
      </c>
      <c r="Q147" s="259" t="str">
        <f>IF(Q140="","",Q140)</f>
        <v/>
      </c>
      <c r="R147" s="259" t="str">
        <f t="shared" ref="R147:V147" si="29">IF(R140="","",R140)</f>
        <v/>
      </c>
      <c r="S147" s="259" t="str">
        <f t="shared" si="29"/>
        <v/>
      </c>
      <c r="T147" s="259">
        <f t="shared" si="29"/>
        <v>100</v>
      </c>
      <c r="U147" s="259" t="str">
        <f t="shared" si="29"/>
        <v/>
      </c>
      <c r="V147" s="259" t="str">
        <f t="shared" si="29"/>
        <v/>
      </c>
      <c r="Y147" s="125"/>
      <c r="AA147" s="208" t="s">
        <v>389</v>
      </c>
      <c r="AB147" s="249"/>
      <c r="AC147" s="250" t="str">
        <f t="shared" ref="AC147" si="30">IF(AB147&lt;&gt;AD147,"Change","")</f>
        <v/>
      </c>
      <c r="AD147" s="251" t="str">
        <f>IF(Q542="","",Q542)</f>
        <v/>
      </c>
      <c r="AG147" s="259" t="str">
        <f t="shared" ref="AG147" si="31">Q145</f>
        <v>W/Rh</v>
      </c>
      <c r="AH147" s="259" t="str">
        <f>R145</f>
        <v>W/Ag</v>
      </c>
      <c r="AI147" s="259" t="str">
        <f>S145</f>
        <v>W/Al</v>
      </c>
      <c r="AJ147" s="259" t="str">
        <f>T145</f>
        <v>W/Cu</v>
      </c>
      <c r="AK147" s="259" t="str">
        <f>U145</f>
        <v>W/Rh</v>
      </c>
      <c r="AL147" s="259" t="str">
        <f>V145</f>
        <v>W/Ag</v>
      </c>
    </row>
    <row r="148" spans="1:38">
      <c r="A148" s="109">
        <v>12</v>
      </c>
      <c r="B148" s="157"/>
      <c r="C148" s="113"/>
      <c r="D148" s="128">
        <v>1</v>
      </c>
      <c r="E148" s="159" t="str">
        <f t="shared" ref="E148:F155" si="32">IF(Q123="","",Q123)</f>
        <v/>
      </c>
      <c r="F148" s="367" t="str">
        <f t="shared" si="32"/>
        <v/>
      </c>
      <c r="G148" s="113"/>
      <c r="H148" s="113"/>
      <c r="I148" s="173"/>
      <c r="J148" s="129" t="s">
        <v>180</v>
      </c>
      <c r="K148" s="498" t="str">
        <f>IF(O133="","",IF(O133=1,"YES",IF(O133=3,"NA","")))</f>
        <v/>
      </c>
      <c r="L148" s="198" t="str">
        <f>IF(O133=2,"NO","")</f>
        <v/>
      </c>
      <c r="M148" s="158"/>
      <c r="N148" s="113"/>
      <c r="O148" s="258"/>
      <c r="P148" s="129" t="s">
        <v>665</v>
      </c>
      <c r="Q148" s="242"/>
      <c r="R148" s="242"/>
      <c r="S148" s="242"/>
      <c r="T148" s="242"/>
      <c r="U148" s="242"/>
      <c r="V148" s="242"/>
      <c r="Y148" s="125"/>
      <c r="AA148" s="203"/>
      <c r="AB148" s="255"/>
      <c r="AC148" s="173"/>
      <c r="AD148" s="255"/>
      <c r="AF148" s="129" t="s">
        <v>665</v>
      </c>
      <c r="AG148" s="260" t="str">
        <f t="shared" ref="AG148:AG152" si="33">IF(OR(Q148="",Q$153=""),"",ABS(Q148-Q$153)/Q$153)</f>
        <v/>
      </c>
      <c r="AH148" s="260" t="str">
        <f t="shared" ref="AH148:AL152" si="34">IF(OR(R148="",R$153=""),"",ABS(R148-R$153)/R$153)</f>
        <v/>
      </c>
      <c r="AI148" s="260" t="str">
        <f t="shared" si="34"/>
        <v/>
      </c>
      <c r="AJ148" s="260" t="str">
        <f t="shared" si="34"/>
        <v/>
      </c>
      <c r="AK148" s="260" t="str">
        <f t="shared" si="34"/>
        <v/>
      </c>
      <c r="AL148" s="260" t="str">
        <f t="shared" si="34"/>
        <v/>
      </c>
    </row>
    <row r="149" spans="1:38">
      <c r="A149" s="109">
        <v>13</v>
      </c>
      <c r="B149" s="157"/>
      <c r="C149" s="113"/>
      <c r="D149" s="128">
        <v>2</v>
      </c>
      <c r="E149" s="168" t="str">
        <f t="shared" si="32"/>
        <v/>
      </c>
      <c r="F149" s="352" t="str">
        <f t="shared" si="32"/>
        <v/>
      </c>
      <c r="G149" s="113"/>
      <c r="H149" s="113"/>
      <c r="I149" s="113"/>
      <c r="J149" s="129" t="s">
        <v>168</v>
      </c>
      <c r="K149" s="498" t="str">
        <f>IF(S132="","",S132)</f>
        <v/>
      </c>
      <c r="L149" s="113"/>
      <c r="M149" s="158"/>
      <c r="N149" s="113"/>
      <c r="O149" s="258"/>
      <c r="P149" s="129" t="s">
        <v>666</v>
      </c>
      <c r="Q149" s="242"/>
      <c r="R149" s="242"/>
      <c r="S149" s="242"/>
      <c r="T149" s="242"/>
      <c r="U149" s="242"/>
      <c r="V149" s="242"/>
      <c r="Y149" s="125"/>
      <c r="AA149" s="203"/>
      <c r="AB149" s="249"/>
      <c r="AC149" s="250" t="str">
        <f t="shared" ref="AC149" si="35">IF(AB149&lt;&gt;AD149,"Change","")</f>
        <v/>
      </c>
      <c r="AD149" s="251" t="str">
        <f>IF(Q544="","",Q544)</f>
        <v/>
      </c>
      <c r="AF149" s="129" t="s">
        <v>666</v>
      </c>
      <c r="AG149" s="260" t="str">
        <f t="shared" si="33"/>
        <v/>
      </c>
      <c r="AH149" s="260" t="str">
        <f t="shared" si="34"/>
        <v/>
      </c>
      <c r="AI149" s="260" t="str">
        <f t="shared" si="34"/>
        <v/>
      </c>
      <c r="AJ149" s="260" t="str">
        <f t="shared" si="34"/>
        <v/>
      </c>
      <c r="AK149" s="260" t="str">
        <f t="shared" si="34"/>
        <v/>
      </c>
      <c r="AL149" s="260" t="str">
        <f t="shared" si="34"/>
        <v/>
      </c>
    </row>
    <row r="150" spans="1:38">
      <c r="A150" s="109">
        <v>14</v>
      </c>
      <c r="B150" s="157"/>
      <c r="C150" s="113"/>
      <c r="D150" s="128">
        <v>4</v>
      </c>
      <c r="E150" s="168" t="str">
        <f t="shared" si="32"/>
        <v/>
      </c>
      <c r="F150" s="352" t="str">
        <f t="shared" si="32"/>
        <v/>
      </c>
      <c r="G150" s="129" t="s">
        <v>164</v>
      </c>
      <c r="H150" s="246" t="str">
        <f>IF(T125="","",T125)</f>
        <v/>
      </c>
      <c r="I150" s="113"/>
      <c r="J150" s="113"/>
      <c r="K150" s="113"/>
      <c r="L150" s="113"/>
      <c r="M150" s="158"/>
      <c r="N150" s="113"/>
      <c r="O150" s="258"/>
      <c r="P150" s="129" t="s">
        <v>667</v>
      </c>
      <c r="Q150" s="242"/>
      <c r="R150" s="242"/>
      <c r="S150" s="242"/>
      <c r="T150" s="242"/>
      <c r="U150" s="242"/>
      <c r="V150" s="242"/>
      <c r="Y150" s="125"/>
      <c r="AA150" s="203"/>
      <c r="AB150" s="255"/>
      <c r="AC150" s="173"/>
      <c r="AD150" s="255"/>
      <c r="AF150" s="129" t="s">
        <v>667</v>
      </c>
      <c r="AG150" s="260" t="str">
        <f t="shared" si="33"/>
        <v/>
      </c>
      <c r="AH150" s="260" t="str">
        <f t="shared" si="34"/>
        <v/>
      </c>
      <c r="AI150" s="260" t="str">
        <f t="shared" si="34"/>
        <v/>
      </c>
      <c r="AJ150" s="260" t="str">
        <f t="shared" si="34"/>
        <v/>
      </c>
      <c r="AK150" s="260" t="str">
        <f t="shared" si="34"/>
        <v/>
      </c>
      <c r="AL150" s="260" t="str">
        <f t="shared" si="34"/>
        <v/>
      </c>
    </row>
    <row r="151" spans="1:38">
      <c r="A151" s="109">
        <v>15</v>
      </c>
      <c r="B151" s="157"/>
      <c r="C151" s="113"/>
      <c r="D151" s="128">
        <v>4</v>
      </c>
      <c r="E151" s="168" t="str">
        <f t="shared" si="32"/>
        <v/>
      </c>
      <c r="F151" s="352" t="str">
        <f t="shared" si="32"/>
        <v/>
      </c>
      <c r="G151" s="129" t="s">
        <v>165</v>
      </c>
      <c r="H151" s="247" t="str">
        <f>IF(T126="","",T126)</f>
        <v/>
      </c>
      <c r="I151" s="113"/>
      <c r="J151" s="113"/>
      <c r="K151" s="113"/>
      <c r="L151" s="113"/>
      <c r="M151" s="158"/>
      <c r="N151" s="113"/>
      <c r="O151" s="258"/>
      <c r="P151" s="129" t="s">
        <v>668</v>
      </c>
      <c r="Q151" s="242"/>
      <c r="R151" s="242"/>
      <c r="S151" s="242"/>
      <c r="T151" s="242"/>
      <c r="U151" s="242"/>
      <c r="V151" s="242"/>
      <c r="Y151" s="125"/>
      <c r="AA151" s="203"/>
      <c r="AB151" s="249"/>
      <c r="AC151" s="250" t="str">
        <f t="shared" ref="AC151" si="36">IF(AB151&lt;&gt;AD151,"Change","")</f>
        <v/>
      </c>
      <c r="AD151" s="251" t="str">
        <f>IF(Q546="","",Q546)</f>
        <v/>
      </c>
      <c r="AF151" s="129" t="s">
        <v>668</v>
      </c>
      <c r="AG151" s="260" t="str">
        <f t="shared" si="33"/>
        <v/>
      </c>
      <c r="AH151" s="260" t="str">
        <f t="shared" si="34"/>
        <v/>
      </c>
      <c r="AI151" s="260" t="str">
        <f t="shared" si="34"/>
        <v/>
      </c>
      <c r="AJ151" s="260" t="str">
        <f t="shared" si="34"/>
        <v/>
      </c>
      <c r="AK151" s="260" t="str">
        <f t="shared" si="34"/>
        <v/>
      </c>
      <c r="AL151" s="260" t="str">
        <f t="shared" si="34"/>
        <v/>
      </c>
    </row>
    <row r="152" spans="1:38">
      <c r="A152" s="109">
        <v>16</v>
      </c>
      <c r="B152" s="157"/>
      <c r="C152" s="113"/>
      <c r="D152" s="128">
        <v>4</v>
      </c>
      <c r="E152" s="168" t="str">
        <f t="shared" si="32"/>
        <v/>
      </c>
      <c r="F152" s="352" t="str">
        <f t="shared" si="32"/>
        <v/>
      </c>
      <c r="G152" s="208" t="s">
        <v>158</v>
      </c>
      <c r="H152" s="120" t="s">
        <v>166</v>
      </c>
      <c r="I152" s="113"/>
      <c r="J152" s="113"/>
      <c r="K152" s="113"/>
      <c r="L152" s="113"/>
      <c r="M152" s="158"/>
      <c r="N152" s="113"/>
      <c r="O152" s="258"/>
      <c r="P152" s="129" t="s">
        <v>669</v>
      </c>
      <c r="Q152" s="242"/>
      <c r="R152" s="242"/>
      <c r="S152" s="242"/>
      <c r="T152" s="242"/>
      <c r="U152" s="242"/>
      <c r="V152" s="242"/>
      <c r="Y152" s="125"/>
      <c r="AA152" s="203"/>
      <c r="AB152" s="255"/>
      <c r="AC152" s="120"/>
      <c r="AD152" s="255"/>
      <c r="AF152" s="129" t="s">
        <v>669</v>
      </c>
      <c r="AG152" s="260" t="str">
        <f t="shared" si="33"/>
        <v/>
      </c>
      <c r="AH152" s="260" t="str">
        <f t="shared" si="34"/>
        <v/>
      </c>
      <c r="AI152" s="260" t="str">
        <f t="shared" si="34"/>
        <v/>
      </c>
      <c r="AJ152" s="260" t="str">
        <f t="shared" si="34"/>
        <v/>
      </c>
      <c r="AK152" s="260" t="str">
        <f t="shared" si="34"/>
        <v/>
      </c>
      <c r="AL152" s="260" t="str">
        <f t="shared" si="34"/>
        <v/>
      </c>
    </row>
    <row r="153" spans="1:38">
      <c r="A153" s="109">
        <v>17</v>
      </c>
      <c r="B153" s="157"/>
      <c r="C153" s="113"/>
      <c r="D153" s="128">
        <v>4</v>
      </c>
      <c r="E153" s="168" t="str">
        <f t="shared" si="32"/>
        <v/>
      </c>
      <c r="F153" s="352" t="str">
        <f t="shared" si="32"/>
        <v/>
      </c>
      <c r="G153" s="113"/>
      <c r="H153" s="113"/>
      <c r="I153" s="113"/>
      <c r="J153" s="113"/>
      <c r="K153" s="113"/>
      <c r="L153" s="113"/>
      <c r="M153" s="158"/>
      <c r="N153" s="113"/>
      <c r="O153" s="258"/>
      <c r="P153" s="129" t="s">
        <v>243</v>
      </c>
      <c r="Q153" s="488" t="str">
        <f>IF(Q148="","",AVERAGE(Q148:Q152))</f>
        <v/>
      </c>
      <c r="R153" s="488" t="str">
        <f t="shared" ref="R153:V153" si="37">IF(R148="","",AVERAGE(R148:R152))</f>
        <v/>
      </c>
      <c r="S153" s="488" t="str">
        <f t="shared" si="37"/>
        <v/>
      </c>
      <c r="T153" s="488" t="str">
        <f t="shared" si="37"/>
        <v/>
      </c>
      <c r="U153" s="488" t="str">
        <f t="shared" si="37"/>
        <v/>
      </c>
      <c r="V153" s="488" t="str">
        <f t="shared" si="37"/>
        <v/>
      </c>
      <c r="Y153" s="125"/>
      <c r="AA153" s="203"/>
      <c r="AB153" s="249"/>
      <c r="AC153" s="250" t="str">
        <f t="shared" ref="AC153" si="38">IF(AB153&lt;&gt;AD153,"Change","")</f>
        <v/>
      </c>
      <c r="AD153" s="251" t="str">
        <f>IF(Q548="","",Q548)</f>
        <v/>
      </c>
    </row>
    <row r="154" spans="1:38">
      <c r="A154" s="109">
        <v>18</v>
      </c>
      <c r="B154" s="157"/>
      <c r="C154" s="113"/>
      <c r="D154" s="128">
        <v>6</v>
      </c>
      <c r="E154" s="168" t="str">
        <f t="shared" si="32"/>
        <v/>
      </c>
      <c r="F154" s="352" t="str">
        <f t="shared" si="32"/>
        <v/>
      </c>
      <c r="G154" s="113"/>
      <c r="H154" s="113"/>
      <c r="I154" s="113"/>
      <c r="J154" s="113"/>
      <c r="K154" s="113"/>
      <c r="L154" s="113"/>
      <c r="M154" s="158"/>
      <c r="N154" s="113"/>
      <c r="O154" s="258"/>
      <c r="P154" s="129" t="s">
        <v>663</v>
      </c>
      <c r="Q154" s="262" t="str">
        <f t="shared" ref="Q154" si="39">IF(AG148="","",MAX(AG148:AG152))</f>
        <v/>
      </c>
      <c r="R154" s="262" t="str">
        <f>IF(AH148="","",MAX(AH148:AH152))</f>
        <v/>
      </c>
      <c r="S154" s="262" t="str">
        <f>IF(AI148="","",MAX(AI148:AI152))</f>
        <v/>
      </c>
      <c r="T154" s="262" t="str">
        <f>IF(AJ148="","",MAX(AJ148:AJ152))</f>
        <v/>
      </c>
      <c r="U154" s="262" t="str">
        <f>IF(AK148="","",MAX(AK148:AK152))</f>
        <v/>
      </c>
      <c r="V154" s="262" t="str">
        <f>IF(AL148="","",MAX(AL148:AL152))</f>
        <v/>
      </c>
      <c r="Y154" s="125"/>
      <c r="AA154" s="203"/>
      <c r="AB154" s="255"/>
      <c r="AC154" s="120"/>
      <c r="AD154" s="255"/>
    </row>
    <row r="155" spans="1:38" ht="16.2" thickBot="1">
      <c r="A155" s="109">
        <v>19</v>
      </c>
      <c r="B155" s="157"/>
      <c r="C155" s="113"/>
      <c r="D155" s="128">
        <v>8</v>
      </c>
      <c r="E155" s="213" t="str">
        <f t="shared" si="32"/>
        <v/>
      </c>
      <c r="F155" s="363" t="str">
        <f t="shared" si="32"/>
        <v/>
      </c>
      <c r="G155" s="113"/>
      <c r="H155" s="113"/>
      <c r="I155" s="113"/>
      <c r="J155" s="113"/>
      <c r="K155" s="113"/>
      <c r="L155" s="113"/>
      <c r="M155" s="158"/>
      <c r="N155" s="113"/>
      <c r="O155" s="258"/>
      <c r="P155" s="129" t="s">
        <v>175</v>
      </c>
      <c r="Q155" s="259" t="str">
        <f>IF(Q154="","",IF(Q154&lt;0.07,"YES","NO"))</f>
        <v/>
      </c>
      <c r="R155" s="259" t="str">
        <f t="shared" ref="R155:V155" si="40">IF(R154="","",IF(R154&lt;0.07,"YES","NO"))</f>
        <v/>
      </c>
      <c r="S155" s="259" t="str">
        <f t="shared" si="40"/>
        <v/>
      </c>
      <c r="T155" s="259" t="str">
        <f t="shared" si="40"/>
        <v/>
      </c>
      <c r="U155" s="259" t="str">
        <f t="shared" si="40"/>
        <v/>
      </c>
      <c r="V155" s="259" t="str">
        <f t="shared" si="40"/>
        <v/>
      </c>
      <c r="Y155" s="125"/>
      <c r="AA155" s="203"/>
      <c r="AB155" s="249"/>
      <c r="AC155" s="250" t="str">
        <f t="shared" ref="AC155" si="41">IF(AB155&lt;&gt;AD155,"Change","")</f>
        <v/>
      </c>
      <c r="AD155" s="251" t="str">
        <f>IF(Q550="","",Q550)</f>
        <v/>
      </c>
    </row>
    <row r="156" spans="1:38" ht="16.2" thickBot="1">
      <c r="A156" s="109">
        <v>20</v>
      </c>
      <c r="B156" s="263"/>
      <c r="C156" s="135"/>
      <c r="D156" s="135"/>
      <c r="E156" s="135"/>
      <c r="F156" s="135"/>
      <c r="G156" s="135"/>
      <c r="H156" s="135"/>
      <c r="I156" s="135"/>
      <c r="J156" s="135"/>
      <c r="K156" s="135"/>
      <c r="L156" s="135"/>
      <c r="M156" s="264"/>
      <c r="N156" s="113"/>
      <c r="O156" s="258"/>
      <c r="Y156" s="125"/>
      <c r="AA156" s="203"/>
      <c r="AB156" s="255"/>
      <c r="AC156" s="120"/>
      <c r="AD156" s="255"/>
    </row>
    <row r="157" spans="1:38" ht="16.2" thickBot="1">
      <c r="A157" s="109">
        <v>21</v>
      </c>
      <c r="B157" s="157"/>
      <c r="C157" s="165" t="s">
        <v>170</v>
      </c>
      <c r="D157" s="113"/>
      <c r="E157" s="113"/>
      <c r="F157" s="113"/>
      <c r="G157" s="113"/>
      <c r="H157" s="113"/>
      <c r="I157" s="113"/>
      <c r="J157" s="113"/>
      <c r="K157" s="113"/>
      <c r="L157" s="113"/>
      <c r="M157" s="158"/>
      <c r="N157" s="113"/>
      <c r="O157" s="258"/>
      <c r="P157" s="265" t="s">
        <v>158</v>
      </c>
      <c r="Q157" s="266" t="s">
        <v>664</v>
      </c>
      <c r="Y157" s="125"/>
      <c r="AA157" s="203"/>
      <c r="AB157" s="249"/>
      <c r="AC157" s="250" t="str">
        <f t="shared" ref="AC157" si="42">IF(AB157&lt;&gt;AD157,"Change","")</f>
        <v/>
      </c>
      <c r="AD157" s="251" t="str">
        <f>IF(Q552="","",Q552)</f>
        <v/>
      </c>
    </row>
    <row r="158" spans="1:38">
      <c r="A158" s="109">
        <v>22</v>
      </c>
      <c r="B158" s="157"/>
      <c r="C158" s="113"/>
      <c r="D158" s="129" t="s">
        <v>198</v>
      </c>
      <c r="E158" s="159" t="str">
        <f t="shared" ref="E158:J158" si="43">IF(Q136="","",Q136)</f>
        <v>W</v>
      </c>
      <c r="F158" s="160" t="str">
        <f t="shared" si="43"/>
        <v>W</v>
      </c>
      <c r="G158" s="160" t="str">
        <f t="shared" si="43"/>
        <v>W</v>
      </c>
      <c r="H158" s="160" t="str">
        <f t="shared" si="43"/>
        <v>W</v>
      </c>
      <c r="I158" s="160" t="str">
        <f t="shared" si="43"/>
        <v>W</v>
      </c>
      <c r="J158" s="367" t="str">
        <f t="shared" si="43"/>
        <v>W</v>
      </c>
      <c r="K158" s="113"/>
      <c r="L158" s="113"/>
      <c r="M158" s="158"/>
      <c r="N158" s="113"/>
      <c r="O158" s="258"/>
      <c r="Y158" s="125"/>
      <c r="AA158" s="203"/>
      <c r="AB158" s="255"/>
      <c r="AC158" s="120"/>
      <c r="AD158" s="255"/>
    </row>
    <row r="159" spans="1:38">
      <c r="A159" s="109">
        <v>23</v>
      </c>
      <c r="B159" s="157"/>
      <c r="C159" s="113"/>
      <c r="D159" s="129" t="s">
        <v>29</v>
      </c>
      <c r="E159" s="168" t="str">
        <f t="shared" ref="E159:J164" si="44">IF(Q136="","",Q136)</f>
        <v>W</v>
      </c>
      <c r="F159" s="169" t="str">
        <f t="shared" si="44"/>
        <v>W</v>
      </c>
      <c r="G159" s="169" t="str">
        <f t="shared" si="44"/>
        <v>W</v>
      </c>
      <c r="H159" s="169" t="str">
        <f t="shared" si="44"/>
        <v>W</v>
      </c>
      <c r="I159" s="169" t="str">
        <f t="shared" si="44"/>
        <v>W</v>
      </c>
      <c r="J159" s="352" t="str">
        <f t="shared" si="44"/>
        <v>W</v>
      </c>
      <c r="K159" s="113"/>
      <c r="L159" s="113"/>
      <c r="M159" s="158"/>
      <c r="N159" s="113"/>
      <c r="O159" s="258"/>
      <c r="Y159" s="125"/>
      <c r="AA159" s="203"/>
      <c r="AB159" s="249"/>
      <c r="AC159" s="250" t="str">
        <f t="shared" ref="AC159" si="45">IF(AB159&lt;&gt;AD159,"Change","")</f>
        <v/>
      </c>
      <c r="AD159" s="251" t="str">
        <f>IF(Q554="","",Q554)</f>
        <v/>
      </c>
    </row>
    <row r="160" spans="1:38">
      <c r="A160" s="109">
        <v>24</v>
      </c>
      <c r="B160" s="157"/>
      <c r="C160" s="113"/>
      <c r="D160" s="129" t="s">
        <v>31</v>
      </c>
      <c r="E160" s="168" t="str">
        <f t="shared" si="44"/>
        <v>Rh</v>
      </c>
      <c r="F160" s="169" t="str">
        <f t="shared" si="44"/>
        <v>Ag</v>
      </c>
      <c r="G160" s="169" t="str">
        <f t="shared" si="44"/>
        <v>Al</v>
      </c>
      <c r="H160" s="169" t="str">
        <f t="shared" si="44"/>
        <v>Cu</v>
      </c>
      <c r="I160" s="169" t="str">
        <f t="shared" si="44"/>
        <v>Rh</v>
      </c>
      <c r="J160" s="352" t="str">
        <f t="shared" si="44"/>
        <v>Ag</v>
      </c>
      <c r="K160" s="113"/>
      <c r="L160" s="113"/>
      <c r="M160" s="158"/>
      <c r="N160" s="113"/>
      <c r="O160" s="258"/>
      <c r="Y160" s="125"/>
      <c r="AA160" s="203"/>
      <c r="AB160" s="255"/>
      <c r="AC160" s="120"/>
      <c r="AD160" s="255"/>
    </row>
    <row r="161" spans="1:30">
      <c r="A161" s="109">
        <v>25</v>
      </c>
      <c r="B161" s="157"/>
      <c r="C161" s="113"/>
      <c r="D161" s="129" t="s">
        <v>171</v>
      </c>
      <c r="E161" s="168" t="str">
        <f t="shared" si="44"/>
        <v>L</v>
      </c>
      <c r="F161" s="169" t="str">
        <f t="shared" si="44"/>
        <v>L</v>
      </c>
      <c r="G161" s="169" t="str">
        <f t="shared" si="44"/>
        <v>L</v>
      </c>
      <c r="H161" s="169" t="str">
        <f t="shared" si="44"/>
        <v>L</v>
      </c>
      <c r="I161" s="169" t="str">
        <f t="shared" si="44"/>
        <v>S</v>
      </c>
      <c r="J161" s="352" t="str">
        <f t="shared" si="44"/>
        <v>S</v>
      </c>
      <c r="K161" s="113"/>
      <c r="L161" s="113"/>
      <c r="M161" s="158"/>
      <c r="N161" s="113"/>
      <c r="O161" s="258"/>
      <c r="Y161" s="125"/>
      <c r="AA161" s="203"/>
      <c r="AB161" s="249"/>
      <c r="AC161" s="250" t="str">
        <f t="shared" ref="AC161" si="46">IF(AB161&lt;&gt;AD161,"Change","")</f>
        <v/>
      </c>
      <c r="AD161" s="251" t="str">
        <f>IF(Q556="","",Q556)</f>
        <v/>
      </c>
    </row>
    <row r="162" spans="1:30">
      <c r="A162" s="109">
        <v>26</v>
      </c>
      <c r="B162" s="157"/>
      <c r="C162" s="113"/>
      <c r="D162" s="129" t="s">
        <v>172</v>
      </c>
      <c r="E162" s="168" t="str">
        <f t="shared" si="44"/>
        <v/>
      </c>
      <c r="F162" s="169" t="str">
        <f t="shared" si="44"/>
        <v/>
      </c>
      <c r="G162" s="169" t="str">
        <f t="shared" si="44"/>
        <v/>
      </c>
      <c r="H162" s="169">
        <f t="shared" si="44"/>
        <v>28</v>
      </c>
      <c r="I162" s="169" t="str">
        <f t="shared" si="44"/>
        <v/>
      </c>
      <c r="J162" s="352" t="str">
        <f t="shared" si="44"/>
        <v/>
      </c>
      <c r="K162" s="113"/>
      <c r="L162" s="113"/>
      <c r="M162" s="158"/>
      <c r="N162" s="113"/>
      <c r="O162" s="123"/>
      <c r="P162" s="203" t="s">
        <v>176</v>
      </c>
      <c r="Q162" s="267" t="str">
        <f>IF(Q164&lt;&gt;"",Q164,IF(AB190="","",AB190))</f>
        <v/>
      </c>
      <c r="R162" s="268"/>
      <c r="S162" s="268"/>
      <c r="T162" s="268"/>
      <c r="U162" s="268"/>
      <c r="V162" s="268"/>
      <c r="W162" s="268"/>
      <c r="X162" s="268"/>
      <c r="Y162" s="125"/>
      <c r="AA162" s="203"/>
      <c r="AB162" s="255"/>
      <c r="AC162" s="120"/>
      <c r="AD162" s="261"/>
    </row>
    <row r="163" spans="1:30">
      <c r="A163" s="109">
        <v>27</v>
      </c>
      <c r="B163" s="157"/>
      <c r="C163" s="113"/>
      <c r="D163" s="129" t="s">
        <v>173</v>
      </c>
      <c r="E163" s="168" t="str">
        <f t="shared" si="44"/>
        <v/>
      </c>
      <c r="F163" s="169" t="str">
        <f t="shared" si="44"/>
        <v/>
      </c>
      <c r="G163" s="169" t="str">
        <f t="shared" si="44"/>
        <v/>
      </c>
      <c r="H163" s="169">
        <f t="shared" si="44"/>
        <v>100</v>
      </c>
      <c r="I163" s="169" t="str">
        <f t="shared" si="44"/>
        <v/>
      </c>
      <c r="J163" s="352" t="str">
        <f t="shared" si="44"/>
        <v/>
      </c>
      <c r="K163" s="113"/>
      <c r="L163" s="113"/>
      <c r="M163" s="158"/>
      <c r="N163" s="113"/>
      <c r="O163" s="123"/>
      <c r="P163" s="269" t="s">
        <v>177</v>
      </c>
      <c r="Q163" s="270"/>
      <c r="R163" s="271"/>
      <c r="S163" s="271"/>
      <c r="T163" s="271"/>
      <c r="U163" s="271"/>
      <c r="V163" s="271"/>
      <c r="W163" s="271"/>
      <c r="X163" s="271"/>
      <c r="Y163" s="125"/>
      <c r="AA163" s="203"/>
      <c r="AB163" s="249"/>
      <c r="AC163" s="250" t="str">
        <f t="shared" ref="AC163" si="47">IF(AB163&lt;&gt;AD163,"Change","")</f>
        <v/>
      </c>
      <c r="AD163" s="251" t="str">
        <f>IF(Q558="","",Q558)</f>
        <v/>
      </c>
    </row>
    <row r="164" spans="1:30">
      <c r="A164" s="109">
        <v>28</v>
      </c>
      <c r="B164" s="157"/>
      <c r="C164" s="113"/>
      <c r="D164" s="129" t="s">
        <v>174</v>
      </c>
      <c r="E164" s="168" t="str">
        <f t="shared" si="44"/>
        <v/>
      </c>
      <c r="F164" s="169" t="str">
        <f t="shared" si="44"/>
        <v/>
      </c>
      <c r="G164" s="169" t="str">
        <f t="shared" si="44"/>
        <v/>
      </c>
      <c r="H164" s="169" t="str">
        <f t="shared" si="44"/>
        <v/>
      </c>
      <c r="I164" s="169" t="str">
        <f t="shared" si="44"/>
        <v/>
      </c>
      <c r="J164" s="352" t="str">
        <f t="shared" si="44"/>
        <v/>
      </c>
      <c r="K164" s="113"/>
      <c r="L164" s="113"/>
      <c r="M164" s="158"/>
      <c r="N164" s="113"/>
      <c r="O164" s="123"/>
      <c r="P164" s="203" t="s">
        <v>179</v>
      </c>
      <c r="Q164" s="272"/>
      <c r="R164" s="271"/>
      <c r="S164" s="271"/>
      <c r="T164" s="271"/>
      <c r="U164" s="271"/>
      <c r="V164" s="271"/>
      <c r="W164" s="271"/>
      <c r="X164" s="271"/>
      <c r="Y164" s="125"/>
    </row>
    <row r="165" spans="1:30" ht="15.75" customHeight="1" thickBot="1">
      <c r="A165" s="109">
        <v>29</v>
      </c>
      <c r="B165" s="157"/>
      <c r="C165" s="113"/>
      <c r="D165" s="129" t="s">
        <v>690</v>
      </c>
      <c r="E165" s="168" t="str">
        <f>IF(Q142="","",IF(Q142=1,"YES","NO"))</f>
        <v/>
      </c>
      <c r="F165" s="169" t="str">
        <f t="shared" ref="F165:J165" si="48">IF(R142="","",IF(R142=1,"YES","NO"))</f>
        <v/>
      </c>
      <c r="G165" s="169" t="str">
        <f t="shared" si="48"/>
        <v/>
      </c>
      <c r="H165" s="169" t="str">
        <f t="shared" si="48"/>
        <v/>
      </c>
      <c r="I165" s="169" t="str">
        <f t="shared" si="48"/>
        <v/>
      </c>
      <c r="J165" s="352" t="str">
        <f t="shared" si="48"/>
        <v/>
      </c>
      <c r="K165" s="113"/>
      <c r="L165" s="113"/>
      <c r="M165" s="158"/>
      <c r="N165" s="113"/>
      <c r="O165" s="134"/>
      <c r="P165" s="135"/>
      <c r="Q165" s="135"/>
      <c r="R165" s="135"/>
      <c r="S165" s="135"/>
      <c r="T165" s="135"/>
      <c r="U165" s="135"/>
      <c r="V165" s="135"/>
      <c r="W165" s="135"/>
      <c r="X165" s="135"/>
      <c r="Y165" s="136"/>
    </row>
    <row r="166" spans="1:30">
      <c r="A166" s="109">
        <v>30</v>
      </c>
      <c r="B166" s="157"/>
      <c r="C166" s="113"/>
      <c r="D166" s="129" t="s">
        <v>671</v>
      </c>
      <c r="E166" s="490" t="str">
        <f>Q154</f>
        <v/>
      </c>
      <c r="F166" s="273" t="str">
        <f t="shared" ref="F166:J166" si="49">IF(R154="","",R154)</f>
        <v/>
      </c>
      <c r="G166" s="273" t="str">
        <f t="shared" si="49"/>
        <v/>
      </c>
      <c r="H166" s="273" t="str">
        <f t="shared" si="49"/>
        <v/>
      </c>
      <c r="I166" s="273" t="str">
        <f t="shared" si="49"/>
        <v/>
      </c>
      <c r="J166" s="491" t="str">
        <f t="shared" si="49"/>
        <v/>
      </c>
      <c r="K166" s="113"/>
      <c r="L166" s="113"/>
      <c r="M166" s="158"/>
      <c r="N166" s="113"/>
      <c r="O166" s="241" t="s">
        <v>181</v>
      </c>
      <c r="P166" s="115"/>
      <c r="Q166" s="115"/>
      <c r="R166" s="274"/>
      <c r="S166" s="153" t="s">
        <v>52</v>
      </c>
      <c r="T166" s="115"/>
      <c r="U166" s="115"/>
      <c r="V166" s="115"/>
      <c r="W166" s="115"/>
      <c r="X166" s="115"/>
      <c r="Y166" s="116"/>
    </row>
    <row r="167" spans="1:30" ht="16.2" thickBot="1">
      <c r="A167" s="109">
        <v>31</v>
      </c>
      <c r="B167" s="157"/>
      <c r="C167" s="113"/>
      <c r="D167" s="129" t="s">
        <v>691</v>
      </c>
      <c r="E167" s="492" t="str">
        <f t="shared" ref="E167:J167" si="50">Q155</f>
        <v/>
      </c>
      <c r="F167" s="493" t="str">
        <f t="shared" si="50"/>
        <v/>
      </c>
      <c r="G167" s="493" t="str">
        <f t="shared" si="50"/>
        <v/>
      </c>
      <c r="H167" s="493" t="str">
        <f t="shared" si="50"/>
        <v/>
      </c>
      <c r="I167" s="493" t="str">
        <f t="shared" si="50"/>
        <v/>
      </c>
      <c r="J167" s="494" t="str">
        <f t="shared" si="50"/>
        <v/>
      </c>
      <c r="K167" s="120"/>
      <c r="L167" s="120"/>
      <c r="M167" s="122"/>
      <c r="N167" s="113"/>
      <c r="O167" s="123"/>
      <c r="P167" s="648" t="s">
        <v>182</v>
      </c>
      <c r="Q167" s="648"/>
      <c r="R167" s="648"/>
      <c r="S167" s="648"/>
      <c r="T167" s="275"/>
      <c r="U167" s="648" t="s">
        <v>183</v>
      </c>
      <c r="V167" s="648"/>
      <c r="W167" s="113"/>
      <c r="X167" s="113"/>
      <c r="Y167" s="125"/>
    </row>
    <row r="168" spans="1:30" ht="16.2" thickBot="1">
      <c r="A168" s="109">
        <v>32</v>
      </c>
      <c r="B168" s="157"/>
      <c r="C168" s="113"/>
      <c r="D168" s="208" t="s">
        <v>158</v>
      </c>
      <c r="E168" s="120" t="s">
        <v>205</v>
      </c>
      <c r="F168" s="120"/>
      <c r="G168" s="120"/>
      <c r="H168" s="120"/>
      <c r="I168" s="120"/>
      <c r="J168" s="120"/>
      <c r="K168" s="120"/>
      <c r="L168" s="120"/>
      <c r="M168" s="122"/>
      <c r="N168" s="113"/>
      <c r="O168" s="123"/>
      <c r="P168" s="276" t="s">
        <v>184</v>
      </c>
      <c r="Q168" s="276" t="s">
        <v>185</v>
      </c>
      <c r="R168" s="276" t="s">
        <v>186</v>
      </c>
      <c r="S168" s="277" t="s">
        <v>187</v>
      </c>
      <c r="T168" s="275"/>
      <c r="U168" s="649" t="s">
        <v>188</v>
      </c>
      <c r="V168" s="649"/>
      <c r="W168" s="113"/>
      <c r="X168" s="113"/>
      <c r="Y168" s="125"/>
    </row>
    <row r="169" spans="1:30" ht="16.2" thickBot="1">
      <c r="A169" s="109">
        <v>33</v>
      </c>
      <c r="B169" s="157"/>
      <c r="C169" s="113"/>
      <c r="E169" s="266" t="s">
        <v>672</v>
      </c>
      <c r="F169" s="120"/>
      <c r="G169" s="120"/>
      <c r="H169" s="120"/>
      <c r="I169" s="120"/>
      <c r="J169" s="120"/>
      <c r="K169" s="120"/>
      <c r="L169" s="120"/>
      <c r="M169" s="122"/>
      <c r="N169" s="113"/>
      <c r="O169" s="123"/>
      <c r="P169" s="278" t="str">
        <f>IF(Sheet2!M4="","",Sheet2!M4)</f>
        <v/>
      </c>
      <c r="Q169" s="278" t="str">
        <f>IF(Sheet2!M5="","",Sheet2!M5)</f>
        <v/>
      </c>
      <c r="R169" s="278" t="str">
        <f>IF(Sheet2!M6="","",Sheet2!M6)</f>
        <v/>
      </c>
      <c r="S169" s="279" t="str">
        <f>IF(Sheet2!M7="","",Sheet2!M7)</f>
        <v/>
      </c>
      <c r="T169" s="275"/>
      <c r="U169" s="650" t="str">
        <f>IF(OR(R166=2,R166=3),"NA",IF(OR(P169="",Q169="",R169="",S169=""),"",AVERAGE(P169:S169)))</f>
        <v/>
      </c>
      <c r="V169" s="650"/>
      <c r="W169" s="113"/>
      <c r="X169" s="129" t="s">
        <v>175</v>
      </c>
      <c r="Y169" s="257" t="str">
        <f>IF(U169="","",IF(U169="NA","NA",IF(U169&gt;=160,"Pass","Fail")))</f>
        <v/>
      </c>
    </row>
    <row r="170" spans="1:30" ht="16.2" thickBot="1">
      <c r="A170" s="109">
        <v>34</v>
      </c>
      <c r="B170" s="263"/>
      <c r="C170" s="135"/>
      <c r="D170" s="135"/>
      <c r="E170" s="135"/>
      <c r="F170" s="135"/>
      <c r="G170" s="135"/>
      <c r="H170" s="135"/>
      <c r="I170" s="135"/>
      <c r="J170" s="135"/>
      <c r="K170" s="135"/>
      <c r="L170" s="135"/>
      <c r="M170" s="264"/>
      <c r="N170" s="113"/>
      <c r="O170" s="123"/>
      <c r="P170" s="113"/>
      <c r="Q170" s="113"/>
      <c r="R170" s="113"/>
      <c r="S170" s="113"/>
      <c r="T170" s="113"/>
      <c r="U170" s="113"/>
      <c r="V170" s="113"/>
      <c r="W170" s="113"/>
      <c r="X170" s="113"/>
      <c r="Y170" s="125"/>
    </row>
    <row r="171" spans="1:30">
      <c r="A171" s="109">
        <v>35</v>
      </c>
      <c r="B171" s="157"/>
      <c r="C171" s="165" t="s">
        <v>181</v>
      </c>
      <c r="D171" s="113"/>
      <c r="E171" s="113"/>
      <c r="F171" s="113"/>
      <c r="G171" s="113"/>
      <c r="H171" s="113"/>
      <c r="I171" s="113"/>
      <c r="J171" s="113"/>
      <c r="K171" s="113"/>
      <c r="L171" s="113"/>
      <c r="M171" s="158"/>
      <c r="N171" s="113"/>
      <c r="O171" s="243" t="s">
        <v>189</v>
      </c>
      <c r="P171" s="113"/>
      <c r="Q171" s="113"/>
      <c r="R171" s="113"/>
      <c r="S171" s="113"/>
      <c r="T171" s="113"/>
      <c r="U171" s="113"/>
      <c r="V171" s="113"/>
      <c r="W171" s="113"/>
      <c r="X171" s="113"/>
      <c r="Y171" s="125"/>
    </row>
    <row r="172" spans="1:30">
      <c r="A172" s="109">
        <v>36</v>
      </c>
      <c r="B172" s="157"/>
      <c r="C172" s="113"/>
      <c r="D172" s="648" t="s">
        <v>182</v>
      </c>
      <c r="E172" s="648"/>
      <c r="F172" s="648"/>
      <c r="G172" s="648"/>
      <c r="H172" s="275"/>
      <c r="I172" s="648" t="s">
        <v>183</v>
      </c>
      <c r="J172" s="648"/>
      <c r="K172" s="113"/>
      <c r="L172" s="113"/>
      <c r="M172" s="158"/>
      <c r="N172" s="113"/>
      <c r="O172" s="280" t="s">
        <v>190</v>
      </c>
      <c r="P172" s="245">
        <f>IF($O$33=1,70,65)</f>
        <v>65</v>
      </c>
      <c r="Q172" s="113"/>
      <c r="R172" s="113"/>
      <c r="S172" s="113"/>
      <c r="T172" s="113"/>
      <c r="U172" s="201"/>
      <c r="V172" s="201"/>
      <c r="W172" s="201"/>
      <c r="X172" s="201"/>
      <c r="Y172" s="281"/>
    </row>
    <row r="173" spans="1:30" ht="16.2" thickBot="1">
      <c r="A173" s="109">
        <v>37</v>
      </c>
      <c r="B173" s="157"/>
      <c r="C173" s="113"/>
      <c r="D173" s="276" t="s">
        <v>184</v>
      </c>
      <c r="E173" s="276" t="s">
        <v>185</v>
      </c>
      <c r="F173" s="276" t="s">
        <v>186</v>
      </c>
      <c r="G173" s="277" t="s">
        <v>187</v>
      </c>
      <c r="H173" s="275"/>
      <c r="I173" s="649" t="s">
        <v>188</v>
      </c>
      <c r="J173" s="649"/>
      <c r="K173" s="113"/>
      <c r="L173" s="113"/>
      <c r="M173" s="158"/>
      <c r="N173" s="113"/>
      <c r="O173" s="123"/>
      <c r="P173" s="651" t="s">
        <v>191</v>
      </c>
      <c r="Q173" s="639" t="s">
        <v>192</v>
      </c>
      <c r="R173" s="639"/>
      <c r="S173" s="639"/>
      <c r="T173" s="282" t="s">
        <v>675</v>
      </c>
      <c r="U173" s="641" t="s">
        <v>193</v>
      </c>
      <c r="V173" s="201"/>
      <c r="W173" s="201"/>
      <c r="X173" s="201"/>
      <c r="Y173" s="281"/>
    </row>
    <row r="174" spans="1:30" ht="16.2" thickBot="1">
      <c r="A174" s="109">
        <v>38</v>
      </c>
      <c r="B174" s="157"/>
      <c r="C174" s="113"/>
      <c r="D174" s="283" t="str">
        <f>IF(P169="","",P169)</f>
        <v/>
      </c>
      <c r="E174" s="283" t="str">
        <f>IF(Q169="","",Q169)</f>
        <v/>
      </c>
      <c r="F174" s="283" t="str">
        <f>IF(R169="","",R169)</f>
        <v/>
      </c>
      <c r="G174" s="284" t="str">
        <f>IF(S169="","",S169)</f>
        <v/>
      </c>
      <c r="H174" s="275"/>
      <c r="I174" s="655" t="str">
        <f>IF(U169="","",U169)</f>
        <v/>
      </c>
      <c r="J174" s="655"/>
      <c r="K174" s="113"/>
      <c r="L174" s="129" t="s">
        <v>175</v>
      </c>
      <c r="M174" s="285" t="str">
        <f>IF(Y169="","",Y169)</f>
        <v/>
      </c>
      <c r="N174" s="113"/>
      <c r="O174" s="123"/>
      <c r="P174" s="651" t="s">
        <v>191</v>
      </c>
      <c r="Q174" s="282" t="s">
        <v>194</v>
      </c>
      <c r="R174" s="286" t="s">
        <v>195</v>
      </c>
      <c r="S174" s="286" t="s">
        <v>196</v>
      </c>
      <c r="T174" s="282" t="s">
        <v>197</v>
      </c>
      <c r="U174" s="641" t="s">
        <v>191</v>
      </c>
      <c r="V174" s="201"/>
      <c r="W174" s="201"/>
      <c r="X174" s="201"/>
      <c r="Y174" s="281"/>
    </row>
    <row r="175" spans="1:30">
      <c r="A175" s="109">
        <v>39</v>
      </c>
      <c r="B175" s="157"/>
      <c r="C175" s="113"/>
      <c r="D175" s="208" t="s">
        <v>158</v>
      </c>
      <c r="E175" s="120" t="s">
        <v>210</v>
      </c>
      <c r="F175" s="113"/>
      <c r="G175" s="113"/>
      <c r="H175" s="113"/>
      <c r="I175" s="113"/>
      <c r="J175" s="113"/>
      <c r="K175" s="113"/>
      <c r="L175" s="113"/>
      <c r="M175" s="158"/>
      <c r="N175" s="113"/>
      <c r="O175" s="280" t="s">
        <v>199</v>
      </c>
      <c r="P175" s="287"/>
      <c r="Q175" s="288"/>
      <c r="R175" s="288"/>
      <c r="S175" s="289"/>
      <c r="T175" s="289"/>
      <c r="U175" s="290"/>
      <c r="V175" s="201"/>
      <c r="W175" s="201"/>
      <c r="X175" s="201"/>
      <c r="Y175" s="281"/>
    </row>
    <row r="176" spans="1:30" ht="16.2" thickBot="1">
      <c r="A176" s="109">
        <v>40</v>
      </c>
      <c r="B176" s="263"/>
      <c r="C176" s="135"/>
      <c r="D176" s="135"/>
      <c r="E176" s="135"/>
      <c r="F176" s="135"/>
      <c r="G176" s="135"/>
      <c r="H176" s="135"/>
      <c r="I176" s="135"/>
      <c r="J176" s="135"/>
      <c r="K176" s="135"/>
      <c r="L176" s="135"/>
      <c r="M176" s="264"/>
      <c r="N176" s="113"/>
      <c r="O176" s="280" t="s">
        <v>200</v>
      </c>
      <c r="P176" s="291"/>
      <c r="Q176" s="292"/>
      <c r="R176" s="292"/>
      <c r="S176" s="293"/>
      <c r="T176" s="293"/>
      <c r="U176" s="294"/>
      <c r="V176" s="201"/>
      <c r="W176" s="201"/>
      <c r="X176" s="201"/>
      <c r="Y176" s="281"/>
    </row>
    <row r="177" spans="1:25">
      <c r="A177" s="109">
        <v>41</v>
      </c>
      <c r="B177" s="157"/>
      <c r="C177" s="165" t="s">
        <v>189</v>
      </c>
      <c r="D177" s="113"/>
      <c r="E177" s="113"/>
      <c r="F177" s="113"/>
      <c r="G177" s="165" t="s">
        <v>212</v>
      </c>
      <c r="H177" s="113"/>
      <c r="I177" s="113"/>
      <c r="J177" s="113"/>
      <c r="K177" s="113"/>
      <c r="L177" s="113"/>
      <c r="M177" s="158"/>
      <c r="N177" s="113"/>
      <c r="O177" s="280" t="s">
        <v>201</v>
      </c>
      <c r="P177" s="291"/>
      <c r="Q177" s="292"/>
      <c r="R177" s="292"/>
      <c r="S177" s="295"/>
      <c r="T177" s="295"/>
      <c r="U177" s="294"/>
      <c r="V177" s="201"/>
      <c r="W177" s="201"/>
      <c r="X177" s="201"/>
      <c r="Y177" s="281"/>
    </row>
    <row r="178" spans="1:25" ht="16.5" customHeight="1" thickBot="1">
      <c r="A178" s="109">
        <v>42</v>
      </c>
      <c r="B178" s="157"/>
      <c r="C178" s="128" t="s">
        <v>190</v>
      </c>
      <c r="D178" s="173"/>
      <c r="E178" s="113"/>
      <c r="F178" s="113"/>
      <c r="G178" s="113"/>
      <c r="H178" s="113"/>
      <c r="I178" s="113"/>
      <c r="J178" s="113"/>
      <c r="K178" s="113"/>
      <c r="L178" s="113"/>
      <c r="M178" s="158"/>
      <c r="N178" s="113"/>
      <c r="O178" s="280" t="s">
        <v>202</v>
      </c>
      <c r="P178" s="296"/>
      <c r="Q178" s="297"/>
      <c r="R178" s="297"/>
      <c r="S178" s="298"/>
      <c r="T178" s="298"/>
      <c r="U178" s="299"/>
      <c r="V178" s="201"/>
      <c r="W178" s="201"/>
      <c r="X178" s="201"/>
      <c r="Y178" s="281"/>
    </row>
    <row r="179" spans="1:25" ht="16.2" thickBot="1">
      <c r="A179" s="109">
        <v>43</v>
      </c>
      <c r="B179" s="157"/>
      <c r="C179" s="254">
        <f>IF(P172="","",P172)</f>
        <v>65</v>
      </c>
      <c r="D179" s="656" t="s">
        <v>213</v>
      </c>
      <c r="E179" s="656"/>
      <c r="F179" s="656"/>
      <c r="G179" s="656"/>
      <c r="H179" s="656"/>
      <c r="I179" s="656"/>
      <c r="J179" s="201"/>
      <c r="K179" s="201"/>
      <c r="L179" s="201"/>
      <c r="M179" s="158"/>
      <c r="N179" s="113"/>
      <c r="O179" s="123"/>
      <c r="P179" s="113"/>
      <c r="Q179" s="120" t="s">
        <v>203</v>
      </c>
      <c r="R179" s="113"/>
      <c r="S179" s="113"/>
      <c r="T179" s="201"/>
      <c r="U179" s="201"/>
      <c r="V179" s="201"/>
      <c r="W179" s="201"/>
      <c r="X179" s="201"/>
      <c r="Y179" s="281"/>
    </row>
    <row r="180" spans="1:25">
      <c r="A180" s="109">
        <v>44</v>
      </c>
      <c r="B180" s="157"/>
      <c r="C180" s="173"/>
      <c r="D180" s="651" t="s">
        <v>191</v>
      </c>
      <c r="E180" s="639" t="s">
        <v>192</v>
      </c>
      <c r="F180" s="639"/>
      <c r="G180" s="639"/>
      <c r="H180" s="282" t="s">
        <v>675</v>
      </c>
      <c r="I180" s="657" t="s">
        <v>193</v>
      </c>
      <c r="J180" s="201"/>
      <c r="K180" s="201"/>
      <c r="L180" s="201"/>
      <c r="M180" s="158"/>
      <c r="N180" s="113"/>
      <c r="O180" s="123"/>
      <c r="P180" s="113"/>
      <c r="Q180" s="113"/>
      <c r="R180" s="113"/>
      <c r="S180" s="113"/>
      <c r="T180" s="201"/>
      <c r="U180" s="201"/>
      <c r="V180" s="201"/>
      <c r="W180" s="201"/>
      <c r="X180" s="201"/>
      <c r="Y180" s="281"/>
    </row>
    <row r="181" spans="1:25">
      <c r="A181" s="109">
        <v>45</v>
      </c>
      <c r="B181" s="157"/>
      <c r="C181" s="173"/>
      <c r="D181" s="651" t="s">
        <v>191</v>
      </c>
      <c r="E181" s="282" t="s">
        <v>194</v>
      </c>
      <c r="F181" s="286" t="s">
        <v>195</v>
      </c>
      <c r="G181" s="286" t="s">
        <v>196</v>
      </c>
      <c r="H181" s="282" t="s">
        <v>197</v>
      </c>
      <c r="I181" s="657" t="s">
        <v>197</v>
      </c>
      <c r="J181" s="201"/>
      <c r="K181" s="201"/>
      <c r="L181" s="201"/>
      <c r="M181" s="158"/>
      <c r="N181" s="113"/>
      <c r="O181" s="300"/>
      <c r="P181" s="637" t="s">
        <v>204</v>
      </c>
      <c r="Q181" s="638"/>
      <c r="R181" s="638"/>
      <c r="S181" s="638"/>
      <c r="T181" s="638"/>
      <c r="U181" s="639"/>
      <c r="V181" s="201"/>
      <c r="W181" s="201"/>
      <c r="X181" s="201"/>
      <c r="Y181" s="281"/>
    </row>
    <row r="182" spans="1:25" ht="15.75" customHeight="1">
      <c r="A182" s="109">
        <v>46</v>
      </c>
      <c r="B182" s="157"/>
      <c r="C182" s="129" t="s">
        <v>199</v>
      </c>
      <c r="D182" s="301" t="str">
        <f t="shared" ref="D182:I187" si="51">IF(P184="","",P184)</f>
        <v/>
      </c>
      <c r="E182" s="302" t="str">
        <f t="shared" si="51"/>
        <v/>
      </c>
      <c r="F182" s="302" t="str">
        <f t="shared" si="51"/>
        <v/>
      </c>
      <c r="G182" s="302" t="str">
        <f t="shared" si="51"/>
        <v/>
      </c>
      <c r="H182" s="303" t="str">
        <f t="shared" si="51"/>
        <v/>
      </c>
      <c r="I182" s="304" t="str">
        <f t="shared" si="51"/>
        <v/>
      </c>
      <c r="J182" s="201"/>
      <c r="K182" s="201"/>
      <c r="L182" s="201"/>
      <c r="M182" s="158"/>
      <c r="N182" s="113"/>
      <c r="O182" s="300"/>
      <c r="P182" s="305" t="s">
        <v>191</v>
      </c>
      <c r="Q182" s="640" t="s">
        <v>192</v>
      </c>
      <c r="R182" s="638"/>
      <c r="S182" s="639"/>
      <c r="T182" s="282" t="s">
        <v>675</v>
      </c>
      <c r="U182" s="641" t="s">
        <v>193</v>
      </c>
      <c r="V182" s="201"/>
      <c r="W182" s="201"/>
      <c r="X182" s="201"/>
      <c r="Y182" s="281"/>
    </row>
    <row r="183" spans="1:25" ht="16.2" thickBot="1">
      <c r="A183" s="109">
        <v>47</v>
      </c>
      <c r="B183" s="157"/>
      <c r="C183" s="129" t="s">
        <v>200</v>
      </c>
      <c r="D183" s="301" t="str">
        <f t="shared" si="51"/>
        <v/>
      </c>
      <c r="E183" s="302" t="str">
        <f t="shared" si="51"/>
        <v/>
      </c>
      <c r="F183" s="302" t="str">
        <f t="shared" si="51"/>
        <v/>
      </c>
      <c r="G183" s="302" t="str">
        <f t="shared" si="51"/>
        <v/>
      </c>
      <c r="H183" s="303" t="str">
        <f t="shared" si="51"/>
        <v/>
      </c>
      <c r="I183" s="304" t="str">
        <f t="shared" si="51"/>
        <v/>
      </c>
      <c r="J183" s="201"/>
      <c r="K183" s="201"/>
      <c r="L183" s="201"/>
      <c r="M183" s="158"/>
      <c r="N183" s="113"/>
      <c r="O183" s="300"/>
      <c r="P183" s="305" t="s">
        <v>191</v>
      </c>
      <c r="Q183" s="286" t="s">
        <v>194</v>
      </c>
      <c r="R183" s="286" t="s">
        <v>195</v>
      </c>
      <c r="S183" s="286" t="s">
        <v>196</v>
      </c>
      <c r="T183" s="286" t="s">
        <v>197</v>
      </c>
      <c r="U183" s="641" t="s">
        <v>191</v>
      </c>
      <c r="V183" s="201"/>
      <c r="W183" s="201"/>
      <c r="X183" s="201"/>
      <c r="Y183" s="281"/>
    </row>
    <row r="184" spans="1:25">
      <c r="A184" s="109">
        <v>48</v>
      </c>
      <c r="B184" s="157"/>
      <c r="C184" s="129" t="s">
        <v>201</v>
      </c>
      <c r="D184" s="301" t="str">
        <f t="shared" si="51"/>
        <v/>
      </c>
      <c r="E184" s="302" t="str">
        <f t="shared" si="51"/>
        <v/>
      </c>
      <c r="F184" s="302" t="str">
        <f t="shared" si="51"/>
        <v/>
      </c>
      <c r="G184" s="302" t="str">
        <f t="shared" si="51"/>
        <v/>
      </c>
      <c r="H184" s="303" t="str">
        <f t="shared" si="51"/>
        <v/>
      </c>
      <c r="I184" s="304" t="str">
        <f t="shared" si="51"/>
        <v/>
      </c>
      <c r="J184" s="201"/>
      <c r="K184" s="201"/>
      <c r="L184" s="201"/>
      <c r="M184" s="158"/>
      <c r="N184" s="113"/>
      <c r="O184" s="280" t="s">
        <v>199</v>
      </c>
      <c r="P184" s="306" t="str">
        <f t="shared" ref="P184:U187" si="52">IF(OR(P175="",$P$172=""),"",P175/$P$172)</f>
        <v/>
      </c>
      <c r="Q184" s="307" t="str">
        <f t="shared" si="52"/>
        <v/>
      </c>
      <c r="R184" s="307" t="str">
        <f t="shared" si="52"/>
        <v/>
      </c>
      <c r="S184" s="307" t="str">
        <f t="shared" si="52"/>
        <v/>
      </c>
      <c r="T184" s="307" t="str">
        <f t="shared" si="52"/>
        <v/>
      </c>
      <c r="U184" s="308" t="str">
        <f t="shared" si="52"/>
        <v/>
      </c>
      <c r="V184" s="201"/>
      <c r="W184" s="201"/>
      <c r="X184" s="201"/>
      <c r="Y184" s="281"/>
    </row>
    <row r="185" spans="1:25" ht="16.2" thickBot="1">
      <c r="A185" s="109">
        <v>49</v>
      </c>
      <c r="B185" s="157"/>
      <c r="C185" s="129" t="s">
        <v>202</v>
      </c>
      <c r="D185" s="301" t="str">
        <f t="shared" si="51"/>
        <v/>
      </c>
      <c r="E185" s="302" t="str">
        <f t="shared" si="51"/>
        <v/>
      </c>
      <c r="F185" s="302" t="str">
        <f t="shared" si="51"/>
        <v/>
      </c>
      <c r="G185" s="302" t="str">
        <f t="shared" si="51"/>
        <v/>
      </c>
      <c r="H185" s="303" t="str">
        <f t="shared" si="51"/>
        <v/>
      </c>
      <c r="I185" s="304" t="str">
        <f t="shared" si="51"/>
        <v/>
      </c>
      <c r="J185" s="201"/>
      <c r="K185" s="201"/>
      <c r="L185" s="201"/>
      <c r="M185" s="158"/>
      <c r="N185" s="113"/>
      <c r="O185" s="280" t="s">
        <v>200</v>
      </c>
      <c r="P185" s="309" t="str">
        <f t="shared" si="52"/>
        <v/>
      </c>
      <c r="Q185" s="310" t="str">
        <f t="shared" si="52"/>
        <v/>
      </c>
      <c r="R185" s="310" t="str">
        <f t="shared" si="52"/>
        <v/>
      </c>
      <c r="S185" s="310" t="str">
        <f t="shared" si="52"/>
        <v/>
      </c>
      <c r="T185" s="310" t="str">
        <f t="shared" si="52"/>
        <v/>
      </c>
      <c r="U185" s="311" t="str">
        <f t="shared" si="52"/>
        <v/>
      </c>
      <c r="V185" s="201"/>
      <c r="W185" s="201"/>
      <c r="X185" s="201"/>
      <c r="Y185" s="281"/>
    </row>
    <row r="186" spans="1:25">
      <c r="A186" s="109">
        <v>50</v>
      </c>
      <c r="B186" s="157"/>
      <c r="C186" s="129" t="s">
        <v>216</v>
      </c>
      <c r="D186" s="312" t="str">
        <f t="shared" si="51"/>
        <v/>
      </c>
      <c r="E186" s="313" t="str">
        <f t="shared" si="51"/>
        <v/>
      </c>
      <c r="F186" s="313" t="str">
        <f t="shared" si="51"/>
        <v/>
      </c>
      <c r="G186" s="313" t="str">
        <f t="shared" si="51"/>
        <v/>
      </c>
      <c r="H186" s="314" t="str">
        <f t="shared" si="51"/>
        <v/>
      </c>
      <c r="I186" s="315" t="str">
        <f t="shared" si="51"/>
        <v/>
      </c>
      <c r="J186" s="201"/>
      <c r="K186" s="201"/>
      <c r="L186" s="201"/>
      <c r="M186" s="158"/>
      <c r="N186" s="113"/>
      <c r="O186" s="280" t="s">
        <v>201</v>
      </c>
      <c r="P186" s="309" t="str">
        <f t="shared" si="52"/>
        <v/>
      </c>
      <c r="Q186" s="310" t="str">
        <f t="shared" si="52"/>
        <v/>
      </c>
      <c r="R186" s="310" t="str">
        <f t="shared" si="52"/>
        <v/>
      </c>
      <c r="S186" s="310" t="str">
        <f t="shared" si="52"/>
        <v/>
      </c>
      <c r="T186" s="310" t="str">
        <f t="shared" si="52"/>
        <v/>
      </c>
      <c r="U186" s="311" t="str">
        <f t="shared" si="52"/>
        <v/>
      </c>
      <c r="V186" s="201"/>
      <c r="W186" s="201"/>
      <c r="X186" s="201"/>
      <c r="Y186" s="281"/>
    </row>
    <row r="187" spans="1:25" ht="16.2" thickBot="1">
      <c r="A187" s="109">
        <v>51</v>
      </c>
      <c r="B187" s="157"/>
      <c r="C187" s="113" t="s">
        <v>217</v>
      </c>
      <c r="D187" s="316" t="str">
        <f t="shared" si="51"/>
        <v/>
      </c>
      <c r="E187" s="317" t="str">
        <f t="shared" si="51"/>
        <v/>
      </c>
      <c r="F187" s="317" t="str">
        <f t="shared" si="51"/>
        <v/>
      </c>
      <c r="G187" s="317" t="str">
        <f t="shared" si="51"/>
        <v/>
      </c>
      <c r="H187" s="318" t="str">
        <f t="shared" si="51"/>
        <v/>
      </c>
      <c r="I187" s="319" t="str">
        <f t="shared" si="51"/>
        <v/>
      </c>
      <c r="J187" s="113"/>
      <c r="K187" s="113"/>
      <c r="L187" s="113"/>
      <c r="M187" s="158"/>
      <c r="N187" s="113"/>
      <c r="O187" s="280" t="s">
        <v>202</v>
      </c>
      <c r="P187" s="320" t="str">
        <f t="shared" si="52"/>
        <v/>
      </c>
      <c r="Q187" s="321" t="str">
        <f t="shared" si="52"/>
        <v/>
      </c>
      <c r="R187" s="321" t="str">
        <f t="shared" si="52"/>
        <v/>
      </c>
      <c r="S187" s="321" t="str">
        <f t="shared" si="52"/>
        <v/>
      </c>
      <c r="T187" s="321" t="str">
        <f t="shared" si="52"/>
        <v/>
      </c>
      <c r="U187" s="322" t="str">
        <f t="shared" si="52"/>
        <v/>
      </c>
      <c r="V187" s="201"/>
      <c r="W187" s="201"/>
      <c r="X187" s="201"/>
      <c r="Y187" s="281"/>
    </row>
    <row r="188" spans="1:25" ht="16.5" customHeight="1" thickBot="1">
      <c r="A188" s="109">
        <v>52</v>
      </c>
      <c r="B188" s="157"/>
      <c r="C188" s="129" t="s">
        <v>175</v>
      </c>
      <c r="D188" s="323" t="str">
        <f t="shared" ref="D188:I188" si="53">IF(OR(D186="",D187=""),"",IF(OR(D186&gt;0.02,D187&gt;0.02),"NO","YES"))</f>
        <v/>
      </c>
      <c r="E188" s="324" t="str">
        <f t="shared" si="53"/>
        <v/>
      </c>
      <c r="F188" s="324" t="str">
        <f t="shared" si="53"/>
        <v/>
      </c>
      <c r="G188" s="324" t="str">
        <f t="shared" si="53"/>
        <v/>
      </c>
      <c r="H188" s="325" t="str">
        <f t="shared" si="53"/>
        <v/>
      </c>
      <c r="I188" s="326" t="str">
        <f t="shared" si="53"/>
        <v/>
      </c>
      <c r="J188" s="113"/>
      <c r="K188" s="113"/>
      <c r="L188" s="113"/>
      <c r="M188" s="158"/>
      <c r="N188" s="113"/>
      <c r="O188" s="123" t="s">
        <v>206</v>
      </c>
      <c r="P188" s="312" t="str">
        <f t="shared" ref="P188:U188" si="54">IF(OR(P184="",P185=""),"",ABS(P184)+ABS(P185))</f>
        <v/>
      </c>
      <c r="Q188" s="313" t="str">
        <f t="shared" si="54"/>
        <v/>
      </c>
      <c r="R188" s="313" t="str">
        <f t="shared" si="54"/>
        <v/>
      </c>
      <c r="S188" s="313" t="str">
        <f t="shared" si="54"/>
        <v/>
      </c>
      <c r="T188" s="313" t="str">
        <f t="shared" si="54"/>
        <v/>
      </c>
      <c r="U188" s="315" t="str">
        <f t="shared" si="54"/>
        <v/>
      </c>
      <c r="V188" s="201"/>
      <c r="W188" s="201"/>
      <c r="X188" s="201"/>
      <c r="Y188" s="281"/>
    </row>
    <row r="189" spans="1:25" ht="16.2" thickBot="1">
      <c r="A189" s="109">
        <v>53</v>
      </c>
      <c r="B189" s="327"/>
      <c r="C189" s="173"/>
      <c r="D189" s="656" t="s">
        <v>218</v>
      </c>
      <c r="E189" s="656"/>
      <c r="F189" s="656"/>
      <c r="G189" s="656"/>
      <c r="H189" s="656"/>
      <c r="I189" s="656"/>
      <c r="J189" s="201"/>
      <c r="K189" s="201"/>
      <c r="L189" s="201"/>
      <c r="M189" s="202"/>
      <c r="N189" s="113"/>
      <c r="O189" s="123" t="s">
        <v>207</v>
      </c>
      <c r="P189" s="316" t="str">
        <f t="shared" ref="P189:U189" si="55">IF(OR(P186="",P187=""),"",ABS(P186)+ABS(P187))</f>
        <v/>
      </c>
      <c r="Q189" s="317" t="str">
        <f t="shared" si="55"/>
        <v/>
      </c>
      <c r="R189" s="317" t="str">
        <f t="shared" si="55"/>
        <v/>
      </c>
      <c r="S189" s="317" t="str">
        <f t="shared" si="55"/>
        <v/>
      </c>
      <c r="T189" s="317" t="str">
        <f t="shared" si="55"/>
        <v/>
      </c>
      <c r="U189" s="319" t="str">
        <f t="shared" si="55"/>
        <v/>
      </c>
      <c r="V189" s="201"/>
      <c r="W189" s="201"/>
      <c r="X189" s="201"/>
      <c r="Y189" s="281"/>
    </row>
    <row r="190" spans="1:25">
      <c r="A190" s="109">
        <v>54</v>
      </c>
      <c r="B190" s="327"/>
      <c r="C190" s="129" t="s">
        <v>199</v>
      </c>
      <c r="D190" s="301" t="str">
        <f t="shared" ref="D190:I194" si="56">IF(P207="","",P207)</f>
        <v/>
      </c>
      <c r="E190" s="302" t="str">
        <f t="shared" si="56"/>
        <v/>
      </c>
      <c r="F190" s="302" t="str">
        <f t="shared" si="56"/>
        <v/>
      </c>
      <c r="G190" s="302" t="str">
        <f t="shared" si="56"/>
        <v/>
      </c>
      <c r="H190" s="303" t="str">
        <f t="shared" si="56"/>
        <v/>
      </c>
      <c r="I190" s="304" t="str">
        <f t="shared" si="56"/>
        <v/>
      </c>
      <c r="J190" s="201"/>
      <c r="K190" s="201"/>
      <c r="L190" s="201"/>
      <c r="M190" s="202"/>
      <c r="N190" s="113"/>
      <c r="O190" s="123"/>
      <c r="P190" s="208" t="s">
        <v>158</v>
      </c>
      <c r="Q190" s="120" t="s">
        <v>208</v>
      </c>
      <c r="R190" s="113"/>
      <c r="S190" s="113"/>
      <c r="T190" s="113"/>
      <c r="U190" s="113"/>
      <c r="V190" s="113"/>
      <c r="W190" s="113"/>
      <c r="X190" s="113"/>
      <c r="Y190" s="125"/>
    </row>
    <row r="191" spans="1:25">
      <c r="A191" s="109">
        <v>55</v>
      </c>
      <c r="B191" s="327"/>
      <c r="C191" s="129" t="s">
        <v>200</v>
      </c>
      <c r="D191" s="301" t="str">
        <f t="shared" si="56"/>
        <v/>
      </c>
      <c r="E191" s="302" t="str">
        <f t="shared" si="56"/>
        <v/>
      </c>
      <c r="F191" s="302" t="str">
        <f t="shared" si="56"/>
        <v/>
      </c>
      <c r="G191" s="302" t="str">
        <f t="shared" si="56"/>
        <v/>
      </c>
      <c r="H191" s="303" t="str">
        <f t="shared" si="56"/>
        <v/>
      </c>
      <c r="I191" s="304" t="str">
        <f t="shared" si="56"/>
        <v/>
      </c>
      <c r="J191" s="201"/>
      <c r="K191" s="201"/>
      <c r="L191" s="201"/>
      <c r="M191" s="202"/>
      <c r="N191" s="113"/>
      <c r="O191" s="123"/>
      <c r="P191" s="120"/>
      <c r="Q191" s="120" t="s">
        <v>209</v>
      </c>
      <c r="R191" s="113"/>
      <c r="S191" s="113"/>
      <c r="T191" s="113"/>
      <c r="U191" s="113"/>
      <c r="V191" s="113"/>
      <c r="W191" s="113"/>
      <c r="X191" s="113"/>
      <c r="Y191" s="125"/>
    </row>
    <row r="192" spans="1:25">
      <c r="A192" s="109">
        <v>56</v>
      </c>
      <c r="B192" s="327"/>
      <c r="C192" s="129" t="s">
        <v>201</v>
      </c>
      <c r="D192" s="301" t="str">
        <f t="shared" si="56"/>
        <v/>
      </c>
      <c r="E192" s="302" t="str">
        <f t="shared" si="56"/>
        <v/>
      </c>
      <c r="F192" s="302" t="str">
        <f t="shared" si="56"/>
        <v/>
      </c>
      <c r="G192" s="302" t="str">
        <f t="shared" si="56"/>
        <v/>
      </c>
      <c r="H192" s="303" t="str">
        <f t="shared" si="56"/>
        <v/>
      </c>
      <c r="I192" s="304" t="str">
        <f t="shared" si="56"/>
        <v/>
      </c>
      <c r="J192" s="201"/>
      <c r="K192" s="201"/>
      <c r="L192" s="201"/>
      <c r="M192" s="202"/>
      <c r="N192" s="113"/>
      <c r="O192" s="123"/>
      <c r="P192" s="113"/>
      <c r="Q192" s="120" t="s">
        <v>211</v>
      </c>
      <c r="R192" s="113"/>
      <c r="S192" s="113"/>
      <c r="T192" s="113"/>
      <c r="U192" s="113"/>
      <c r="V192" s="113"/>
      <c r="W192" s="113"/>
      <c r="X192" s="113"/>
      <c r="Y192" s="125"/>
    </row>
    <row r="193" spans="1:25">
      <c r="A193" s="109">
        <v>57</v>
      </c>
      <c r="B193" s="327"/>
      <c r="C193" s="129" t="s">
        <v>202</v>
      </c>
      <c r="D193" s="301" t="str">
        <f t="shared" si="56"/>
        <v/>
      </c>
      <c r="E193" s="302" t="str">
        <f t="shared" si="56"/>
        <v/>
      </c>
      <c r="F193" s="302" t="str">
        <f t="shared" si="56"/>
        <v/>
      </c>
      <c r="G193" s="302" t="str">
        <f t="shared" si="56"/>
        <v/>
      </c>
      <c r="H193" s="303" t="str">
        <f t="shared" si="56"/>
        <v/>
      </c>
      <c r="I193" s="304" t="str">
        <f t="shared" si="56"/>
        <v/>
      </c>
      <c r="J193" s="201"/>
      <c r="K193" s="201"/>
      <c r="L193" s="201"/>
      <c r="M193" s="202"/>
      <c r="N193" s="113"/>
      <c r="O193" s="243" t="s">
        <v>212</v>
      </c>
      <c r="P193" s="113"/>
      <c r="Q193" s="113"/>
      <c r="R193" s="113"/>
      <c r="S193" s="113"/>
      <c r="T193" s="113"/>
      <c r="U193" s="113"/>
      <c r="V193" s="113"/>
      <c r="W193" s="113"/>
      <c r="X193" s="113"/>
      <c r="Y193" s="125"/>
    </row>
    <row r="194" spans="1:25" ht="16.2" thickBot="1">
      <c r="A194" s="109">
        <v>58</v>
      </c>
      <c r="B194" s="327"/>
      <c r="C194" s="129" t="s">
        <v>214</v>
      </c>
      <c r="D194" s="316" t="str">
        <f t="shared" si="56"/>
        <v/>
      </c>
      <c r="E194" s="317" t="str">
        <f t="shared" si="56"/>
        <v/>
      </c>
      <c r="F194" s="317" t="str">
        <f t="shared" si="56"/>
        <v/>
      </c>
      <c r="G194" s="317" t="str">
        <f t="shared" si="56"/>
        <v/>
      </c>
      <c r="H194" s="318" t="str">
        <f t="shared" si="56"/>
        <v/>
      </c>
      <c r="I194" s="319" t="str">
        <f t="shared" si="56"/>
        <v/>
      </c>
      <c r="J194" s="201"/>
      <c r="K194" s="201"/>
      <c r="L194" s="201"/>
      <c r="M194" s="202"/>
      <c r="N194" s="113"/>
      <c r="O194" s="123"/>
      <c r="P194" s="173"/>
      <c r="Q194" s="113"/>
      <c r="R194" s="113"/>
      <c r="S194" s="113"/>
      <c r="T194" s="113"/>
      <c r="U194" s="201"/>
      <c r="V194" s="201"/>
      <c r="W194" s="201"/>
      <c r="X194" s="201"/>
      <c r="Y194" s="281"/>
    </row>
    <row r="195" spans="1:25" ht="15.75" customHeight="1" thickBot="1">
      <c r="A195" s="109">
        <v>59</v>
      </c>
      <c r="B195" s="327"/>
      <c r="C195" s="129" t="s">
        <v>175</v>
      </c>
      <c r="D195" s="328" t="str">
        <f>IF(OR(D190="",D191="",D192="",D193="",D194=""),"",IF(AND(D190&lt;=0.02,D191&lt;=0.02,D192&lt;=0.02,D193&lt;=0.02,D194&lt;=0.01),"YES","NO"))</f>
        <v/>
      </c>
      <c r="E195" s="324" t="str">
        <f t="shared" ref="E195:I195" si="57">IF(OR(E190="",E191="",E192="",E193="",E194=""),"",IF(AND(E190&lt;=0.02,E191&lt;=0.02,E192&lt;=0.02,E193&lt;=0.02,E194&lt;=0.01),"YES","NO"))</f>
        <v/>
      </c>
      <c r="F195" s="324" t="str">
        <f t="shared" si="57"/>
        <v/>
      </c>
      <c r="G195" s="324" t="str">
        <f t="shared" si="57"/>
        <v/>
      </c>
      <c r="H195" s="325" t="str">
        <f t="shared" si="57"/>
        <v/>
      </c>
      <c r="I195" s="326" t="str">
        <f t="shared" si="57"/>
        <v/>
      </c>
      <c r="J195" s="201"/>
      <c r="K195" s="201"/>
      <c r="L195" s="201"/>
      <c r="M195" s="202"/>
      <c r="N195" s="113"/>
      <c r="O195" s="123"/>
      <c r="P195" s="305" t="s">
        <v>191</v>
      </c>
      <c r="Q195" s="286" t="s">
        <v>192</v>
      </c>
      <c r="R195" s="286"/>
      <c r="S195" s="286"/>
      <c r="T195" s="282" t="s">
        <v>675</v>
      </c>
      <c r="U195" s="641" t="s">
        <v>193</v>
      </c>
      <c r="V195" s="201"/>
      <c r="W195" s="201"/>
      <c r="X195" s="201"/>
      <c r="Y195" s="281"/>
    </row>
    <row r="196" spans="1:25" ht="16.2" thickBot="1">
      <c r="A196" s="109">
        <v>60</v>
      </c>
      <c r="B196" s="327"/>
      <c r="C196" s="208" t="s">
        <v>158</v>
      </c>
      <c r="D196" s="120" t="s">
        <v>219</v>
      </c>
      <c r="E196" s="201"/>
      <c r="F196" s="201"/>
      <c r="G196" s="201"/>
      <c r="H196" s="201"/>
      <c r="I196" s="201"/>
      <c r="J196" s="201"/>
      <c r="K196" s="201"/>
      <c r="L196" s="201"/>
      <c r="M196" s="202"/>
      <c r="N196" s="113"/>
      <c r="O196" s="123"/>
      <c r="P196" s="305" t="s">
        <v>191</v>
      </c>
      <c r="Q196" s="286" t="s">
        <v>194</v>
      </c>
      <c r="R196" s="286" t="s">
        <v>195</v>
      </c>
      <c r="S196" s="286" t="s">
        <v>196</v>
      </c>
      <c r="T196" s="286" t="s">
        <v>197</v>
      </c>
      <c r="U196" s="641" t="s">
        <v>191</v>
      </c>
      <c r="V196" s="201"/>
      <c r="W196" s="201"/>
      <c r="X196" s="201"/>
      <c r="Y196" s="281"/>
    </row>
    <row r="197" spans="1:25">
      <c r="A197" s="109">
        <v>61</v>
      </c>
      <c r="B197" s="327"/>
      <c r="C197" s="113"/>
      <c r="D197" s="120" t="s">
        <v>221</v>
      </c>
      <c r="E197" s="201"/>
      <c r="F197" s="201"/>
      <c r="G197" s="201"/>
      <c r="H197" s="201"/>
      <c r="I197" s="201"/>
      <c r="J197" s="201"/>
      <c r="K197" s="201"/>
      <c r="L197" s="201"/>
      <c r="M197" s="202"/>
      <c r="N197" s="113"/>
      <c r="O197" s="280" t="s">
        <v>199</v>
      </c>
      <c r="P197" s="329"/>
      <c r="Q197" s="330"/>
      <c r="R197" s="330"/>
      <c r="S197" s="330"/>
      <c r="T197" s="330"/>
      <c r="U197" s="290"/>
      <c r="V197" s="201"/>
      <c r="W197" s="201"/>
      <c r="X197" s="201"/>
      <c r="Y197" s="281"/>
    </row>
    <row r="198" spans="1:25">
      <c r="A198" s="109">
        <v>62</v>
      </c>
      <c r="B198" s="327"/>
      <c r="C198" s="113"/>
      <c r="D198" s="120" t="s">
        <v>222</v>
      </c>
      <c r="E198" s="201"/>
      <c r="F198" s="201"/>
      <c r="G198" s="201"/>
      <c r="H198" s="201"/>
      <c r="I198" s="201"/>
      <c r="J198" s="201"/>
      <c r="K198" s="201"/>
      <c r="L198" s="201"/>
      <c r="M198" s="202"/>
      <c r="N198" s="113"/>
      <c r="O198" s="280" t="s">
        <v>200</v>
      </c>
      <c r="P198" s="331"/>
      <c r="Q198" s="332"/>
      <c r="R198" s="332"/>
      <c r="S198" s="332"/>
      <c r="T198" s="333"/>
      <c r="U198" s="294"/>
      <c r="V198" s="201"/>
      <c r="W198" s="201"/>
      <c r="X198" s="201"/>
      <c r="Y198" s="281"/>
    </row>
    <row r="199" spans="1:25">
      <c r="A199" s="109">
        <v>63</v>
      </c>
      <c r="B199" s="327"/>
      <c r="C199" s="113"/>
      <c r="D199" s="120" t="s">
        <v>223</v>
      </c>
      <c r="E199" s="201"/>
      <c r="F199" s="201"/>
      <c r="G199" s="201"/>
      <c r="H199" s="201"/>
      <c r="I199" s="201"/>
      <c r="J199" s="201"/>
      <c r="K199" s="201"/>
      <c r="L199" s="201"/>
      <c r="M199" s="202"/>
      <c r="N199" s="113"/>
      <c r="O199" s="280" t="s">
        <v>201</v>
      </c>
      <c r="P199" s="331"/>
      <c r="Q199" s="332"/>
      <c r="R199" s="332"/>
      <c r="S199" s="332"/>
      <c r="T199" s="332"/>
      <c r="U199" s="294"/>
      <c r="V199" s="201"/>
      <c r="W199" s="201"/>
      <c r="X199" s="201"/>
      <c r="Y199" s="281"/>
    </row>
    <row r="200" spans="1:25">
      <c r="A200" s="109">
        <v>64</v>
      </c>
      <c r="B200" s="327"/>
      <c r="C200" s="113"/>
      <c r="D200" s="120" t="s">
        <v>224</v>
      </c>
      <c r="E200" s="201"/>
      <c r="F200" s="201"/>
      <c r="G200" s="201"/>
      <c r="H200" s="201"/>
      <c r="I200" s="201"/>
      <c r="J200" s="201"/>
      <c r="K200" s="201"/>
      <c r="L200" s="201"/>
      <c r="M200" s="202"/>
      <c r="N200" s="113"/>
      <c r="O200" s="280" t="s">
        <v>202</v>
      </c>
      <c r="P200" s="331"/>
      <c r="Q200" s="332"/>
      <c r="R200" s="332"/>
      <c r="S200" s="332"/>
      <c r="T200" s="332"/>
      <c r="U200" s="294"/>
      <c r="V200" s="201"/>
      <c r="W200" s="201"/>
      <c r="X200" s="201"/>
      <c r="Y200" s="281"/>
    </row>
    <row r="201" spans="1:25" ht="16.2" thickBot="1">
      <c r="A201" s="109">
        <v>65</v>
      </c>
      <c r="B201" s="327"/>
      <c r="C201" s="113"/>
      <c r="D201" s="120" t="s">
        <v>225</v>
      </c>
      <c r="E201" s="201"/>
      <c r="F201" s="201"/>
      <c r="G201" s="201"/>
      <c r="H201" s="201"/>
      <c r="I201" s="201"/>
      <c r="J201" s="201"/>
      <c r="K201" s="201"/>
      <c r="L201" s="201"/>
      <c r="M201" s="202"/>
      <c r="N201" s="113"/>
      <c r="O201" s="280" t="s">
        <v>214</v>
      </c>
      <c r="P201" s="334"/>
      <c r="Q201" s="335"/>
      <c r="R201" s="335"/>
      <c r="S201" s="335"/>
      <c r="T201" s="335"/>
      <c r="U201" s="299"/>
      <c r="V201" s="201"/>
      <c r="W201" s="201"/>
      <c r="X201" s="201"/>
      <c r="Y201" s="281"/>
    </row>
    <row r="202" spans="1:25" ht="16.2" thickBot="1">
      <c r="A202" s="109">
        <v>66</v>
      </c>
      <c r="B202" s="336"/>
      <c r="C202" s="337"/>
      <c r="D202" s="337"/>
      <c r="E202" s="337"/>
      <c r="F202" s="337"/>
      <c r="G202" s="337"/>
      <c r="H202" s="337"/>
      <c r="I202" s="337"/>
      <c r="J202" s="337"/>
      <c r="K202" s="337"/>
      <c r="L202" s="337"/>
      <c r="M202" s="338"/>
      <c r="N202" s="113"/>
      <c r="O202" s="123"/>
      <c r="P202" s="113"/>
      <c r="Q202" s="120" t="s">
        <v>215</v>
      </c>
      <c r="R202" s="113"/>
      <c r="S202" s="113"/>
      <c r="T202" s="113"/>
      <c r="U202" s="113"/>
      <c r="V202" s="113"/>
      <c r="W202" s="113"/>
      <c r="X202" s="113"/>
      <c r="Y202" s="125"/>
    </row>
    <row r="203" spans="1:25" ht="16.2" thickTop="1">
      <c r="A203" s="109">
        <v>67</v>
      </c>
      <c r="B203" s="113"/>
      <c r="C203" s="203" t="s">
        <v>3</v>
      </c>
      <c r="D203" s="479" t="str">
        <f>IF($P$7="","",$P$7)</f>
        <v/>
      </c>
      <c r="E203" s="120"/>
      <c r="F203" s="120"/>
      <c r="G203" s="120"/>
      <c r="H203" s="120"/>
      <c r="I203" s="120"/>
      <c r="J203" s="120"/>
      <c r="K203" s="120"/>
      <c r="L203" s="203" t="s">
        <v>4</v>
      </c>
      <c r="M203" s="205" t="str">
        <f>IF($X$7="","",$X$7)</f>
        <v>Eugene Mah</v>
      </c>
      <c r="N203" s="113"/>
      <c r="O203" s="300"/>
      <c r="P203" s="201"/>
      <c r="Q203" s="201"/>
      <c r="R203" s="201"/>
      <c r="S203" s="201"/>
      <c r="T203" s="201"/>
      <c r="U203" s="201"/>
      <c r="V203" s="201"/>
      <c r="W203" s="201"/>
      <c r="X203" s="201"/>
      <c r="Y203" s="281"/>
    </row>
    <row r="204" spans="1:25">
      <c r="A204" s="109">
        <v>68</v>
      </c>
      <c r="B204" s="113"/>
      <c r="C204" s="203" t="s">
        <v>86</v>
      </c>
      <c r="D204" s="206" t="str">
        <f>IF($R$14="","",$R$14)</f>
        <v/>
      </c>
      <c r="E204" s="120"/>
      <c r="F204" s="120"/>
      <c r="G204" s="120"/>
      <c r="H204" s="120"/>
      <c r="I204" s="120"/>
      <c r="J204" s="120"/>
      <c r="K204" s="120"/>
      <c r="L204" s="203" t="s">
        <v>16</v>
      </c>
      <c r="M204" s="205" t="str">
        <f>IF($R$13="","",$R$13)</f>
        <v/>
      </c>
      <c r="N204" s="113"/>
      <c r="O204" s="300"/>
      <c r="P204" s="638" t="s">
        <v>204</v>
      </c>
      <c r="Q204" s="638"/>
      <c r="R204" s="638"/>
      <c r="S204" s="638"/>
      <c r="T204" s="638"/>
      <c r="U204" s="638"/>
      <c r="V204" s="201"/>
      <c r="W204" s="201"/>
      <c r="X204" s="201"/>
      <c r="Y204" s="281"/>
    </row>
    <row r="205" spans="1:25" ht="15.75" customHeight="1">
      <c r="A205" s="109">
        <v>1</v>
      </c>
      <c r="B205" s="113"/>
      <c r="C205" s="113"/>
      <c r="D205" s="113"/>
      <c r="E205" s="113"/>
      <c r="F205" s="113"/>
      <c r="G205" s="113"/>
      <c r="H205" s="113"/>
      <c r="I205" s="113"/>
      <c r="J205" s="113"/>
      <c r="K205" s="113"/>
      <c r="L205" s="113"/>
      <c r="M205" s="207" t="str">
        <f>$H$2</f>
        <v>Medical University of South Carolina</v>
      </c>
      <c r="N205" s="113"/>
      <c r="O205" s="300"/>
      <c r="P205" s="305" t="s">
        <v>191</v>
      </c>
      <c r="Q205" s="640" t="s">
        <v>192</v>
      </c>
      <c r="R205" s="638"/>
      <c r="S205" s="639"/>
      <c r="T205" s="282" t="s">
        <v>675</v>
      </c>
      <c r="U205" s="641" t="s">
        <v>193</v>
      </c>
      <c r="V205" s="201"/>
      <c r="W205" s="201"/>
      <c r="X205" s="201"/>
      <c r="Y205" s="281"/>
    </row>
    <row r="206" spans="1:25" ht="18" thickBot="1">
      <c r="A206" s="109">
        <v>2</v>
      </c>
      <c r="B206" s="113"/>
      <c r="C206" s="113"/>
      <c r="D206" s="113"/>
      <c r="E206" s="113"/>
      <c r="F206" s="113"/>
      <c r="G206" s="113"/>
      <c r="H206" s="144" t="s">
        <v>50</v>
      </c>
      <c r="I206" s="113"/>
      <c r="J206" s="113"/>
      <c r="K206" s="113"/>
      <c r="L206" s="113"/>
      <c r="M206" s="208" t="str">
        <f>$H$5</f>
        <v>Mammography System Compliance Inspection</v>
      </c>
      <c r="N206" s="113"/>
      <c r="O206" s="300"/>
      <c r="P206" s="305" t="s">
        <v>191</v>
      </c>
      <c r="Q206" s="286" t="s">
        <v>194</v>
      </c>
      <c r="R206" s="286" t="s">
        <v>195</v>
      </c>
      <c r="S206" s="286" t="s">
        <v>196</v>
      </c>
      <c r="T206" s="286" t="s">
        <v>197</v>
      </c>
      <c r="U206" s="641" t="s">
        <v>191</v>
      </c>
      <c r="V206" s="201"/>
      <c r="W206" s="201"/>
      <c r="X206" s="201"/>
      <c r="Y206" s="281"/>
    </row>
    <row r="207" spans="1:25" ht="16.2" thickTop="1">
      <c r="A207" s="109">
        <v>3</v>
      </c>
      <c r="B207" s="148"/>
      <c r="C207" s="150" t="str">
        <f>O232</f>
        <v>AEC Thickness Tracking – 2D</v>
      </c>
      <c r="D207" s="149"/>
      <c r="E207" s="149"/>
      <c r="F207" s="149"/>
      <c r="G207" s="149"/>
      <c r="H207" s="149"/>
      <c r="I207" s="416" t="s">
        <v>683</v>
      </c>
      <c r="J207" s="511">
        <f t="shared" ref="J207:J208" si="58">IF(V232="","",V232)</f>
        <v>4</v>
      </c>
      <c r="K207" s="149"/>
      <c r="L207" s="149"/>
      <c r="M207" s="151"/>
      <c r="N207" s="113"/>
      <c r="O207" s="280" t="s">
        <v>199</v>
      </c>
      <c r="P207" s="306" t="str">
        <f t="shared" ref="P207:U211" si="59">IF(OR(P197="",$P$172=""),"",P197/$P$172)</f>
        <v/>
      </c>
      <c r="Q207" s="307" t="str">
        <f t="shared" si="59"/>
        <v/>
      </c>
      <c r="R207" s="307" t="str">
        <f t="shared" si="59"/>
        <v/>
      </c>
      <c r="S207" s="307" t="str">
        <f t="shared" si="59"/>
        <v/>
      </c>
      <c r="T207" s="307" t="str">
        <f t="shared" si="59"/>
        <v/>
      </c>
      <c r="U207" s="308" t="str">
        <f t="shared" si="59"/>
        <v/>
      </c>
      <c r="V207" s="201"/>
      <c r="W207" s="201"/>
      <c r="X207" s="201"/>
      <c r="Y207" s="281"/>
    </row>
    <row r="208" spans="1:25">
      <c r="A208" s="109">
        <v>4</v>
      </c>
      <c r="B208" s="157"/>
      <c r="C208" s="129" t="s">
        <v>228</v>
      </c>
      <c r="D208" s="268" t="str">
        <f>IF(P233="","",P233)</f>
        <v>Auto-filter</v>
      </c>
      <c r="E208" s="113"/>
      <c r="F208" s="129" t="s">
        <v>229</v>
      </c>
      <c r="G208" s="245">
        <f>IF(S233="","",S233)</f>
        <v>2</v>
      </c>
      <c r="H208" s="113"/>
      <c r="I208" s="129" t="s">
        <v>684</v>
      </c>
      <c r="J208" s="245">
        <f t="shared" si="58"/>
        <v>4</v>
      </c>
      <c r="K208" s="113"/>
      <c r="L208" s="113"/>
      <c r="M208" s="158"/>
      <c r="N208" s="113"/>
      <c r="O208" s="280" t="s">
        <v>200</v>
      </c>
      <c r="P208" s="309" t="str">
        <f t="shared" si="59"/>
        <v/>
      </c>
      <c r="Q208" s="310" t="str">
        <f t="shared" si="59"/>
        <v/>
      </c>
      <c r="R208" s="310" t="str">
        <f t="shared" si="59"/>
        <v/>
      </c>
      <c r="S208" s="310" t="str">
        <f t="shared" si="59"/>
        <v/>
      </c>
      <c r="T208" s="310" t="str">
        <f t="shared" si="59"/>
        <v/>
      </c>
      <c r="U208" s="311" t="str">
        <f t="shared" si="59"/>
        <v/>
      </c>
      <c r="V208" s="201"/>
      <c r="W208" s="201"/>
      <c r="X208" s="201"/>
      <c r="Y208" s="281"/>
    </row>
    <row r="209" spans="1:25">
      <c r="A209" s="109">
        <v>5</v>
      </c>
      <c r="B209" s="157"/>
      <c r="C209" s="113"/>
      <c r="D209" s="427" t="s">
        <v>46</v>
      </c>
      <c r="E209" s="113"/>
      <c r="F209" s="113"/>
      <c r="G209" s="113"/>
      <c r="H209" s="113"/>
      <c r="I209" s="128" t="s">
        <v>230</v>
      </c>
      <c r="J209" s="113"/>
      <c r="K209" s="173"/>
      <c r="L209" s="113"/>
      <c r="M209" s="158"/>
      <c r="N209" s="113"/>
      <c r="O209" s="280" t="s">
        <v>201</v>
      </c>
      <c r="P209" s="309" t="str">
        <f t="shared" si="59"/>
        <v/>
      </c>
      <c r="Q209" s="310" t="str">
        <f t="shared" si="59"/>
        <v/>
      </c>
      <c r="R209" s="310" t="str">
        <f t="shared" si="59"/>
        <v/>
      </c>
      <c r="S209" s="310" t="str">
        <f t="shared" si="59"/>
        <v/>
      </c>
      <c r="T209" s="310" t="str">
        <f t="shared" si="59"/>
        <v/>
      </c>
      <c r="U209" s="311" t="str">
        <f t="shared" si="59"/>
        <v/>
      </c>
      <c r="V209" s="201"/>
      <c r="W209" s="201"/>
      <c r="X209" s="201"/>
      <c r="Y209" s="281"/>
    </row>
    <row r="210" spans="1:25" ht="16.2" thickBot="1">
      <c r="A210" s="109">
        <v>6</v>
      </c>
      <c r="B210" s="157"/>
      <c r="C210" s="113"/>
      <c r="D210" s="128" t="s">
        <v>232</v>
      </c>
      <c r="E210" s="128" t="s">
        <v>233</v>
      </c>
      <c r="F210" s="128" t="s">
        <v>234</v>
      </c>
      <c r="G210" s="128" t="s">
        <v>49</v>
      </c>
      <c r="H210" s="128" t="s">
        <v>235</v>
      </c>
      <c r="I210" s="128" t="s">
        <v>236</v>
      </c>
      <c r="J210" s="128" t="s">
        <v>237</v>
      </c>
      <c r="K210" s="173"/>
      <c r="L210" s="113"/>
      <c r="M210" s="158"/>
      <c r="N210" s="113"/>
      <c r="O210" s="280" t="s">
        <v>202</v>
      </c>
      <c r="P210" s="309" t="str">
        <f t="shared" si="59"/>
        <v/>
      </c>
      <c r="Q210" s="310" t="str">
        <f t="shared" si="59"/>
        <v/>
      </c>
      <c r="R210" s="310" t="str">
        <f t="shared" si="59"/>
        <v/>
      </c>
      <c r="S210" s="310" t="str">
        <f t="shared" si="59"/>
        <v/>
      </c>
      <c r="T210" s="310" t="str">
        <f t="shared" si="59"/>
        <v/>
      </c>
      <c r="U210" s="311" t="str">
        <f t="shared" si="59"/>
        <v/>
      </c>
      <c r="V210" s="201"/>
      <c r="W210" s="201"/>
      <c r="X210" s="201"/>
      <c r="Y210" s="281"/>
    </row>
    <row r="211" spans="1:25" ht="16.2" thickBot="1">
      <c r="A211" s="109">
        <v>7</v>
      </c>
      <c r="B211" s="157"/>
      <c r="C211" s="113"/>
      <c r="D211" s="159">
        <f t="shared" ref="D211:G218" si="60">IF(P236="","",P236)</f>
        <v>2</v>
      </c>
      <c r="E211" s="160" t="str">
        <f t="shared" si="60"/>
        <v/>
      </c>
      <c r="F211" s="160" t="str">
        <f t="shared" si="60"/>
        <v/>
      </c>
      <c r="G211" s="160" t="str">
        <f t="shared" si="60"/>
        <v/>
      </c>
      <c r="H211" s="499" t="str">
        <f>IF(U236="","",U236)</f>
        <v/>
      </c>
      <c r="I211" s="160" t="str">
        <f t="shared" ref="I211:J218" si="61">IF(V236="","",V236)</f>
        <v/>
      </c>
      <c r="J211" s="315" t="str">
        <f t="shared" si="61"/>
        <v/>
      </c>
      <c r="K211" s="173"/>
      <c r="L211" s="113"/>
      <c r="M211" s="158"/>
      <c r="N211" s="113"/>
      <c r="O211" s="280" t="s">
        <v>214</v>
      </c>
      <c r="P211" s="320" t="str">
        <f t="shared" si="59"/>
        <v/>
      </c>
      <c r="Q211" s="321" t="str">
        <f t="shared" si="59"/>
        <v/>
      </c>
      <c r="R211" s="321" t="str">
        <f t="shared" si="59"/>
        <v/>
      </c>
      <c r="S211" s="321" t="str">
        <f t="shared" si="59"/>
        <v/>
      </c>
      <c r="T211" s="321" t="str">
        <f t="shared" si="59"/>
        <v/>
      </c>
      <c r="U211" s="322" t="str">
        <f t="shared" si="59"/>
        <v/>
      </c>
      <c r="V211" s="201"/>
      <c r="W211" s="201"/>
      <c r="X211" s="201"/>
      <c r="Y211" s="281"/>
    </row>
    <row r="212" spans="1:25">
      <c r="A212" s="109">
        <v>8</v>
      </c>
      <c r="B212" s="157"/>
      <c r="C212" s="113"/>
      <c r="D212" s="168">
        <f t="shared" si="60"/>
        <v>4</v>
      </c>
      <c r="E212" s="169" t="str">
        <f t="shared" si="60"/>
        <v/>
      </c>
      <c r="F212" s="169" t="str">
        <f t="shared" si="60"/>
        <v/>
      </c>
      <c r="G212" s="169" t="str">
        <f t="shared" si="60"/>
        <v/>
      </c>
      <c r="H212" s="354" t="str">
        <f t="shared" ref="H212:H219" si="62">IF(U237="","",U237)</f>
        <v/>
      </c>
      <c r="I212" s="169" t="str">
        <f t="shared" si="61"/>
        <v/>
      </c>
      <c r="J212" s="304" t="str">
        <f t="shared" si="61"/>
        <v/>
      </c>
      <c r="K212" s="173"/>
      <c r="L212" s="113"/>
      <c r="M212" s="158"/>
      <c r="N212" s="113"/>
      <c r="O212" s="177"/>
      <c r="P212" s="217" t="s">
        <v>113</v>
      </c>
      <c r="Q212" s="201"/>
      <c r="R212" s="201"/>
      <c r="S212" s="201"/>
      <c r="T212" s="201"/>
      <c r="U212" s="201"/>
      <c r="V212" s="201"/>
      <c r="W212" s="201"/>
      <c r="X212" s="201"/>
      <c r="Y212" s="125"/>
    </row>
    <row r="213" spans="1:25">
      <c r="A213" s="109">
        <v>9</v>
      </c>
      <c r="B213" s="157"/>
      <c r="C213" s="113"/>
      <c r="D213" s="168">
        <f t="shared" si="60"/>
        <v>4</v>
      </c>
      <c r="E213" s="169">
        <f t="shared" si="60"/>
        <v>0</v>
      </c>
      <c r="F213" s="169">
        <f t="shared" si="60"/>
        <v>0</v>
      </c>
      <c r="G213" s="169" t="str">
        <f t="shared" si="60"/>
        <v/>
      </c>
      <c r="H213" s="354" t="str">
        <f t="shared" si="62"/>
        <v/>
      </c>
      <c r="I213" s="169" t="str">
        <f t="shared" si="61"/>
        <v/>
      </c>
      <c r="J213" s="304" t="str">
        <f t="shared" si="61"/>
        <v/>
      </c>
      <c r="K213" s="173"/>
      <c r="L213" s="113"/>
      <c r="M213" s="158"/>
      <c r="N213" s="113"/>
      <c r="O213" s="177"/>
      <c r="P213" s="217" t="s">
        <v>220</v>
      </c>
      <c r="Q213" s="201"/>
      <c r="R213" s="201"/>
      <c r="S213" s="201"/>
      <c r="T213" s="201"/>
      <c r="U213" s="201"/>
      <c r="V213" s="201"/>
      <c r="W213" s="201"/>
      <c r="X213" s="201"/>
      <c r="Y213" s="125"/>
    </row>
    <row r="214" spans="1:25">
      <c r="A214" s="109">
        <v>10</v>
      </c>
      <c r="B214" s="157"/>
      <c r="C214" s="113"/>
      <c r="D214" s="168">
        <f t="shared" si="60"/>
        <v>4</v>
      </c>
      <c r="E214" s="169">
        <f t="shared" si="60"/>
        <v>0</v>
      </c>
      <c r="F214" s="169">
        <f t="shared" si="60"/>
        <v>0</v>
      </c>
      <c r="G214" s="169" t="str">
        <f t="shared" si="60"/>
        <v/>
      </c>
      <c r="H214" s="354" t="str">
        <f t="shared" si="62"/>
        <v/>
      </c>
      <c r="I214" s="169" t="str">
        <f t="shared" si="61"/>
        <v/>
      </c>
      <c r="J214" s="304" t="str">
        <f t="shared" si="61"/>
        <v/>
      </c>
      <c r="K214" s="173"/>
      <c r="L214" s="113"/>
      <c r="M214" s="158"/>
      <c r="N214" s="113"/>
      <c r="O214" s="300"/>
      <c r="P214" s="201"/>
      <c r="Q214" s="201"/>
      <c r="R214" s="201"/>
      <c r="S214" s="201"/>
      <c r="T214" s="201"/>
      <c r="U214" s="201"/>
      <c r="V214" s="201"/>
      <c r="W214" s="201"/>
      <c r="X214" s="201"/>
      <c r="Y214" s="125"/>
    </row>
    <row r="215" spans="1:25">
      <c r="A215" s="109">
        <v>11</v>
      </c>
      <c r="B215" s="157"/>
      <c r="C215" s="113"/>
      <c r="D215" s="168">
        <f t="shared" si="60"/>
        <v>4</v>
      </c>
      <c r="E215" s="169">
        <f t="shared" si="60"/>
        <v>0</v>
      </c>
      <c r="F215" s="169">
        <f t="shared" si="60"/>
        <v>0</v>
      </c>
      <c r="G215" s="169" t="str">
        <f t="shared" si="60"/>
        <v/>
      </c>
      <c r="H215" s="354" t="str">
        <f t="shared" si="62"/>
        <v/>
      </c>
      <c r="I215" s="169" t="str">
        <f t="shared" si="61"/>
        <v/>
      </c>
      <c r="J215" s="304" t="str">
        <f t="shared" si="61"/>
        <v/>
      </c>
      <c r="K215" s="173"/>
      <c r="L215" s="113"/>
      <c r="M215" s="158"/>
      <c r="N215" s="113"/>
      <c r="O215" s="123"/>
      <c r="P215" s="208" t="s">
        <v>158</v>
      </c>
      <c r="Q215" s="120" t="s">
        <v>221</v>
      </c>
      <c r="R215" s="113"/>
      <c r="S215" s="113"/>
      <c r="T215" s="113"/>
      <c r="U215" s="113"/>
      <c r="V215" s="113"/>
      <c r="W215" s="113"/>
      <c r="X215" s="113"/>
      <c r="Y215" s="125"/>
    </row>
    <row r="216" spans="1:25">
      <c r="A216" s="109">
        <v>12</v>
      </c>
      <c r="B216" s="157"/>
      <c r="C216" s="113"/>
      <c r="D216" s="168">
        <f t="shared" si="60"/>
        <v>6</v>
      </c>
      <c r="E216" s="169" t="str">
        <f t="shared" si="60"/>
        <v/>
      </c>
      <c r="F216" s="169" t="str">
        <f t="shared" si="60"/>
        <v/>
      </c>
      <c r="G216" s="169" t="str">
        <f t="shared" si="60"/>
        <v/>
      </c>
      <c r="H216" s="354" t="str">
        <f t="shared" si="62"/>
        <v/>
      </c>
      <c r="I216" s="169" t="str">
        <f t="shared" si="61"/>
        <v/>
      </c>
      <c r="J216" s="304" t="str">
        <f t="shared" si="61"/>
        <v/>
      </c>
      <c r="K216" s="173"/>
      <c r="L216" s="113"/>
      <c r="M216" s="158"/>
      <c r="N216" s="113"/>
      <c r="O216" s="123"/>
      <c r="P216" s="113"/>
      <c r="Q216" s="120" t="s">
        <v>222</v>
      </c>
      <c r="R216" s="113"/>
      <c r="S216" s="113"/>
      <c r="T216" s="113"/>
      <c r="U216" s="113"/>
      <c r="V216" s="113"/>
      <c r="W216" s="113"/>
      <c r="X216" s="113"/>
      <c r="Y216" s="125"/>
    </row>
    <row r="217" spans="1:25">
      <c r="A217" s="109">
        <v>13</v>
      </c>
      <c r="B217" s="157"/>
      <c r="C217" s="113"/>
      <c r="D217" s="168">
        <f t="shared" si="60"/>
        <v>8</v>
      </c>
      <c r="E217" s="169" t="str">
        <f t="shared" si="60"/>
        <v/>
      </c>
      <c r="F217" s="169" t="str">
        <f t="shared" si="60"/>
        <v/>
      </c>
      <c r="G217" s="169" t="str">
        <f t="shared" si="60"/>
        <v/>
      </c>
      <c r="H217" s="354" t="str">
        <f t="shared" si="62"/>
        <v/>
      </c>
      <c r="I217" s="169" t="str">
        <f t="shared" si="61"/>
        <v/>
      </c>
      <c r="J217" s="304" t="str">
        <f t="shared" si="61"/>
        <v/>
      </c>
      <c r="K217" s="173"/>
      <c r="L217" s="113"/>
      <c r="M217" s="158"/>
      <c r="N217" s="113"/>
      <c r="O217" s="123"/>
      <c r="P217" s="113"/>
      <c r="Q217" s="120" t="s">
        <v>677</v>
      </c>
      <c r="R217" s="113"/>
      <c r="S217" s="113"/>
      <c r="T217" s="113"/>
      <c r="U217" s="113"/>
      <c r="V217" s="113"/>
      <c r="W217" s="113"/>
      <c r="X217" s="113"/>
      <c r="Y217" s="125"/>
    </row>
    <row r="218" spans="1:25" ht="16.2" thickBot="1">
      <c r="A218" s="109">
        <v>14</v>
      </c>
      <c r="B218" s="157"/>
      <c r="C218" s="113"/>
      <c r="D218" s="213">
        <f t="shared" si="60"/>
        <v>4</v>
      </c>
      <c r="E218" s="214" t="str">
        <f t="shared" si="60"/>
        <v/>
      </c>
      <c r="F218" s="214" t="str">
        <f t="shared" si="60"/>
        <v/>
      </c>
      <c r="G218" s="214" t="str">
        <f t="shared" si="60"/>
        <v/>
      </c>
      <c r="H218" s="500" t="str">
        <f t="shared" si="62"/>
        <v/>
      </c>
      <c r="I218" s="214" t="str">
        <f t="shared" si="61"/>
        <v/>
      </c>
      <c r="J218" s="319" t="str">
        <f t="shared" si="61"/>
        <v/>
      </c>
      <c r="K218" s="173"/>
      <c r="L218" s="113"/>
      <c r="M218" s="158"/>
      <c r="N218" s="113"/>
      <c r="O218" s="123"/>
      <c r="P218" s="113"/>
      <c r="Q218" s="120" t="s">
        <v>225</v>
      </c>
      <c r="R218" s="113"/>
      <c r="S218" s="113"/>
      <c r="T218" s="113"/>
      <c r="U218" s="113"/>
      <c r="V218" s="113"/>
      <c r="W218" s="113"/>
      <c r="X218" s="113"/>
      <c r="Y218" s="125"/>
    </row>
    <row r="219" spans="1:25" ht="16.2" thickBot="1">
      <c r="A219" s="109">
        <v>15</v>
      </c>
      <c r="B219" s="157"/>
      <c r="C219" s="113"/>
      <c r="D219" s="113"/>
      <c r="E219" s="113"/>
      <c r="F219" s="113"/>
      <c r="G219" s="129" t="s">
        <v>243</v>
      </c>
      <c r="H219" s="339" t="str">
        <f t="shared" si="62"/>
        <v/>
      </c>
      <c r="I219" s="113"/>
      <c r="J219" s="339" t="str">
        <f>IF(W244="","",W244)</f>
        <v/>
      </c>
      <c r="K219" s="173"/>
      <c r="L219" s="113"/>
      <c r="M219" s="158"/>
      <c r="N219" s="113"/>
      <c r="O219" s="123"/>
      <c r="P219" s="113"/>
      <c r="Q219" s="120"/>
      <c r="R219" s="113"/>
      <c r="S219" s="113"/>
      <c r="T219" s="113"/>
      <c r="U219" s="113"/>
      <c r="V219" s="113"/>
      <c r="W219" s="113"/>
      <c r="X219" s="113"/>
      <c r="Y219" s="125"/>
    </row>
    <row r="220" spans="1:25" ht="16.2" thickBot="1">
      <c r="A220" s="109">
        <v>16</v>
      </c>
      <c r="B220" s="157"/>
      <c r="C220" s="113"/>
      <c r="D220" s="208" t="s">
        <v>158</v>
      </c>
      <c r="E220" s="120" t="s">
        <v>244</v>
      </c>
      <c r="F220" s="113"/>
      <c r="G220" s="113"/>
      <c r="H220" s="113"/>
      <c r="I220" s="113"/>
      <c r="J220" s="113"/>
      <c r="K220" s="113"/>
      <c r="L220" s="113"/>
      <c r="M220" s="158"/>
      <c r="N220" s="113"/>
      <c r="O220" s="134"/>
      <c r="P220" s="135"/>
      <c r="Q220" s="340"/>
      <c r="R220" s="135"/>
      <c r="S220" s="135"/>
      <c r="T220" s="135"/>
      <c r="U220" s="135"/>
      <c r="V220" s="135"/>
      <c r="W220" s="135"/>
      <c r="X220" s="135"/>
      <c r="Y220" s="136"/>
    </row>
    <row r="221" spans="1:25">
      <c r="A221" s="109">
        <v>17</v>
      </c>
      <c r="B221" s="157"/>
      <c r="C221" s="113"/>
      <c r="D221" s="113"/>
      <c r="E221" s="113"/>
      <c r="F221" s="113"/>
      <c r="G221" s="113"/>
      <c r="H221" s="113"/>
      <c r="I221" s="113"/>
      <c r="J221" s="113"/>
      <c r="K221" s="113"/>
      <c r="L221" s="113"/>
      <c r="M221" s="158"/>
      <c r="N221" s="113"/>
      <c r="O221" s="243" t="s">
        <v>226</v>
      </c>
      <c r="P221" s="113"/>
      <c r="Q221" s="128" t="s">
        <v>612</v>
      </c>
      <c r="R221" s="128" t="s">
        <v>613</v>
      </c>
      <c r="S221" s="128" t="s">
        <v>612</v>
      </c>
      <c r="T221" s="128" t="s">
        <v>613</v>
      </c>
      <c r="U221" s="113"/>
      <c r="V221" s="113"/>
      <c r="W221" s="113"/>
      <c r="X221" s="113"/>
      <c r="Y221" s="125"/>
    </row>
    <row r="222" spans="1:25">
      <c r="A222" s="109">
        <v>18</v>
      </c>
      <c r="B222" s="327"/>
      <c r="C222" s="165" t="str">
        <f>O247</f>
        <v>AEC Thickness Tracking – 3D</v>
      </c>
      <c r="D222" s="201"/>
      <c r="E222" s="201"/>
      <c r="F222" s="201"/>
      <c r="G222" s="201"/>
      <c r="H222" s="201"/>
      <c r="I222" s="201"/>
      <c r="J222" s="201"/>
      <c r="K222" s="201"/>
      <c r="L222" s="201"/>
      <c r="M222" s="202"/>
      <c r="N222" s="113"/>
      <c r="O222" s="123"/>
      <c r="P222" s="129" t="s">
        <v>227</v>
      </c>
      <c r="Q222" s="242" t="s">
        <v>344</v>
      </c>
      <c r="R222" s="242" t="s">
        <v>344</v>
      </c>
      <c r="S222" s="242" t="s">
        <v>345</v>
      </c>
      <c r="T222" s="242" t="s">
        <v>345</v>
      </c>
      <c r="U222" s="201"/>
      <c r="V222" s="201"/>
      <c r="W222" s="201"/>
      <c r="X222" s="201"/>
      <c r="Y222" s="125"/>
    </row>
    <row r="223" spans="1:25">
      <c r="A223" s="109">
        <v>19</v>
      </c>
      <c r="B223" s="327"/>
      <c r="C223" s="129" t="s">
        <v>228</v>
      </c>
      <c r="D223" s="268" t="str">
        <f>IF(P248="","",P248)</f>
        <v>Auto-filter</v>
      </c>
      <c r="E223" s="113"/>
      <c r="F223" s="129" t="s">
        <v>229</v>
      </c>
      <c r="G223" s="245">
        <f>IF(S248="","",S248)</f>
        <v>2</v>
      </c>
      <c r="H223" s="113"/>
      <c r="I223" s="129" t="s">
        <v>683</v>
      </c>
      <c r="J223" s="245">
        <f>IF(V248="","",V248)</f>
        <v>0</v>
      </c>
      <c r="K223" s="201"/>
      <c r="L223" s="201"/>
      <c r="M223" s="202"/>
      <c r="N223" s="113"/>
      <c r="O223" s="123"/>
      <c r="P223" s="129" t="s">
        <v>29</v>
      </c>
      <c r="Q223" s="242" t="s">
        <v>786</v>
      </c>
      <c r="R223" s="242" t="s">
        <v>786</v>
      </c>
      <c r="S223" s="242" t="s">
        <v>786</v>
      </c>
      <c r="T223" s="242" t="s">
        <v>786</v>
      </c>
      <c r="U223" s="113"/>
      <c r="V223" s="113"/>
      <c r="W223" s="113"/>
      <c r="X223" s="113"/>
      <c r="Y223" s="125"/>
    </row>
    <row r="224" spans="1:25">
      <c r="A224" s="109">
        <v>20</v>
      </c>
      <c r="B224" s="327"/>
      <c r="C224" s="113"/>
      <c r="D224" s="427" t="s">
        <v>46</v>
      </c>
      <c r="E224" s="113"/>
      <c r="F224" s="113"/>
      <c r="G224" s="113"/>
      <c r="H224" s="113"/>
      <c r="I224" s="128" t="s">
        <v>230</v>
      </c>
      <c r="J224" s="113"/>
      <c r="K224" s="201"/>
      <c r="L224" s="201"/>
      <c r="M224" s="202"/>
      <c r="N224" s="113"/>
      <c r="O224" s="123"/>
      <c r="P224" s="129" t="s">
        <v>172</v>
      </c>
      <c r="Q224" s="242"/>
      <c r="R224" s="242"/>
      <c r="S224" s="242"/>
      <c r="T224" s="242"/>
      <c r="U224" s="113"/>
      <c r="V224" s="113"/>
      <c r="W224" s="113"/>
      <c r="X224" s="113"/>
      <c r="Y224" s="125"/>
    </row>
    <row r="225" spans="1:25" ht="16.2" thickBot="1">
      <c r="A225" s="109">
        <v>21</v>
      </c>
      <c r="B225" s="327"/>
      <c r="C225" s="113"/>
      <c r="D225" s="128" t="s">
        <v>232</v>
      </c>
      <c r="E225" s="128" t="s">
        <v>233</v>
      </c>
      <c r="F225" s="128" t="s">
        <v>234</v>
      </c>
      <c r="G225" s="128" t="s">
        <v>49</v>
      </c>
      <c r="H225" s="128" t="s">
        <v>235</v>
      </c>
      <c r="I225" s="128" t="s">
        <v>236</v>
      </c>
      <c r="J225" s="128" t="s">
        <v>237</v>
      </c>
      <c r="K225" s="201"/>
      <c r="L225" s="201"/>
      <c r="M225" s="202"/>
      <c r="N225" s="113"/>
      <c r="O225" s="123"/>
      <c r="P225" s="129" t="s">
        <v>173</v>
      </c>
      <c r="Q225" s="242"/>
      <c r="R225" s="242"/>
      <c r="S225" s="242"/>
      <c r="T225" s="242"/>
      <c r="U225" s="113"/>
      <c r="V225" s="113"/>
      <c r="W225" s="113"/>
      <c r="X225" s="113"/>
      <c r="Y225" s="125"/>
    </row>
    <row r="226" spans="1:25">
      <c r="A226" s="109">
        <v>22</v>
      </c>
      <c r="B226" s="327"/>
      <c r="C226" s="113"/>
      <c r="D226" s="159">
        <f t="shared" ref="D226:G232" si="63">IF(P251="","",P251)</f>
        <v>2</v>
      </c>
      <c r="E226" s="160" t="str">
        <f t="shared" si="63"/>
        <v/>
      </c>
      <c r="F226" s="160" t="str">
        <f t="shared" si="63"/>
        <v/>
      </c>
      <c r="G226" s="160" t="str">
        <f t="shared" si="63"/>
        <v/>
      </c>
      <c r="H226" s="499" t="str">
        <f>IF(U251="","",U251)</f>
        <v/>
      </c>
      <c r="I226" s="160" t="str">
        <f t="shared" ref="I226:J232" si="64">IF(V251="","",V251)</f>
        <v/>
      </c>
      <c r="J226" s="315" t="str">
        <f t="shared" si="64"/>
        <v/>
      </c>
      <c r="K226" s="201"/>
      <c r="L226" s="201"/>
      <c r="M226" s="202"/>
      <c r="N226" s="113"/>
      <c r="O226" s="123"/>
      <c r="P226" s="129" t="s">
        <v>231</v>
      </c>
      <c r="Q226" s="242"/>
      <c r="R226" s="242"/>
      <c r="S226" s="242"/>
      <c r="T226" s="242"/>
      <c r="U226" s="113"/>
      <c r="V226" s="113"/>
      <c r="W226" s="113"/>
      <c r="X226" s="113"/>
      <c r="Y226" s="125"/>
    </row>
    <row r="227" spans="1:25">
      <c r="A227" s="109">
        <v>23</v>
      </c>
      <c r="B227" s="327"/>
      <c r="C227" s="113"/>
      <c r="D227" s="168">
        <f t="shared" si="63"/>
        <v>4</v>
      </c>
      <c r="E227" s="169" t="str">
        <f t="shared" si="63"/>
        <v/>
      </c>
      <c r="F227" s="169" t="str">
        <f t="shared" si="63"/>
        <v/>
      </c>
      <c r="G227" s="169" t="str">
        <f t="shared" si="63"/>
        <v/>
      </c>
      <c r="H227" s="354" t="str">
        <f t="shared" ref="H227:H233" si="65">IF(U252="","",U252)</f>
        <v/>
      </c>
      <c r="I227" s="169" t="str">
        <f t="shared" si="64"/>
        <v/>
      </c>
      <c r="J227" s="304" t="str">
        <f t="shared" si="64"/>
        <v/>
      </c>
      <c r="K227" s="201"/>
      <c r="L227" s="201"/>
      <c r="M227" s="202"/>
      <c r="N227" s="113"/>
      <c r="O227" s="123"/>
      <c r="P227" s="129" t="s">
        <v>175</v>
      </c>
      <c r="Q227" s="169" t="str">
        <f>IF(Q226="","",IF(AND(Q222="2D",Q226&gt;=7),"Pass",IF(AND(Q222="3D",Q226&gt;=3),"Pass","Fail")))</f>
        <v/>
      </c>
      <c r="R227" s="169" t="str">
        <f>IF(R226="","",IF(AND(R222="2D",R226&gt;=7),"Pass",IF(AND(R222="3D",R226&gt;=3),"Pass","Fail")))</f>
        <v/>
      </c>
      <c r="S227" s="169" t="str">
        <f>IF(S226="","",IF(AND(S222="2D",S226&gt;=7),"Pass",IF(AND(S222="3D",S226&gt;=3),"Pass","Fail")))</f>
        <v/>
      </c>
      <c r="T227" s="169" t="str">
        <f>IF(T226="","",IF(AND(T222="2D",T226&gt;=7),"Pass",IF(AND(T222="3D",T226&gt;=3),"Pass","Fail")))</f>
        <v/>
      </c>
      <c r="U227" s="113"/>
      <c r="V227" s="113"/>
      <c r="W227" s="113"/>
      <c r="X227" s="113"/>
      <c r="Y227" s="125"/>
    </row>
    <row r="228" spans="1:25">
      <c r="A228" s="109">
        <v>24</v>
      </c>
      <c r="B228" s="327"/>
      <c r="C228" s="113"/>
      <c r="D228" s="168">
        <f t="shared" si="63"/>
        <v>4</v>
      </c>
      <c r="E228" s="169">
        <f t="shared" si="63"/>
        <v>0</v>
      </c>
      <c r="F228" s="169">
        <f t="shared" si="63"/>
        <v>0</v>
      </c>
      <c r="G228" s="169" t="str">
        <f t="shared" si="63"/>
        <v/>
      </c>
      <c r="H228" s="354" t="str">
        <f t="shared" si="65"/>
        <v/>
      </c>
      <c r="I228" s="169" t="str">
        <f t="shared" si="64"/>
        <v/>
      </c>
      <c r="J228" s="304" t="str">
        <f t="shared" si="64"/>
        <v/>
      </c>
      <c r="K228" s="201"/>
      <c r="L228" s="201"/>
      <c r="M228" s="202"/>
      <c r="N228" s="113"/>
      <c r="O228" s="123"/>
      <c r="P228" s="129" t="s">
        <v>238</v>
      </c>
      <c r="Q228" s="341" t="str">
        <f>IF(AB98="","",AB98)</f>
        <v/>
      </c>
      <c r="R228" s="341" t="str">
        <f>IF(AB99="","",AB99)</f>
        <v/>
      </c>
      <c r="S228" s="341" t="str">
        <f>IF(AB100="","",AB100)</f>
        <v/>
      </c>
      <c r="T228" s="341" t="str">
        <f>IF(AB101="","",AB101)</f>
        <v/>
      </c>
      <c r="U228" s="201"/>
      <c r="V228" s="201"/>
      <c r="W228" s="201"/>
      <c r="X228" s="201"/>
      <c r="Y228" s="125"/>
    </row>
    <row r="229" spans="1:25">
      <c r="A229" s="109">
        <v>25</v>
      </c>
      <c r="B229" s="327"/>
      <c r="C229" s="113"/>
      <c r="D229" s="168">
        <f t="shared" si="63"/>
        <v>4</v>
      </c>
      <c r="E229" s="169">
        <f t="shared" si="63"/>
        <v>0</v>
      </c>
      <c r="F229" s="169">
        <f t="shared" si="63"/>
        <v>0</v>
      </c>
      <c r="G229" s="169" t="str">
        <f t="shared" si="63"/>
        <v/>
      </c>
      <c r="H229" s="354" t="str">
        <f t="shared" si="65"/>
        <v/>
      </c>
      <c r="I229" s="169" t="str">
        <f t="shared" si="64"/>
        <v/>
      </c>
      <c r="J229" s="304" t="str">
        <f t="shared" si="64"/>
        <v/>
      </c>
      <c r="K229" s="201"/>
      <c r="L229" s="201"/>
      <c r="M229" s="202"/>
      <c r="N229" s="113"/>
      <c r="O229" s="123"/>
      <c r="P229" s="201"/>
      <c r="Q229" s="201"/>
      <c r="R229" s="201"/>
      <c r="S229" s="201"/>
      <c r="T229" s="201"/>
      <c r="U229" s="201"/>
      <c r="V229" s="201"/>
      <c r="W229" s="201"/>
      <c r="X229" s="201"/>
      <c r="Y229" s="125"/>
    </row>
    <row r="230" spans="1:25">
      <c r="A230" s="109">
        <v>26</v>
      </c>
      <c r="B230" s="327"/>
      <c r="C230" s="113"/>
      <c r="D230" s="168">
        <f t="shared" si="63"/>
        <v>4</v>
      </c>
      <c r="E230" s="169">
        <f t="shared" si="63"/>
        <v>0</v>
      </c>
      <c r="F230" s="169">
        <f t="shared" si="63"/>
        <v>0</v>
      </c>
      <c r="G230" s="169" t="str">
        <f t="shared" si="63"/>
        <v/>
      </c>
      <c r="H230" s="354" t="str">
        <f t="shared" si="65"/>
        <v/>
      </c>
      <c r="I230" s="169" t="str">
        <f t="shared" si="64"/>
        <v/>
      </c>
      <c r="J230" s="304" t="str">
        <f t="shared" si="64"/>
        <v/>
      </c>
      <c r="K230" s="201"/>
      <c r="L230" s="201"/>
      <c r="M230" s="202"/>
      <c r="N230" s="113"/>
      <c r="O230" s="123"/>
      <c r="P230" s="208" t="s">
        <v>158</v>
      </c>
      <c r="Q230" s="120" t="s">
        <v>239</v>
      </c>
      <c r="R230" s="113"/>
      <c r="S230" s="113"/>
      <c r="T230" s="113"/>
      <c r="U230" s="113"/>
      <c r="V230" s="113"/>
      <c r="W230" s="113"/>
      <c r="X230" s="113"/>
      <c r="Y230" s="125"/>
    </row>
    <row r="231" spans="1:25" ht="16.2" thickBot="1">
      <c r="A231" s="109">
        <v>27</v>
      </c>
      <c r="B231" s="327"/>
      <c r="C231" s="113"/>
      <c r="D231" s="168">
        <f t="shared" si="63"/>
        <v>6</v>
      </c>
      <c r="E231" s="169" t="str">
        <f t="shared" si="63"/>
        <v/>
      </c>
      <c r="F231" s="169" t="str">
        <f t="shared" si="63"/>
        <v/>
      </c>
      <c r="G231" s="169" t="str">
        <f t="shared" si="63"/>
        <v/>
      </c>
      <c r="H231" s="354" t="str">
        <f t="shared" si="65"/>
        <v/>
      </c>
      <c r="I231" s="169" t="str">
        <f t="shared" si="64"/>
        <v/>
      </c>
      <c r="J231" s="304" t="str">
        <f t="shared" si="64"/>
        <v/>
      </c>
      <c r="K231" s="201"/>
      <c r="L231" s="201"/>
      <c r="M231" s="202"/>
      <c r="N231" s="113"/>
      <c r="O231" s="134"/>
      <c r="P231" s="135"/>
      <c r="Q231" s="340" t="s">
        <v>240</v>
      </c>
      <c r="R231" s="135"/>
      <c r="S231" s="135"/>
      <c r="T231" s="135"/>
      <c r="U231" s="135"/>
      <c r="V231" s="135"/>
      <c r="W231" s="135"/>
      <c r="X231" s="135"/>
      <c r="Y231" s="136"/>
    </row>
    <row r="232" spans="1:25" ht="16.2" thickBot="1">
      <c r="A232" s="109">
        <v>28</v>
      </c>
      <c r="B232" s="327"/>
      <c r="C232" s="113"/>
      <c r="D232" s="213">
        <f t="shared" si="63"/>
        <v>8</v>
      </c>
      <c r="E232" s="214" t="str">
        <f t="shared" si="63"/>
        <v/>
      </c>
      <c r="F232" s="214" t="str">
        <f t="shared" si="63"/>
        <v/>
      </c>
      <c r="G232" s="214" t="str">
        <f t="shared" si="63"/>
        <v/>
      </c>
      <c r="H232" s="500" t="str">
        <f t="shared" si="65"/>
        <v/>
      </c>
      <c r="I232" s="214" t="str">
        <f t="shared" si="64"/>
        <v/>
      </c>
      <c r="J232" s="319" t="str">
        <f t="shared" si="64"/>
        <v/>
      </c>
      <c r="K232" s="201"/>
      <c r="L232" s="201"/>
      <c r="M232" s="202"/>
      <c r="N232" s="113"/>
      <c r="O232" s="243" t="s">
        <v>241</v>
      </c>
      <c r="P232" s="113"/>
      <c r="Q232" s="113"/>
      <c r="R232" s="113"/>
      <c r="S232" s="113"/>
      <c r="T232" s="113"/>
      <c r="U232" s="129" t="s">
        <v>683</v>
      </c>
      <c r="V232" s="244">
        <v>4</v>
      </c>
      <c r="W232" s="113" t="s">
        <v>242</v>
      </c>
      <c r="X232" s="113"/>
      <c r="Y232" s="125"/>
    </row>
    <row r="233" spans="1:25" ht="16.2" thickBot="1">
      <c r="A233" s="109">
        <v>29</v>
      </c>
      <c r="B233" s="327"/>
      <c r="C233" s="113"/>
      <c r="D233" s="113"/>
      <c r="E233" s="113"/>
      <c r="F233" s="113"/>
      <c r="G233" s="129" t="s">
        <v>243</v>
      </c>
      <c r="H233" s="339" t="str">
        <f t="shared" si="65"/>
        <v/>
      </c>
      <c r="I233" s="113"/>
      <c r="J233" s="339" t="str">
        <f>IF(W258="","",W258)</f>
        <v/>
      </c>
      <c r="K233" s="201"/>
      <c r="L233" s="201"/>
      <c r="M233" s="202"/>
      <c r="N233" s="113"/>
      <c r="O233" s="123" t="s">
        <v>228</v>
      </c>
      <c r="P233" s="342" t="s">
        <v>661</v>
      </c>
      <c r="Q233" s="113"/>
      <c r="R233" s="129" t="s">
        <v>229</v>
      </c>
      <c r="S233" s="244">
        <v>2</v>
      </c>
      <c r="T233" s="113"/>
      <c r="U233" s="129" t="s">
        <v>684</v>
      </c>
      <c r="V233" s="244">
        <v>4</v>
      </c>
      <c r="W233" s="113" t="s">
        <v>242</v>
      </c>
      <c r="X233" s="113"/>
      <c r="Y233" s="125"/>
    </row>
    <row r="234" spans="1:25">
      <c r="A234" s="109">
        <v>30</v>
      </c>
      <c r="B234" s="327"/>
      <c r="C234" s="113"/>
      <c r="D234" s="208" t="s">
        <v>158</v>
      </c>
      <c r="E234" s="120" t="s">
        <v>244</v>
      </c>
      <c r="F234" s="113"/>
      <c r="G234" s="113"/>
      <c r="H234" s="113"/>
      <c r="I234" s="113"/>
      <c r="J234" s="113"/>
      <c r="K234" s="201"/>
      <c r="L234" s="201"/>
      <c r="M234" s="202"/>
      <c r="N234" s="113"/>
      <c r="O234" s="123"/>
      <c r="P234" s="128" t="s">
        <v>46</v>
      </c>
      <c r="Q234" s="113"/>
      <c r="R234" s="113"/>
      <c r="S234" s="113"/>
      <c r="T234" s="113"/>
      <c r="U234" s="128"/>
      <c r="V234" s="128" t="s">
        <v>230</v>
      </c>
      <c r="W234" s="113"/>
      <c r="X234" s="113"/>
      <c r="Y234" s="125"/>
    </row>
    <row r="235" spans="1:25" ht="16.2" thickBot="1">
      <c r="A235" s="109">
        <v>31</v>
      </c>
      <c r="B235" s="327"/>
      <c r="C235" s="113"/>
      <c r="D235" s="201"/>
      <c r="E235" s="201"/>
      <c r="F235" s="201"/>
      <c r="G235" s="201"/>
      <c r="H235" s="201"/>
      <c r="I235" s="201"/>
      <c r="J235" s="201"/>
      <c r="K235" s="201"/>
      <c r="L235" s="201"/>
      <c r="M235" s="202"/>
      <c r="N235" s="113"/>
      <c r="O235" s="123"/>
      <c r="P235" s="128" t="s">
        <v>232</v>
      </c>
      <c r="Q235" s="128" t="s">
        <v>233</v>
      </c>
      <c r="R235" s="128" t="s">
        <v>234</v>
      </c>
      <c r="S235" s="128" t="s">
        <v>49</v>
      </c>
      <c r="T235" s="128" t="s">
        <v>235</v>
      </c>
      <c r="U235" s="484" t="s">
        <v>678</v>
      </c>
      <c r="V235" s="128" t="s">
        <v>236</v>
      </c>
      <c r="W235" s="128" t="s">
        <v>237</v>
      </c>
      <c r="X235" s="113"/>
      <c r="Y235" s="125"/>
    </row>
    <row r="236" spans="1:25">
      <c r="A236" s="109">
        <v>32</v>
      </c>
      <c r="B236" s="157"/>
      <c r="C236" s="165" t="s">
        <v>247</v>
      </c>
      <c r="D236" s="113"/>
      <c r="E236" s="113"/>
      <c r="F236" s="113"/>
      <c r="G236" s="113"/>
      <c r="H236" s="113"/>
      <c r="I236" s="128"/>
      <c r="J236" s="113"/>
      <c r="K236" s="113"/>
      <c r="L236" s="113"/>
      <c r="M236" s="158"/>
      <c r="N236" s="113"/>
      <c r="O236" s="123"/>
      <c r="P236" s="343">
        <v>2</v>
      </c>
      <c r="Q236" s="344"/>
      <c r="R236" s="345"/>
      <c r="S236" s="345"/>
      <c r="T236" s="345"/>
      <c r="U236" s="346" t="str">
        <f>IF(T236="","",IF($V$232=-1,T236,(T236-50)/VLOOKUP(P236,Tables!$A$161:$I$165,MATCH($V$232,Tables!$A$161:$I$161))))</f>
        <v/>
      </c>
      <c r="V236" s="345"/>
      <c r="W236" s="315" t="str">
        <f t="shared" ref="W236:W243" si="66">IF(OR(U236="",$U$244=""),"",ABS((U236-$U$244)/$U$244))</f>
        <v/>
      </c>
      <c r="X236" s="113"/>
      <c r="Y236" s="125"/>
    </row>
    <row r="237" spans="1:25">
      <c r="A237" s="109">
        <v>33</v>
      </c>
      <c r="B237" s="157"/>
      <c r="C237" s="129" t="s">
        <v>228</v>
      </c>
      <c r="D237" s="268" t="str">
        <f>IF(P263="","",P263)</f>
        <v>Auto-filter</v>
      </c>
      <c r="E237" s="113"/>
      <c r="F237" s="129" t="s">
        <v>229</v>
      </c>
      <c r="G237" s="245">
        <f>IF(S263="","",S263)</f>
        <v>2</v>
      </c>
      <c r="H237" s="128"/>
      <c r="I237" s="129" t="s">
        <v>172</v>
      </c>
      <c r="J237" s="245" t="str">
        <f>IF(Q265="","",Q265)</f>
        <v/>
      </c>
      <c r="K237" s="113"/>
      <c r="L237" s="113"/>
      <c r="M237" s="158"/>
      <c r="N237" s="113"/>
      <c r="O237" s="123"/>
      <c r="P237" s="347">
        <v>4</v>
      </c>
      <c r="Q237" s="348"/>
      <c r="R237" s="242"/>
      <c r="S237" s="242"/>
      <c r="T237" s="242"/>
      <c r="U237" s="349" t="str">
        <f>IF(T237="","",IF($V$232=-1,T237,(T237-50)/VLOOKUP(P237,Tables!$A$161:$I$165,MATCH($V$232,Tables!$A$161:$I$161))))</f>
        <v/>
      </c>
      <c r="V237" s="242"/>
      <c r="W237" s="304" t="str">
        <f t="shared" si="66"/>
        <v/>
      </c>
      <c r="X237" s="113"/>
      <c r="Y237" s="125"/>
    </row>
    <row r="238" spans="1:25" ht="16.2" thickBot="1">
      <c r="A238" s="109">
        <v>34</v>
      </c>
      <c r="B238" s="157"/>
      <c r="C238" s="113"/>
      <c r="D238" s="173"/>
      <c r="E238" s="173"/>
      <c r="F238" s="173"/>
      <c r="G238" s="128" t="s">
        <v>230</v>
      </c>
      <c r="H238" s="173"/>
      <c r="I238" s="113"/>
      <c r="J238" s="173"/>
      <c r="K238" s="113"/>
      <c r="L238" s="113"/>
      <c r="M238" s="158"/>
      <c r="N238" s="113"/>
      <c r="O238" s="123"/>
      <c r="P238" s="347">
        <v>4</v>
      </c>
      <c r="Q238" s="168">
        <f t="shared" ref="Q238:R240" si="67">Q237</f>
        <v>0</v>
      </c>
      <c r="R238" s="169">
        <f t="shared" si="67"/>
        <v>0</v>
      </c>
      <c r="S238" s="242"/>
      <c r="T238" s="242"/>
      <c r="U238" s="349" t="str">
        <f>IF(T238="","",IF($V$232=-1,T238,(T238-50)/VLOOKUP(P238,Tables!$A$161:$I$165,MATCH($V$232,Tables!$A$161:$I$161))))</f>
        <v/>
      </c>
      <c r="V238" s="242"/>
      <c r="W238" s="304" t="str">
        <f t="shared" si="66"/>
        <v/>
      </c>
      <c r="X238" s="113"/>
      <c r="Y238" s="125"/>
    </row>
    <row r="239" spans="1:25">
      <c r="A239" s="109">
        <v>35</v>
      </c>
      <c r="B239" s="157"/>
      <c r="C239" s="113"/>
      <c r="D239" s="159" t="s">
        <v>248</v>
      </c>
      <c r="E239" s="160" t="s">
        <v>49</v>
      </c>
      <c r="F239" s="160" t="s">
        <v>235</v>
      </c>
      <c r="G239" s="160" t="s">
        <v>236</v>
      </c>
      <c r="H239" s="160" t="s">
        <v>249</v>
      </c>
      <c r="I239" s="350" t="s">
        <v>250</v>
      </c>
      <c r="J239" s="173"/>
      <c r="K239" s="113"/>
      <c r="L239" s="113"/>
      <c r="M239" s="158"/>
      <c r="N239" s="113"/>
      <c r="O239" s="123"/>
      <c r="P239" s="347">
        <v>4</v>
      </c>
      <c r="Q239" s="168">
        <f t="shared" si="67"/>
        <v>0</v>
      </c>
      <c r="R239" s="169">
        <f t="shared" si="67"/>
        <v>0</v>
      </c>
      <c r="S239" s="242"/>
      <c r="T239" s="242"/>
      <c r="U239" s="349" t="str">
        <f>IF(T239="","",IF($V$232=-1,T239,(T239-50)/VLOOKUP(P239,Tables!$A$161:$I$165,MATCH($V$232,Tables!$A$161:$I$161))))</f>
        <v/>
      </c>
      <c r="V239" s="242"/>
      <c r="W239" s="304" t="str">
        <f t="shared" si="66"/>
        <v/>
      </c>
      <c r="X239" s="113"/>
      <c r="Y239" s="125"/>
    </row>
    <row r="240" spans="1:25">
      <c r="A240" s="109">
        <v>36</v>
      </c>
      <c r="B240" s="157"/>
      <c r="C240" s="113"/>
      <c r="D240" s="168">
        <f t="shared" ref="D240:D247" si="68">P265</f>
        <v>-3</v>
      </c>
      <c r="E240" s="169" t="str">
        <f t="shared" ref="E240:E247" si="69">IF(R265="","",R265)</f>
        <v/>
      </c>
      <c r="F240" s="354" t="str">
        <f>IF(U265="","",U265)</f>
        <v/>
      </c>
      <c r="G240" s="351" t="str">
        <f>IF(T265="","",T265)</f>
        <v/>
      </c>
      <c r="H240" s="351" t="str">
        <f t="shared" ref="H240:H247" si="70">IF(V265="","",V265)</f>
        <v/>
      </c>
      <c r="I240" s="352" t="str">
        <f>IF(V265="","",IF(AND(V265&gt;=X265,V265&lt;=Y265),"Pass","Fail"))</f>
        <v/>
      </c>
      <c r="J240" s="173"/>
      <c r="K240" s="113"/>
      <c r="L240" s="113"/>
      <c r="M240" s="158"/>
      <c r="N240" s="113"/>
      <c r="O240" s="123"/>
      <c r="P240" s="347">
        <v>4</v>
      </c>
      <c r="Q240" s="168">
        <f t="shared" si="67"/>
        <v>0</v>
      </c>
      <c r="R240" s="169">
        <f t="shared" si="67"/>
        <v>0</v>
      </c>
      <c r="S240" s="242"/>
      <c r="T240" s="242"/>
      <c r="U240" s="349" t="str">
        <f>IF(T240="","",IF($V$232=-1,T240,(T240-50)/VLOOKUP(P240,Tables!$A$161:$I$165,MATCH($V$232,Tables!$A$161:$I$161))))</f>
        <v/>
      </c>
      <c r="V240" s="242"/>
      <c r="W240" s="304" t="str">
        <f t="shared" si="66"/>
        <v/>
      </c>
      <c r="X240" s="113"/>
      <c r="Y240" s="125"/>
    </row>
    <row r="241" spans="1:25">
      <c r="A241" s="109">
        <v>37</v>
      </c>
      <c r="B241" s="157"/>
      <c r="C241" s="113"/>
      <c r="D241" s="168">
        <f t="shared" si="68"/>
        <v>-2</v>
      </c>
      <c r="E241" s="169" t="str">
        <f t="shared" si="69"/>
        <v/>
      </c>
      <c r="F241" s="354" t="str">
        <f t="shared" ref="F241:F247" si="71">IF(U266="","",U266)</f>
        <v/>
      </c>
      <c r="G241" s="351" t="str">
        <f t="shared" ref="G241:G247" si="72">IF(T266="","",T266)</f>
        <v/>
      </c>
      <c r="H241" s="351" t="str">
        <f t="shared" si="70"/>
        <v/>
      </c>
      <c r="I241" s="352" t="str">
        <f>IF(V266="","",IF(AND(V266&gt;=X266,V266&lt;=Y266),"Pass","Fail"))</f>
        <v/>
      </c>
      <c r="J241" s="173"/>
      <c r="K241" s="113"/>
      <c r="L241" s="113"/>
      <c r="M241" s="158"/>
      <c r="N241" s="113"/>
      <c r="O241" s="123"/>
      <c r="P241" s="347">
        <v>6</v>
      </c>
      <c r="Q241" s="348"/>
      <c r="R241" s="242"/>
      <c r="S241" s="242"/>
      <c r="T241" s="353"/>
      <c r="U241" s="349" t="str">
        <f>IF(T241="","",IF($V$232=-1,T241,(T241-50)/VLOOKUP(P241,Tables!$A$161:$I$165,MATCH($V$232,Tables!$A$161:$I$161))))</f>
        <v/>
      </c>
      <c r="V241" s="242"/>
      <c r="W241" s="304" t="str">
        <f t="shared" si="66"/>
        <v/>
      </c>
      <c r="X241" s="113"/>
      <c r="Y241" s="125"/>
    </row>
    <row r="242" spans="1:25">
      <c r="A242" s="109">
        <v>38</v>
      </c>
      <c r="B242" s="157"/>
      <c r="C242" s="113"/>
      <c r="D242" s="168">
        <f t="shared" si="68"/>
        <v>-1</v>
      </c>
      <c r="E242" s="169" t="str">
        <f t="shared" si="69"/>
        <v/>
      </c>
      <c r="F242" s="354" t="str">
        <f t="shared" si="71"/>
        <v/>
      </c>
      <c r="G242" s="351" t="str">
        <f t="shared" si="72"/>
        <v/>
      </c>
      <c r="H242" s="351" t="str">
        <f t="shared" si="70"/>
        <v/>
      </c>
      <c r="I242" s="352" t="str">
        <f>IF(V267="","",IF(AND(V267&gt;=X267,V267&lt;=Y267),"Pass","Fail"))</f>
        <v/>
      </c>
      <c r="J242" s="173"/>
      <c r="K242" s="113"/>
      <c r="L242" s="113"/>
      <c r="M242" s="158"/>
      <c r="N242" s="113"/>
      <c r="O242" s="123"/>
      <c r="P242" s="347">
        <v>8</v>
      </c>
      <c r="Q242" s="348"/>
      <c r="R242" s="242"/>
      <c r="S242" s="242"/>
      <c r="T242" s="353"/>
      <c r="U242" s="349" t="str">
        <f>IF(T242="","",IF($V$232=-1,T242,(T242-50)/VLOOKUP(P242,Tables!$A$161:$I$165,MATCH($V$232,Tables!$A$161:$I$161))))</f>
        <v/>
      </c>
      <c r="V242" s="242"/>
      <c r="W242" s="304" t="str">
        <f t="shared" si="66"/>
        <v/>
      </c>
      <c r="X242" s="113"/>
      <c r="Y242" s="125"/>
    </row>
    <row r="243" spans="1:25" ht="16.2" thickBot="1">
      <c r="A243" s="109">
        <v>39</v>
      </c>
      <c r="B243" s="157"/>
      <c r="C243" s="113"/>
      <c r="D243" s="168">
        <f t="shared" si="68"/>
        <v>0</v>
      </c>
      <c r="E243" s="170" t="str">
        <f t="shared" si="69"/>
        <v/>
      </c>
      <c r="F243" s="354" t="str">
        <f t="shared" si="71"/>
        <v/>
      </c>
      <c r="G243" s="351" t="str">
        <f t="shared" si="72"/>
        <v/>
      </c>
      <c r="H243" s="351" t="str">
        <f t="shared" si="70"/>
        <v/>
      </c>
      <c r="I243" s="355"/>
      <c r="J243" s="173"/>
      <c r="K243" s="113"/>
      <c r="L243" s="113"/>
      <c r="M243" s="158"/>
      <c r="N243" s="113"/>
      <c r="O243" s="280" t="s">
        <v>245</v>
      </c>
      <c r="P243" s="356">
        <v>4</v>
      </c>
      <c r="Q243" s="357"/>
      <c r="R243" s="358"/>
      <c r="S243" s="358"/>
      <c r="T243" s="359"/>
      <c r="U243" s="360" t="str">
        <f>IF(T243="","",IF($V$233=-1,T243,(T243-50)/VLOOKUP(P243,Tables!A167:F171,MATCH($V$233,Tables!A167:F167))))</f>
        <v/>
      </c>
      <c r="V243" s="358"/>
      <c r="W243" s="319" t="str">
        <f t="shared" si="66"/>
        <v/>
      </c>
      <c r="X243" s="113"/>
      <c r="Y243" s="125"/>
    </row>
    <row r="244" spans="1:25" ht="16.2" thickBot="1">
      <c r="A244" s="109">
        <v>40</v>
      </c>
      <c r="B244" s="157"/>
      <c r="C244" s="113"/>
      <c r="D244" s="168">
        <f t="shared" si="68"/>
        <v>1</v>
      </c>
      <c r="E244" s="169" t="str">
        <f t="shared" si="69"/>
        <v/>
      </c>
      <c r="F244" s="354" t="str">
        <f t="shared" si="71"/>
        <v/>
      </c>
      <c r="G244" s="351" t="str">
        <f t="shared" si="72"/>
        <v/>
      </c>
      <c r="H244" s="351" t="str">
        <f t="shared" si="70"/>
        <v/>
      </c>
      <c r="I244" s="352" t="str">
        <f>IF(V269="","",IF(AND(V269&gt;=X269,V269&lt;=Y269),"Pass","Fail"))</f>
        <v/>
      </c>
      <c r="J244" s="173"/>
      <c r="K244" s="113"/>
      <c r="L244" s="113"/>
      <c r="M244" s="158"/>
      <c r="N244" s="113"/>
      <c r="O244" s="123"/>
      <c r="P244" s="113"/>
      <c r="Q244" s="120" t="s">
        <v>679</v>
      </c>
      <c r="R244" s="113"/>
      <c r="S244" s="201"/>
      <c r="T244" s="129" t="s">
        <v>243</v>
      </c>
      <c r="U244" s="361" t="str">
        <f>IF(U236="","",IF(O34=1,AVERAGE(U236:U242),AVERAGE(U236:U243)))</f>
        <v/>
      </c>
      <c r="V244" s="113"/>
      <c r="W244" s="257" t="str">
        <f>IF(W236="","",IF(MAX(W236:W243)&gt;0.1,"Fail","Pass"))</f>
        <v/>
      </c>
      <c r="X244" s="113"/>
      <c r="Y244" s="125"/>
    </row>
    <row r="245" spans="1:25">
      <c r="A245" s="109">
        <v>41</v>
      </c>
      <c r="B245" s="157"/>
      <c r="C245" s="113"/>
      <c r="D245" s="168">
        <f t="shared" si="68"/>
        <v>2</v>
      </c>
      <c r="E245" s="169" t="str">
        <f t="shared" si="69"/>
        <v/>
      </c>
      <c r="F245" s="354" t="str">
        <f t="shared" si="71"/>
        <v/>
      </c>
      <c r="G245" s="351" t="str">
        <f t="shared" si="72"/>
        <v/>
      </c>
      <c r="H245" s="351" t="str">
        <f t="shared" si="70"/>
        <v/>
      </c>
      <c r="I245" s="352" t="str">
        <f>IF(V270="","",IF(AND(V270&gt;=X270,V270&lt;=Y270),"Pass","Fail"))</f>
        <v/>
      </c>
      <c r="J245" s="173"/>
      <c r="K245" s="113"/>
      <c r="L245" s="113"/>
      <c r="M245" s="158"/>
      <c r="N245" s="113"/>
      <c r="O245" s="123"/>
      <c r="P245" s="208" t="s">
        <v>158</v>
      </c>
      <c r="Q245" s="120" t="s">
        <v>244</v>
      </c>
      <c r="R245" s="113"/>
      <c r="S245" s="113"/>
      <c r="T245" s="113"/>
      <c r="U245" s="113"/>
      <c r="V245" s="113"/>
      <c r="W245" s="113"/>
      <c r="X245" s="113"/>
      <c r="Y245" s="125"/>
    </row>
    <row r="246" spans="1:25">
      <c r="A246" s="109">
        <v>42</v>
      </c>
      <c r="B246" s="157"/>
      <c r="C246" s="113"/>
      <c r="D246" s="168">
        <f t="shared" si="68"/>
        <v>3</v>
      </c>
      <c r="E246" s="169" t="str">
        <f t="shared" si="69"/>
        <v/>
      </c>
      <c r="F246" s="354" t="str">
        <f t="shared" si="71"/>
        <v/>
      </c>
      <c r="G246" s="351" t="str">
        <f t="shared" si="72"/>
        <v/>
      </c>
      <c r="H246" s="351" t="str">
        <f t="shared" si="70"/>
        <v/>
      </c>
      <c r="I246" s="352" t="str">
        <f>IF(V271="","",IF(AND(V271&gt;=X271,V271&lt;=Y271),"Pass","Fail"))</f>
        <v/>
      </c>
      <c r="J246" s="173"/>
      <c r="K246" s="113"/>
      <c r="L246" s="113"/>
      <c r="M246" s="158"/>
      <c r="N246" s="113"/>
      <c r="O246" s="123"/>
      <c r="P246" s="113"/>
      <c r="Q246" s="113"/>
      <c r="R246" s="113"/>
      <c r="S246" s="113"/>
      <c r="T246" s="113"/>
      <c r="U246" s="113"/>
      <c r="V246" s="113"/>
      <c r="W246" s="113"/>
      <c r="X246" s="113"/>
      <c r="Y246" s="125"/>
    </row>
    <row r="247" spans="1:25" ht="16.2" thickBot="1">
      <c r="A247" s="109">
        <v>43</v>
      </c>
      <c r="B247" s="157"/>
      <c r="C247" s="113"/>
      <c r="D247" s="213">
        <f t="shared" si="68"/>
        <v>4</v>
      </c>
      <c r="E247" s="214" t="str">
        <f t="shared" si="69"/>
        <v/>
      </c>
      <c r="F247" s="500" t="str">
        <f t="shared" si="71"/>
        <v/>
      </c>
      <c r="G247" s="362" t="str">
        <f t="shared" si="72"/>
        <v/>
      </c>
      <c r="H247" s="362" t="str">
        <f t="shared" si="70"/>
        <v/>
      </c>
      <c r="I247" s="363" t="str">
        <f>IF(V272="","",IF(AND(V272&gt;=X272,V272&lt;=Y272),"Pass","Fail"))</f>
        <v/>
      </c>
      <c r="J247" s="173"/>
      <c r="K247" s="113"/>
      <c r="L247" s="113"/>
      <c r="M247" s="158"/>
      <c r="N247" s="113"/>
      <c r="O247" s="243" t="s">
        <v>246</v>
      </c>
      <c r="P247" s="113"/>
      <c r="Q247" s="113"/>
      <c r="R247" s="113"/>
      <c r="S247" s="113"/>
      <c r="T247" s="113"/>
      <c r="U247" s="113"/>
      <c r="V247" s="113"/>
      <c r="W247" s="113"/>
      <c r="X247" s="113"/>
      <c r="Y247" s="125"/>
    </row>
    <row r="248" spans="1:25">
      <c r="A248" s="109">
        <v>44</v>
      </c>
      <c r="B248" s="157"/>
      <c r="C248" s="113"/>
      <c r="D248" s="208" t="s">
        <v>158</v>
      </c>
      <c r="E248" s="120" t="s">
        <v>253</v>
      </c>
      <c r="F248" s="113"/>
      <c r="G248" s="113"/>
      <c r="H248" s="113"/>
      <c r="I248" s="113"/>
      <c r="J248" s="113"/>
      <c r="K248" s="113"/>
      <c r="L248" s="113"/>
      <c r="M248" s="158"/>
      <c r="N248" s="113"/>
      <c r="O248" s="123" t="s">
        <v>228</v>
      </c>
      <c r="P248" s="342" t="s">
        <v>661</v>
      </c>
      <c r="Q248" s="113"/>
      <c r="R248" s="129" t="s">
        <v>229</v>
      </c>
      <c r="S248" s="244">
        <v>2</v>
      </c>
      <c r="T248" s="113"/>
      <c r="U248" s="129" t="s">
        <v>683</v>
      </c>
      <c r="V248" s="244">
        <v>0</v>
      </c>
      <c r="W248" s="113"/>
      <c r="X248" s="113"/>
      <c r="Y248" s="125"/>
    </row>
    <row r="249" spans="1:25" ht="16.2" thickBot="1">
      <c r="A249" s="109">
        <v>45</v>
      </c>
      <c r="B249" s="157"/>
      <c r="C249" s="113"/>
      <c r="D249" s="113"/>
      <c r="E249" s="113"/>
      <c r="F249" s="113"/>
      <c r="G249" s="113"/>
      <c r="H249" s="113"/>
      <c r="I249" s="113"/>
      <c r="J249" s="113"/>
      <c r="K249" s="113"/>
      <c r="L249" s="113"/>
      <c r="M249" s="158"/>
      <c r="N249" s="113"/>
      <c r="O249" s="123"/>
      <c r="P249" s="128" t="s">
        <v>46</v>
      </c>
      <c r="Q249" s="113"/>
      <c r="R249" s="113"/>
      <c r="S249" s="113"/>
      <c r="T249" s="113"/>
      <c r="U249" s="128"/>
      <c r="V249" s="128" t="s">
        <v>230</v>
      </c>
      <c r="W249" s="113"/>
      <c r="X249" s="113"/>
      <c r="Y249" s="125"/>
    </row>
    <row r="250" spans="1:25" ht="16.8" thickTop="1" thickBot="1">
      <c r="A250" s="109">
        <v>46</v>
      </c>
      <c r="B250" s="148"/>
      <c r="C250" s="150" t="s">
        <v>226</v>
      </c>
      <c r="D250" s="149"/>
      <c r="E250" s="417" t="s">
        <v>612</v>
      </c>
      <c r="F250" s="417" t="s">
        <v>613</v>
      </c>
      <c r="G250" s="417" t="s">
        <v>612</v>
      </c>
      <c r="H250" s="417" t="s">
        <v>613</v>
      </c>
      <c r="I250" s="149"/>
      <c r="J250" s="149"/>
      <c r="K250" s="149"/>
      <c r="L250" s="149"/>
      <c r="M250" s="151"/>
      <c r="N250" s="113"/>
      <c r="O250" s="123"/>
      <c r="P250" s="128" t="s">
        <v>232</v>
      </c>
      <c r="Q250" s="128" t="s">
        <v>233</v>
      </c>
      <c r="R250" s="128" t="s">
        <v>234</v>
      </c>
      <c r="S250" s="128" t="s">
        <v>49</v>
      </c>
      <c r="T250" s="128" t="s">
        <v>235</v>
      </c>
      <c r="U250" s="484" t="s">
        <v>678</v>
      </c>
      <c r="V250" s="128" t="s">
        <v>236</v>
      </c>
      <c r="W250" s="128" t="s">
        <v>237</v>
      </c>
      <c r="X250" s="113"/>
      <c r="Y250" s="125"/>
    </row>
    <row r="251" spans="1:25">
      <c r="A251" s="109">
        <v>47</v>
      </c>
      <c r="B251" s="157"/>
      <c r="C251" s="201"/>
      <c r="D251" s="129" t="s">
        <v>227</v>
      </c>
      <c r="E251" s="159" t="str">
        <f t="shared" ref="E251:H255" si="73">IF(Q222="","",Q222)</f>
        <v>2D</v>
      </c>
      <c r="F251" s="160" t="str">
        <f t="shared" si="73"/>
        <v>2D</v>
      </c>
      <c r="G251" s="160" t="str">
        <f t="shared" si="73"/>
        <v>3D</v>
      </c>
      <c r="H251" s="367" t="str">
        <f t="shared" si="73"/>
        <v>3D</v>
      </c>
      <c r="I251" s="201"/>
      <c r="J251" s="201"/>
      <c r="K251" s="201"/>
      <c r="L251" s="201"/>
      <c r="M251" s="158"/>
      <c r="N251" s="113"/>
      <c r="O251" s="123"/>
      <c r="P251" s="343">
        <v>2</v>
      </c>
      <c r="Q251" s="344"/>
      <c r="R251" s="345"/>
      <c r="S251" s="345"/>
      <c r="T251" s="364"/>
      <c r="U251" s="346" t="str">
        <f>IF(T251="","",(T251-50)/VLOOKUP(P251,Tables!$A$181:$C$185,MATCH($V$248,Tables!$A$181:$C$181)))</f>
        <v/>
      </c>
      <c r="V251" s="345"/>
      <c r="W251" s="315" t="str">
        <f t="shared" ref="W251:W257" si="74">IF(OR(U251="",$U$258=""),"",ABS((U251-$U$258)/$U$258))</f>
        <v/>
      </c>
      <c r="X251" s="113"/>
      <c r="Y251" s="125"/>
    </row>
    <row r="252" spans="1:25" ht="16.2" thickBot="1">
      <c r="A252" s="109">
        <v>48</v>
      </c>
      <c r="B252" s="157"/>
      <c r="C252" s="113"/>
      <c r="D252" s="129" t="s">
        <v>29</v>
      </c>
      <c r="E252" s="168" t="str">
        <f t="shared" si="73"/>
        <v>W</v>
      </c>
      <c r="F252" s="169" t="str">
        <f t="shared" si="73"/>
        <v>W</v>
      </c>
      <c r="G252" s="169" t="str">
        <f t="shared" si="73"/>
        <v>W</v>
      </c>
      <c r="H252" s="352" t="str">
        <f t="shared" si="73"/>
        <v>W</v>
      </c>
      <c r="I252" s="113"/>
      <c r="J252" s="113"/>
      <c r="K252" s="113"/>
      <c r="L252" s="113"/>
      <c r="M252" s="158"/>
      <c r="N252" s="113"/>
      <c r="O252" s="123"/>
      <c r="P252" s="347">
        <v>4</v>
      </c>
      <c r="Q252" s="348"/>
      <c r="R252" s="242"/>
      <c r="S252" s="242"/>
      <c r="T252" s="353"/>
      <c r="U252" s="349" t="str">
        <f>IF(T252="","",(T252-50)/VLOOKUP(P252,Tables!$A$181:$C$185,MATCH($V$248,Tables!$A$181:$C$181)))</f>
        <v/>
      </c>
      <c r="V252" s="242"/>
      <c r="W252" s="304" t="str">
        <f t="shared" si="74"/>
        <v/>
      </c>
      <c r="X252" s="113"/>
      <c r="Y252" s="125"/>
    </row>
    <row r="253" spans="1:25" ht="16.2" thickBot="1">
      <c r="A253" s="109">
        <v>49</v>
      </c>
      <c r="B253" s="157"/>
      <c r="C253" s="113"/>
      <c r="D253" s="129" t="s">
        <v>172</v>
      </c>
      <c r="E253" s="168" t="str">
        <f t="shared" si="73"/>
        <v/>
      </c>
      <c r="F253" s="169" t="str">
        <f t="shared" si="73"/>
        <v/>
      </c>
      <c r="G253" s="169" t="str">
        <f t="shared" si="73"/>
        <v/>
      </c>
      <c r="H253" s="352" t="str">
        <f t="shared" si="73"/>
        <v/>
      </c>
      <c r="J253" s="129" t="s">
        <v>175</v>
      </c>
      <c r="K253" s="257" t="str">
        <f>IF(AND(Q227="",R227="",S227=""),"",IF(OR(Q227="Fail",R227="Fail",S227="Fail"),"Fail","Pass"))</f>
        <v/>
      </c>
      <c r="L253" s="113"/>
      <c r="M253" s="158"/>
      <c r="N253" s="113"/>
      <c r="O253" s="123"/>
      <c r="P253" s="347">
        <v>4</v>
      </c>
      <c r="Q253" s="168">
        <f t="shared" ref="Q253:R255" si="75">Q252</f>
        <v>0</v>
      </c>
      <c r="R253" s="169">
        <f t="shared" si="75"/>
        <v>0</v>
      </c>
      <c r="S253" s="242"/>
      <c r="T253" s="353"/>
      <c r="U253" s="349" t="str">
        <f>IF(T253="","",(T253-50)/VLOOKUP(P253,Tables!$A$181:$C$185,MATCH($V$248,Tables!$A$181:$C$181)))</f>
        <v/>
      </c>
      <c r="V253" s="242"/>
      <c r="W253" s="304" t="str">
        <f t="shared" si="74"/>
        <v/>
      </c>
      <c r="X253" s="113"/>
      <c r="Y253" s="125"/>
    </row>
    <row r="254" spans="1:25">
      <c r="A254" s="109">
        <v>50</v>
      </c>
      <c r="B254" s="157"/>
      <c r="C254" s="113"/>
      <c r="D254" s="129" t="s">
        <v>173</v>
      </c>
      <c r="E254" s="168" t="str">
        <f t="shared" si="73"/>
        <v/>
      </c>
      <c r="F254" s="169" t="str">
        <f t="shared" si="73"/>
        <v/>
      </c>
      <c r="G254" s="169" t="str">
        <f t="shared" si="73"/>
        <v/>
      </c>
      <c r="H254" s="352" t="str">
        <f t="shared" si="73"/>
        <v/>
      </c>
      <c r="I254" s="113"/>
      <c r="J254" s="113"/>
      <c r="K254" s="113"/>
      <c r="L254" s="113"/>
      <c r="M254" s="158"/>
      <c r="N254" s="113"/>
      <c r="O254" s="123"/>
      <c r="P254" s="347">
        <v>4</v>
      </c>
      <c r="Q254" s="168">
        <f t="shared" si="75"/>
        <v>0</v>
      </c>
      <c r="R254" s="169">
        <f t="shared" si="75"/>
        <v>0</v>
      </c>
      <c r="S254" s="242"/>
      <c r="T254" s="353"/>
      <c r="U254" s="349" t="str">
        <f>IF(T254="","",(T254-50)/VLOOKUP(P254,Tables!$A$181:$C$185,MATCH($V$248,Tables!$A$181:$C$181)))</f>
        <v/>
      </c>
      <c r="V254" s="242"/>
      <c r="W254" s="304" t="str">
        <f t="shared" si="74"/>
        <v/>
      </c>
      <c r="X254" s="113"/>
      <c r="Y254" s="125"/>
    </row>
    <row r="255" spans="1:25" ht="16.2" thickBot="1">
      <c r="A255" s="109">
        <v>51</v>
      </c>
      <c r="B255" s="157"/>
      <c r="C255" s="113"/>
      <c r="D255" s="129" t="s">
        <v>231</v>
      </c>
      <c r="E255" s="213" t="str">
        <f t="shared" si="73"/>
        <v/>
      </c>
      <c r="F255" s="214" t="str">
        <f t="shared" si="73"/>
        <v/>
      </c>
      <c r="G255" s="214" t="str">
        <f t="shared" si="73"/>
        <v/>
      </c>
      <c r="H255" s="363" t="str">
        <f t="shared" si="73"/>
        <v/>
      </c>
      <c r="I255" s="113"/>
      <c r="J255" s="113"/>
      <c r="K255" s="113"/>
      <c r="L255" s="113"/>
      <c r="M255" s="158"/>
      <c r="N255" s="113"/>
      <c r="O255" s="123"/>
      <c r="P255" s="347">
        <v>4</v>
      </c>
      <c r="Q255" s="168">
        <f t="shared" si="75"/>
        <v>0</v>
      </c>
      <c r="R255" s="169">
        <f t="shared" si="75"/>
        <v>0</v>
      </c>
      <c r="S255" s="242"/>
      <c r="T255" s="353"/>
      <c r="U255" s="349" t="str">
        <f>IF(T255="","",(T255-50)/VLOOKUP(P255,Tables!$A$181:$C$185,MATCH($V$248,Tables!$A$181:$C$181)))</f>
        <v/>
      </c>
      <c r="V255" s="242"/>
      <c r="W255" s="304" t="str">
        <f t="shared" si="74"/>
        <v/>
      </c>
      <c r="X255" s="113"/>
      <c r="Y255" s="125"/>
    </row>
    <row r="256" spans="1:25" ht="16.2" thickBot="1">
      <c r="A256" s="109">
        <v>52</v>
      </c>
      <c r="B256" s="174"/>
      <c r="C256" s="175"/>
      <c r="D256" s="365" t="s">
        <v>158</v>
      </c>
      <c r="E256" s="132" t="str">
        <f>Q230</f>
        <v>Limiting system resolution must be 7 lp/mm or higher in conventional/2D mode</v>
      </c>
      <c r="F256" s="175"/>
      <c r="G256" s="175"/>
      <c r="H256" s="175"/>
      <c r="I256" s="175"/>
      <c r="J256" s="175"/>
      <c r="K256" s="175"/>
      <c r="L256" s="175"/>
      <c r="M256" s="176"/>
      <c r="N256" s="113"/>
      <c r="O256" s="123"/>
      <c r="P256" s="347">
        <v>6</v>
      </c>
      <c r="Q256" s="348"/>
      <c r="R256" s="242"/>
      <c r="S256" s="242"/>
      <c r="T256" s="353"/>
      <c r="U256" s="349" t="str">
        <f>IF(T256="","",(T256-50)/VLOOKUP(P256,Tables!$A$181:$C$185,MATCH($V$248,Tables!$A$181:$C$181)))</f>
        <v/>
      </c>
      <c r="V256" s="242"/>
      <c r="W256" s="304" t="str">
        <f t="shared" si="74"/>
        <v/>
      </c>
      <c r="X256" s="113"/>
      <c r="Y256" s="125"/>
    </row>
    <row r="257" spans="1:29" ht="16.8" thickTop="1" thickBot="1">
      <c r="A257" s="109">
        <v>53</v>
      </c>
      <c r="B257" s="327"/>
      <c r="C257" s="201"/>
      <c r="D257" s="201"/>
      <c r="E257" s="201"/>
      <c r="F257" s="201"/>
      <c r="G257" s="201"/>
      <c r="H257" s="201"/>
      <c r="I257" s="201"/>
      <c r="J257" s="201"/>
      <c r="K257" s="201"/>
      <c r="L257" s="201"/>
      <c r="M257" s="158"/>
      <c r="N257" s="113"/>
      <c r="O257" s="123"/>
      <c r="P257" s="356">
        <v>8</v>
      </c>
      <c r="Q257" s="357"/>
      <c r="R257" s="358"/>
      <c r="S257" s="358"/>
      <c r="T257" s="359"/>
      <c r="U257" s="360" t="str">
        <f>IF(T257="","",(T257-50)/VLOOKUP(P257,Tables!$A$181:$C$185,MATCH($V$248,Tables!$A$181:$C$181)))</f>
        <v/>
      </c>
      <c r="V257" s="358"/>
      <c r="W257" s="319" t="str">
        <f t="shared" si="74"/>
        <v/>
      </c>
      <c r="X257" s="113"/>
      <c r="Y257" s="125"/>
    </row>
    <row r="258" spans="1:29" ht="16.2" thickBot="1">
      <c r="A258" s="109">
        <v>54</v>
      </c>
      <c r="B258" s="157"/>
      <c r="C258" s="165" t="s">
        <v>254</v>
      </c>
      <c r="D258" s="113"/>
      <c r="E258" s="113"/>
      <c r="F258" s="113"/>
      <c r="G258" s="113"/>
      <c r="H258" s="113"/>
      <c r="I258" s="113"/>
      <c r="J258" s="113"/>
      <c r="K258" s="113"/>
      <c r="L258" s="113"/>
      <c r="M258" s="158"/>
      <c r="N258" s="113"/>
      <c r="O258" s="123"/>
      <c r="P258" s="113"/>
      <c r="Q258" s="120" t="s">
        <v>679</v>
      </c>
      <c r="R258" s="113"/>
      <c r="S258" s="201"/>
      <c r="T258" s="129" t="s">
        <v>243</v>
      </c>
      <c r="U258" s="361" t="str">
        <f>IF(U251="","",AVERAGE(U251:U257))</f>
        <v/>
      </c>
      <c r="V258" s="113"/>
      <c r="W258" s="366" t="str">
        <f>IF(W251="","",IF(MAX(W251:W257)&gt;0.1,"Fail","Pass"))</f>
        <v/>
      </c>
      <c r="X258" s="113"/>
      <c r="Y258" s="125"/>
    </row>
    <row r="259" spans="1:29" ht="16.2" thickBot="1">
      <c r="A259" s="109">
        <v>55</v>
      </c>
      <c r="B259" s="157"/>
      <c r="C259" s="113"/>
      <c r="D259" s="654" t="s">
        <v>255</v>
      </c>
      <c r="E259" s="654"/>
      <c r="F259" s="173"/>
      <c r="G259" s="654" t="s">
        <v>256</v>
      </c>
      <c r="H259" s="654"/>
      <c r="I259" s="113"/>
      <c r="J259" s="173"/>
      <c r="K259" s="654" t="s">
        <v>257</v>
      </c>
      <c r="L259" s="654"/>
      <c r="M259" s="202"/>
      <c r="N259" s="113"/>
      <c r="O259" s="123"/>
      <c r="P259" s="208" t="s">
        <v>158</v>
      </c>
      <c r="Q259" s="120" t="s">
        <v>244</v>
      </c>
      <c r="R259" s="113"/>
      <c r="S259" s="113"/>
      <c r="T259" s="113"/>
      <c r="U259" s="113"/>
      <c r="V259" s="113"/>
      <c r="W259" s="173"/>
      <c r="X259" s="113"/>
      <c r="Y259" s="125"/>
    </row>
    <row r="260" spans="1:29" ht="16.2" thickBot="1">
      <c r="A260" s="109">
        <v>56</v>
      </c>
      <c r="B260" s="157"/>
      <c r="C260" s="173"/>
      <c r="D260" s="129" t="s">
        <v>172</v>
      </c>
      <c r="E260" s="343">
        <f t="shared" ref="E260:E265" si="76">IF(Q504="","",Q504)</f>
        <v>0</v>
      </c>
      <c r="F260" s="113"/>
      <c r="G260" s="128" t="s">
        <v>259</v>
      </c>
      <c r="H260" s="128" t="s">
        <v>260</v>
      </c>
      <c r="I260" s="128" t="s">
        <v>197</v>
      </c>
      <c r="J260" s="173"/>
      <c r="K260" s="128" t="s">
        <v>194</v>
      </c>
      <c r="L260" s="128" t="s">
        <v>196</v>
      </c>
      <c r="M260" s="202"/>
      <c r="N260" s="113"/>
      <c r="O260" s="123"/>
      <c r="P260" s="201"/>
      <c r="Q260" s="201"/>
      <c r="R260" s="201"/>
      <c r="S260" s="201"/>
      <c r="T260" s="201"/>
      <c r="U260" s="201"/>
      <c r="V260" s="201"/>
      <c r="W260" s="113"/>
      <c r="X260" s="113"/>
      <c r="Y260" s="125"/>
    </row>
    <row r="261" spans="1:29" ht="16.2" thickBot="1">
      <c r="A261" s="109">
        <v>57</v>
      </c>
      <c r="B261" s="157"/>
      <c r="C261" s="173"/>
      <c r="D261" s="129" t="s">
        <v>262</v>
      </c>
      <c r="E261" s="347">
        <f t="shared" si="76"/>
        <v>0</v>
      </c>
      <c r="F261" s="129" t="s">
        <v>172</v>
      </c>
      <c r="G261" s="159">
        <f t="shared" ref="G261:G266" si="77">IF(P520="","",P520)</f>
        <v>0</v>
      </c>
      <c r="H261" s="160" t="str">
        <f t="shared" ref="H261:H266" si="78">IF(R520="","",R520)</f>
        <v/>
      </c>
      <c r="I261" s="367" t="str">
        <f t="shared" ref="I261:I266" si="79">IF(T520="","",T520)</f>
        <v/>
      </c>
      <c r="J261" s="173"/>
      <c r="K261" s="129" t="s">
        <v>263</v>
      </c>
      <c r="L261" s="368" t="str">
        <f>IF(R512="","",R512)</f>
        <v/>
      </c>
      <c r="M261" s="202"/>
      <c r="N261" s="113"/>
      <c r="O261" s="123"/>
      <c r="P261" s="201"/>
      <c r="Q261" s="201"/>
      <c r="R261" s="201"/>
      <c r="S261" s="201"/>
      <c r="T261" s="201"/>
      <c r="U261" s="201"/>
      <c r="V261" s="201"/>
      <c r="W261" s="201"/>
      <c r="X261" s="201"/>
      <c r="Y261" s="125"/>
    </row>
    <row r="262" spans="1:29">
      <c r="A262" s="109">
        <v>58</v>
      </c>
      <c r="B262" s="157"/>
      <c r="C262" s="173"/>
      <c r="D262" s="129" t="s">
        <v>265</v>
      </c>
      <c r="E262" s="347" t="str">
        <f t="shared" si="76"/>
        <v/>
      </c>
      <c r="F262" s="129" t="s">
        <v>262</v>
      </c>
      <c r="G262" s="168">
        <f t="shared" si="77"/>
        <v>0</v>
      </c>
      <c r="H262" s="169" t="str">
        <f t="shared" si="78"/>
        <v/>
      </c>
      <c r="I262" s="352" t="str">
        <f t="shared" si="79"/>
        <v/>
      </c>
      <c r="J262" s="129" t="s">
        <v>266</v>
      </c>
      <c r="K262" s="159" t="str">
        <f t="shared" ref="K262:L264" si="80">IF(Q514="","",Q514)</f>
        <v/>
      </c>
      <c r="L262" s="367" t="str">
        <f t="shared" si="80"/>
        <v/>
      </c>
      <c r="M262" s="202"/>
      <c r="N262" s="113"/>
      <c r="O262" s="243" t="s">
        <v>247</v>
      </c>
      <c r="P262" s="113"/>
      <c r="Q262" s="113"/>
      <c r="R262" s="113"/>
      <c r="S262" s="113"/>
      <c r="T262" s="113"/>
      <c r="U262" s="113"/>
      <c r="V262" s="113"/>
      <c r="W262" s="113"/>
      <c r="X262" s="113"/>
      <c r="Y262" s="125"/>
    </row>
    <row r="263" spans="1:29">
      <c r="A263" s="109">
        <v>59</v>
      </c>
      <c r="B263" s="157"/>
      <c r="C263" s="173"/>
      <c r="D263" s="129" t="s">
        <v>268</v>
      </c>
      <c r="E263" s="347" t="str">
        <f t="shared" si="76"/>
        <v/>
      </c>
      <c r="F263" s="129" t="s">
        <v>174</v>
      </c>
      <c r="G263" s="168">
        <f t="shared" si="77"/>
        <v>0</v>
      </c>
      <c r="H263" s="169" t="str">
        <f t="shared" si="78"/>
        <v/>
      </c>
      <c r="I263" s="352" t="str">
        <f t="shared" si="79"/>
        <v/>
      </c>
      <c r="J263" s="129" t="s">
        <v>269</v>
      </c>
      <c r="K263" s="168" t="str">
        <f t="shared" si="80"/>
        <v/>
      </c>
      <c r="L263" s="352" t="str">
        <f t="shared" si="80"/>
        <v/>
      </c>
      <c r="M263" s="202"/>
      <c r="N263" s="113"/>
      <c r="O263" s="123" t="s">
        <v>228</v>
      </c>
      <c r="P263" s="245" t="str">
        <f>P233</f>
        <v>Auto-filter</v>
      </c>
      <c r="Q263" s="113"/>
      <c r="R263" s="129" t="s">
        <v>229</v>
      </c>
      <c r="S263" s="245">
        <f>S233</f>
        <v>2</v>
      </c>
      <c r="T263" s="128" t="s">
        <v>230</v>
      </c>
      <c r="U263" s="173"/>
      <c r="V263" s="113"/>
      <c r="W263" s="113"/>
      <c r="X263" s="638" t="str">
        <f>IF($O$33=1,AB263,Z263)</f>
        <v>Selenia</v>
      </c>
      <c r="Y263" s="658"/>
      <c r="Z263" s="117" t="s">
        <v>571</v>
      </c>
      <c r="AB263" s="117" t="s">
        <v>609</v>
      </c>
    </row>
    <row r="264" spans="1:29" ht="16.2" thickBot="1">
      <c r="A264" s="109">
        <v>60</v>
      </c>
      <c r="B264" s="157"/>
      <c r="C264" s="173"/>
      <c r="D264" s="129" t="s">
        <v>273</v>
      </c>
      <c r="E264" s="347" t="str">
        <f t="shared" si="76"/>
        <v/>
      </c>
      <c r="F264" s="129" t="s">
        <v>266</v>
      </c>
      <c r="G264" s="168" t="str">
        <f t="shared" si="77"/>
        <v/>
      </c>
      <c r="H264" s="169" t="str">
        <f t="shared" si="78"/>
        <v/>
      </c>
      <c r="I264" s="352" t="str">
        <f t="shared" si="79"/>
        <v/>
      </c>
      <c r="J264" s="129" t="s">
        <v>274</v>
      </c>
      <c r="K264" s="213" t="str">
        <f t="shared" si="80"/>
        <v/>
      </c>
      <c r="L264" s="363" t="str">
        <f t="shared" si="80"/>
        <v/>
      </c>
      <c r="M264" s="202"/>
      <c r="N264" s="113"/>
      <c r="O264" s="123"/>
      <c r="P264" s="128" t="s">
        <v>248</v>
      </c>
      <c r="Q264" s="128" t="s">
        <v>234</v>
      </c>
      <c r="R264" s="128" t="s">
        <v>49</v>
      </c>
      <c r="S264" s="128" t="s">
        <v>235</v>
      </c>
      <c r="T264" s="128" t="s">
        <v>236</v>
      </c>
      <c r="U264" s="484" t="s">
        <v>678</v>
      </c>
      <c r="V264" s="128" t="s">
        <v>249</v>
      </c>
      <c r="W264" s="113"/>
      <c r="X264" s="372" t="s">
        <v>251</v>
      </c>
      <c r="Y264" s="371" t="s">
        <v>252</v>
      </c>
      <c r="Z264" s="117" t="s">
        <v>251</v>
      </c>
      <c r="AA264" s="117" t="s">
        <v>252</v>
      </c>
      <c r="AB264" s="117" t="s">
        <v>251</v>
      </c>
      <c r="AC264" s="117" t="s">
        <v>252</v>
      </c>
    </row>
    <row r="265" spans="1:29" ht="16.2" thickBot="1">
      <c r="A265" s="109">
        <v>61</v>
      </c>
      <c r="B265" s="157"/>
      <c r="C265" s="173"/>
      <c r="D265" s="129" t="s">
        <v>276</v>
      </c>
      <c r="E265" s="347" t="str">
        <f t="shared" si="76"/>
        <v/>
      </c>
      <c r="F265" s="129" t="s">
        <v>269</v>
      </c>
      <c r="G265" s="168" t="str">
        <f t="shared" si="77"/>
        <v/>
      </c>
      <c r="H265" s="169" t="str">
        <f t="shared" si="78"/>
        <v/>
      </c>
      <c r="I265" s="352" t="str">
        <f t="shared" si="79"/>
        <v/>
      </c>
      <c r="J265" s="173"/>
      <c r="K265" s="129" t="s">
        <v>263</v>
      </c>
      <c r="L265" s="373" t="str">
        <f>IF(V512="","",V512)</f>
        <v/>
      </c>
      <c r="M265" s="202"/>
      <c r="N265" s="113"/>
      <c r="O265" s="123"/>
      <c r="P265" s="159">
        <v>-3</v>
      </c>
      <c r="Q265" s="345"/>
      <c r="R265" s="345"/>
      <c r="S265" s="345"/>
      <c r="T265" s="374"/>
      <c r="U265" s="485" t="str">
        <f t="shared" ref="U265:U272" si="81">IF(S265="","",S265-50)</f>
        <v/>
      </c>
      <c r="V265" s="161" t="str">
        <f>IF(OR(U265="",$U$268=""),"",U265/$U$268)</f>
        <v/>
      </c>
      <c r="W265" s="113"/>
      <c r="X265" s="372">
        <f>IF($O$33=1,AB265,Z265)</f>
        <v>0.5</v>
      </c>
      <c r="Y265" s="371">
        <f>IF($O$33=1,AC265,AA265)</f>
        <v>0.61</v>
      </c>
      <c r="Z265" s="117">
        <v>0.5</v>
      </c>
      <c r="AA265" s="117">
        <v>0.61</v>
      </c>
      <c r="AB265" s="117">
        <v>0.56000000000000005</v>
      </c>
      <c r="AC265" s="117">
        <v>0.66</v>
      </c>
    </row>
    <row r="266" spans="1:29" ht="16.2" thickBot="1">
      <c r="A266" s="109">
        <v>62</v>
      </c>
      <c r="B266" s="157"/>
      <c r="C266" s="113"/>
      <c r="D266" s="129" t="s">
        <v>266</v>
      </c>
      <c r="E266" s="347" t="str">
        <f>IF(U504="","",U504)</f>
        <v/>
      </c>
      <c r="F266" s="129" t="s">
        <v>274</v>
      </c>
      <c r="G266" s="213" t="str">
        <f t="shared" si="77"/>
        <v/>
      </c>
      <c r="H266" s="214" t="str">
        <f t="shared" si="78"/>
        <v/>
      </c>
      <c r="I266" s="363" t="str">
        <f t="shared" si="79"/>
        <v/>
      </c>
      <c r="J266" s="129" t="s">
        <v>266</v>
      </c>
      <c r="K266" s="159" t="str">
        <f t="shared" ref="K266:L268" si="82">IF(U514="","",U514)</f>
        <v/>
      </c>
      <c r="L266" s="367" t="str">
        <f t="shared" si="82"/>
        <v/>
      </c>
      <c r="M266" s="202"/>
      <c r="N266" s="113"/>
      <c r="O266" s="123"/>
      <c r="P266" s="168">
        <v>-2</v>
      </c>
      <c r="Q266" s="375"/>
      <c r="R266" s="242"/>
      <c r="S266" s="242"/>
      <c r="T266" s="376"/>
      <c r="U266" s="259" t="str">
        <f t="shared" si="81"/>
        <v/>
      </c>
      <c r="V266" s="171" t="str">
        <f t="shared" ref="V266:V267" si="83">IF(OR(U266="",$U$268=""),"",U266/$U$268)</f>
        <v/>
      </c>
      <c r="W266" s="113"/>
      <c r="X266" s="372">
        <f t="shared" ref="X266:X267" si="84">IF($O$33=1,AB266,Z266)</f>
        <v>0.63</v>
      </c>
      <c r="Y266" s="371">
        <f t="shared" ref="Y266:Y267" si="85">IF($O$33=1,AC266,AA266)</f>
        <v>0.77</v>
      </c>
      <c r="Z266" s="117">
        <v>0.63</v>
      </c>
      <c r="AA266" s="117">
        <v>0.77</v>
      </c>
      <c r="AB266" s="117">
        <v>0.66</v>
      </c>
      <c r="AC266" s="117">
        <v>0.78</v>
      </c>
    </row>
    <row r="267" spans="1:29">
      <c r="A267" s="109">
        <v>63</v>
      </c>
      <c r="B267" s="157"/>
      <c r="C267" s="113"/>
      <c r="D267" s="129" t="s">
        <v>269</v>
      </c>
      <c r="E267" s="347" t="str">
        <f>IF(U505="","",U505)</f>
        <v/>
      </c>
      <c r="F267" s="197" t="s">
        <v>158</v>
      </c>
      <c r="G267" s="113"/>
      <c r="H267" s="113"/>
      <c r="I267" s="113"/>
      <c r="J267" s="129" t="s">
        <v>269</v>
      </c>
      <c r="K267" s="168" t="str">
        <f t="shared" si="82"/>
        <v/>
      </c>
      <c r="L267" s="352" t="str">
        <f t="shared" si="82"/>
        <v/>
      </c>
      <c r="M267" s="202"/>
      <c r="N267" s="113"/>
      <c r="O267" s="123"/>
      <c r="P267" s="168">
        <v>-1</v>
      </c>
      <c r="Q267" s="378"/>
      <c r="R267" s="242"/>
      <c r="S267" s="242"/>
      <c r="T267" s="242"/>
      <c r="U267" s="259" t="str">
        <f t="shared" si="81"/>
        <v/>
      </c>
      <c r="V267" s="171" t="str">
        <f t="shared" si="83"/>
        <v/>
      </c>
      <c r="W267" s="113"/>
      <c r="X267" s="372">
        <f t="shared" si="84"/>
        <v>0.77</v>
      </c>
      <c r="Y267" s="371">
        <f t="shared" si="85"/>
        <v>0.94</v>
      </c>
      <c r="Z267" s="117">
        <v>0.77</v>
      </c>
      <c r="AA267" s="117">
        <v>0.94</v>
      </c>
      <c r="AB267" s="117">
        <v>0.78</v>
      </c>
      <c r="AC267" s="117">
        <v>0.92</v>
      </c>
    </row>
    <row r="268" spans="1:29" ht="16.2" thickBot="1">
      <c r="A268" s="109">
        <v>64</v>
      </c>
      <c r="B268" s="157"/>
      <c r="C268" s="113"/>
      <c r="D268" s="129" t="s">
        <v>274</v>
      </c>
      <c r="E268" s="356" t="str">
        <f>IF(U506="","",U506)</f>
        <v/>
      </c>
      <c r="F268" s="120" t="s">
        <v>280</v>
      </c>
      <c r="G268" s="377"/>
      <c r="H268" s="113"/>
      <c r="I268" s="113"/>
      <c r="J268" s="129" t="s">
        <v>274</v>
      </c>
      <c r="K268" s="213" t="str">
        <f t="shared" si="82"/>
        <v/>
      </c>
      <c r="L268" s="363" t="str">
        <f t="shared" si="82"/>
        <v/>
      </c>
      <c r="M268" s="202"/>
      <c r="N268" s="113"/>
      <c r="O268" s="123"/>
      <c r="P268" s="168">
        <v>0</v>
      </c>
      <c r="Q268" s="378"/>
      <c r="R268" s="169" t="str">
        <f>IF(S237="","",AVERAGE(S237:S240))</f>
        <v/>
      </c>
      <c r="S268" s="169" t="str">
        <f>IF(T237="","",AVERAGE(T237:T240))</f>
        <v/>
      </c>
      <c r="T268" s="351" t="str">
        <f>IF(V237="","",AVERAGE(V237:V240))</f>
        <v/>
      </c>
      <c r="U268" s="259" t="str">
        <f>IF(S268="","",S268-50)</f>
        <v/>
      </c>
      <c r="V268" s="171"/>
      <c r="W268" s="113"/>
      <c r="X268" s="372"/>
      <c r="Y268" s="371"/>
    </row>
    <row r="269" spans="1:29">
      <c r="A269" s="109">
        <v>65</v>
      </c>
      <c r="B269" s="327"/>
      <c r="C269" s="201"/>
      <c r="D269" s="201"/>
      <c r="E269" s="201"/>
      <c r="F269" s="120" t="s">
        <v>282</v>
      </c>
      <c r="G269" s="377"/>
      <c r="H269" s="201"/>
      <c r="I269" s="201"/>
      <c r="J269" s="201"/>
      <c r="K269" s="201"/>
      <c r="L269" s="201"/>
      <c r="M269" s="202"/>
      <c r="N269" s="113"/>
      <c r="O269" s="123"/>
      <c r="P269" s="168">
        <v>1</v>
      </c>
      <c r="Q269" s="378"/>
      <c r="R269" s="242"/>
      <c r="S269" s="242"/>
      <c r="T269" s="242"/>
      <c r="U269" s="259" t="str">
        <f t="shared" si="81"/>
        <v/>
      </c>
      <c r="V269" s="171" t="str">
        <f>IF(OR(U269="",$U$268=""),"",U269/$U$268)</f>
        <v/>
      </c>
      <c r="W269" s="113"/>
      <c r="X269" s="372">
        <f t="shared" ref="X269:X272" si="86">IF($O$33=1,AB269,Z269)</f>
        <v>1.04</v>
      </c>
      <c r="Y269" s="371">
        <f t="shared" ref="Y269:Y272" si="87">IF($O$33=1,AC269,AA269)</f>
        <v>1.27</v>
      </c>
      <c r="Z269" s="117">
        <v>1.04</v>
      </c>
      <c r="AA269" s="117">
        <v>1.27</v>
      </c>
      <c r="AB269" s="117">
        <v>1.06</v>
      </c>
      <c r="AC269" s="117">
        <v>1.24</v>
      </c>
    </row>
    <row r="270" spans="1:29" ht="16.2" thickBot="1">
      <c r="A270" s="109">
        <v>66</v>
      </c>
      <c r="B270" s="336"/>
      <c r="C270" s="337"/>
      <c r="D270" s="337"/>
      <c r="E270" s="337"/>
      <c r="F270" s="337"/>
      <c r="G270" s="337"/>
      <c r="H270" s="337"/>
      <c r="I270" s="337"/>
      <c r="J270" s="337"/>
      <c r="K270" s="337"/>
      <c r="L270" s="337"/>
      <c r="M270" s="338"/>
      <c r="N270" s="113"/>
      <c r="O270" s="123"/>
      <c r="P270" s="168">
        <v>2</v>
      </c>
      <c r="Q270" s="378"/>
      <c r="R270" s="242"/>
      <c r="S270" s="242"/>
      <c r="T270" s="242"/>
      <c r="U270" s="259" t="str">
        <f t="shared" si="81"/>
        <v/>
      </c>
      <c r="V270" s="171" t="str">
        <f t="shared" ref="V270:V272" si="88">IF(OR(U270="",$U$268=""),"",U270/$U$268)</f>
        <v/>
      </c>
      <c r="W270" s="113"/>
      <c r="X270" s="372">
        <f t="shared" si="86"/>
        <v>1.17</v>
      </c>
      <c r="Y270" s="371">
        <f t="shared" si="87"/>
        <v>1.43</v>
      </c>
      <c r="Z270" s="117">
        <v>1.17</v>
      </c>
      <c r="AA270" s="117">
        <v>1.43</v>
      </c>
      <c r="AB270" s="117">
        <v>1.22</v>
      </c>
      <c r="AC270" s="117">
        <v>1.43</v>
      </c>
    </row>
    <row r="271" spans="1:29" ht="16.2" thickTop="1">
      <c r="A271" s="109">
        <v>67</v>
      </c>
      <c r="B271" s="113"/>
      <c r="C271" s="203" t="s">
        <v>3</v>
      </c>
      <c r="D271" s="479" t="str">
        <f>IF($P$7="","",$P$7)</f>
        <v/>
      </c>
      <c r="E271" s="120"/>
      <c r="F271" s="120"/>
      <c r="G271" s="120"/>
      <c r="H271" s="120"/>
      <c r="I271" s="120"/>
      <c r="J271" s="120"/>
      <c r="K271" s="120"/>
      <c r="L271" s="203" t="s">
        <v>4</v>
      </c>
      <c r="M271" s="205" t="str">
        <f>IF($X$7="","",$X$7)</f>
        <v>Eugene Mah</v>
      </c>
      <c r="N271" s="113"/>
      <c r="O271" s="123"/>
      <c r="P271" s="168">
        <v>3</v>
      </c>
      <c r="Q271" s="378"/>
      <c r="R271" s="242"/>
      <c r="S271" s="242"/>
      <c r="T271" s="242"/>
      <c r="U271" s="259" t="str">
        <f t="shared" si="81"/>
        <v/>
      </c>
      <c r="V271" s="171" t="str">
        <f t="shared" si="88"/>
        <v/>
      </c>
      <c r="W271" s="113"/>
      <c r="X271" s="372">
        <f t="shared" si="86"/>
        <v>1.31</v>
      </c>
      <c r="Y271" s="371">
        <f t="shared" si="87"/>
        <v>1.6</v>
      </c>
      <c r="Z271" s="117">
        <v>1.31</v>
      </c>
      <c r="AA271" s="117">
        <v>1.6</v>
      </c>
      <c r="AB271" s="117">
        <v>1.4</v>
      </c>
      <c r="AC271" s="117">
        <v>1.64</v>
      </c>
    </row>
    <row r="272" spans="1:29" ht="16.2" thickBot="1">
      <c r="A272" s="109">
        <v>68</v>
      </c>
      <c r="B272" s="113"/>
      <c r="C272" s="203" t="s">
        <v>86</v>
      </c>
      <c r="D272" s="206" t="str">
        <f>IF($R$14="","",$R$14)</f>
        <v/>
      </c>
      <c r="E272" s="120"/>
      <c r="F272" s="120"/>
      <c r="G272" s="120"/>
      <c r="H272" s="120"/>
      <c r="I272" s="120"/>
      <c r="J272" s="120"/>
      <c r="K272" s="120"/>
      <c r="L272" s="203" t="s">
        <v>16</v>
      </c>
      <c r="M272" s="205" t="str">
        <f>IF($R$13="","",$R$13)</f>
        <v/>
      </c>
      <c r="N272" s="113"/>
      <c r="O272" s="123"/>
      <c r="P272" s="213">
        <v>4</v>
      </c>
      <c r="Q272" s="382"/>
      <c r="R272" s="358"/>
      <c r="S272" s="358"/>
      <c r="T272" s="358"/>
      <c r="U272" s="486" t="str">
        <f t="shared" si="81"/>
        <v/>
      </c>
      <c r="V272" s="215" t="str">
        <f t="shared" si="88"/>
        <v/>
      </c>
      <c r="W272" s="113"/>
      <c r="X272" s="372">
        <f t="shared" si="86"/>
        <v>1.44</v>
      </c>
      <c r="Y272" s="371">
        <f t="shared" si="87"/>
        <v>1.76</v>
      </c>
      <c r="Z272" s="117">
        <v>1.44</v>
      </c>
      <c r="AA272" s="117">
        <v>1.76</v>
      </c>
      <c r="AB272" s="117">
        <v>1.61</v>
      </c>
      <c r="AC272" s="117">
        <v>1.89</v>
      </c>
    </row>
    <row r="273" spans="1:25" ht="16.2">
      <c r="A273" s="109">
        <v>1</v>
      </c>
      <c r="B273" s="201"/>
      <c r="C273" s="201"/>
      <c r="D273" s="201"/>
      <c r="E273" s="201"/>
      <c r="F273" s="201"/>
      <c r="G273" s="201"/>
      <c r="H273" s="201"/>
      <c r="I273" s="201"/>
      <c r="J273" s="201"/>
      <c r="K273" s="201"/>
      <c r="L273" s="201"/>
      <c r="M273" s="207" t="str">
        <f>$H$2</f>
        <v>Medical University of South Carolina</v>
      </c>
      <c r="N273" s="113"/>
      <c r="O273" s="123"/>
      <c r="P273" s="173"/>
      <c r="Q273" s="120" t="s">
        <v>679</v>
      </c>
      <c r="R273" s="173"/>
      <c r="S273" s="173"/>
      <c r="T273" s="173"/>
      <c r="U273" s="173"/>
      <c r="V273" s="173"/>
      <c r="W273" s="113"/>
      <c r="X273" s="113"/>
      <c r="Y273" s="125"/>
    </row>
    <row r="274" spans="1:25" ht="18" thickBot="1">
      <c r="A274" s="109">
        <v>2</v>
      </c>
      <c r="B274" s="201"/>
      <c r="C274" s="201"/>
      <c r="D274" s="201"/>
      <c r="E274" s="201"/>
      <c r="F274" s="201"/>
      <c r="G274" s="201"/>
      <c r="H274" s="144" t="s">
        <v>50</v>
      </c>
      <c r="I274" s="201"/>
      <c r="J274" s="201"/>
      <c r="K274" s="201"/>
      <c r="L274" s="201"/>
      <c r="M274" s="208" t="str">
        <f>$H$5</f>
        <v>Mammography System Compliance Inspection</v>
      </c>
      <c r="N274" s="113"/>
      <c r="O274" s="123"/>
      <c r="P274" s="208" t="s">
        <v>158</v>
      </c>
      <c r="Q274" s="120" t="s">
        <v>253</v>
      </c>
      <c r="R274" s="113"/>
      <c r="S274" s="113"/>
      <c r="T274" s="113"/>
      <c r="U274" s="113"/>
      <c r="V274" s="113"/>
      <c r="W274" s="113"/>
      <c r="X274" s="113"/>
      <c r="Y274" s="125"/>
    </row>
    <row r="275" spans="1:25" ht="18" thickTop="1">
      <c r="A275" s="109">
        <v>3</v>
      </c>
      <c r="B275" s="524" t="s">
        <v>707</v>
      </c>
      <c r="C275" s="518"/>
      <c r="D275" s="518"/>
      <c r="E275" s="518"/>
      <c r="F275" s="518"/>
      <c r="G275" s="518"/>
      <c r="H275" s="518"/>
      <c r="I275" s="518"/>
      <c r="J275" s="518"/>
      <c r="K275" s="518"/>
      <c r="L275" s="518"/>
      <c r="M275" s="519"/>
      <c r="N275" s="113"/>
      <c r="O275" s="258"/>
      <c r="Y275" s="125"/>
    </row>
    <row r="276" spans="1:25">
      <c r="A276" s="109">
        <v>4</v>
      </c>
      <c r="B276" s="512"/>
      <c r="M276" s="513"/>
      <c r="N276" s="113"/>
      <c r="O276" s="258"/>
      <c r="Y276" s="125"/>
    </row>
    <row r="277" spans="1:25">
      <c r="A277" s="109">
        <v>5</v>
      </c>
      <c r="B277" s="512"/>
      <c r="C277" s="510" t="s">
        <v>689</v>
      </c>
      <c r="M277" s="513"/>
      <c r="N277" s="113"/>
      <c r="O277" s="509" t="s">
        <v>689</v>
      </c>
      <c r="Y277" s="125"/>
    </row>
    <row r="278" spans="1:25">
      <c r="A278" s="109">
        <v>6</v>
      </c>
      <c r="B278" s="512"/>
      <c r="C278" s="129" t="s">
        <v>228</v>
      </c>
      <c r="D278" s="268" t="str">
        <f>IF(P278="","",P278)</f>
        <v>Auto-filter</v>
      </c>
      <c r="E278" s="113"/>
      <c r="F278" s="129" t="s">
        <v>229</v>
      </c>
      <c r="G278" s="245">
        <f>IF(S278="","",S278)</f>
        <v>2</v>
      </c>
      <c r="I278" s="129" t="s">
        <v>683</v>
      </c>
      <c r="J278" s="245">
        <f>IF(V278="","",V278)</f>
        <v>0</v>
      </c>
      <c r="M278" s="513"/>
      <c r="N278" s="113"/>
      <c r="O278" s="123" t="s">
        <v>228</v>
      </c>
      <c r="P278" s="342" t="s">
        <v>661</v>
      </c>
      <c r="Q278" s="113"/>
      <c r="R278" s="129" t="s">
        <v>229</v>
      </c>
      <c r="S278" s="244">
        <v>2</v>
      </c>
      <c r="T278" s="113"/>
      <c r="U278" s="129" t="s">
        <v>683</v>
      </c>
      <c r="V278" s="244">
        <v>0</v>
      </c>
      <c r="W278" s="113"/>
      <c r="Y278" s="125"/>
    </row>
    <row r="279" spans="1:25">
      <c r="A279" s="109">
        <v>7</v>
      </c>
      <c r="B279" s="512"/>
      <c r="D279" s="427" t="s">
        <v>46</v>
      </c>
      <c r="E279" s="113"/>
      <c r="F279" s="113"/>
      <c r="G279" s="113"/>
      <c r="H279" s="113"/>
      <c r="I279" s="128" t="s">
        <v>230</v>
      </c>
      <c r="J279" s="113"/>
      <c r="M279" s="513"/>
      <c r="N279" s="113"/>
      <c r="O279" s="123"/>
      <c r="P279" s="128" t="s">
        <v>46</v>
      </c>
      <c r="Q279" s="113"/>
      <c r="R279" s="113"/>
      <c r="S279" s="113"/>
      <c r="T279" s="113"/>
      <c r="U279" s="128"/>
      <c r="V279" s="128" t="s">
        <v>230</v>
      </c>
      <c r="W279" s="113"/>
      <c r="Y279" s="125"/>
    </row>
    <row r="280" spans="1:25" ht="16.2" thickBot="1">
      <c r="A280" s="109">
        <v>8</v>
      </c>
      <c r="B280" s="512"/>
      <c r="D280" s="128" t="s">
        <v>232</v>
      </c>
      <c r="E280" s="128" t="s">
        <v>233</v>
      </c>
      <c r="F280" s="128" t="s">
        <v>234</v>
      </c>
      <c r="G280" s="128" t="s">
        <v>49</v>
      </c>
      <c r="H280" s="128" t="s">
        <v>235</v>
      </c>
      <c r="I280" s="128" t="s">
        <v>236</v>
      </c>
      <c r="J280" s="128" t="s">
        <v>237</v>
      </c>
      <c r="M280" s="513"/>
      <c r="N280" s="113"/>
      <c r="O280" s="123"/>
      <c r="P280" s="128" t="s">
        <v>232</v>
      </c>
      <c r="Q280" s="128" t="s">
        <v>233</v>
      </c>
      <c r="R280" s="128" t="s">
        <v>234</v>
      </c>
      <c r="S280" s="128" t="s">
        <v>49</v>
      </c>
      <c r="T280" s="128" t="s">
        <v>235</v>
      </c>
      <c r="U280" s="484" t="s">
        <v>678</v>
      </c>
      <c r="V280" s="128" t="s">
        <v>236</v>
      </c>
      <c r="W280" s="128" t="s">
        <v>237</v>
      </c>
      <c r="Y280" s="125"/>
    </row>
    <row r="281" spans="1:25">
      <c r="A281" s="109">
        <v>9</v>
      </c>
      <c r="B281" s="512"/>
      <c r="D281" s="159">
        <f t="shared" ref="D281:G287" si="89">IF(P281="","",P281)</f>
        <v>2</v>
      </c>
      <c r="E281" s="160" t="str">
        <f t="shared" si="89"/>
        <v/>
      </c>
      <c r="F281" s="160" t="str">
        <f t="shared" si="89"/>
        <v/>
      </c>
      <c r="G281" s="160" t="str">
        <f t="shared" si="89"/>
        <v/>
      </c>
      <c r="H281" s="499" t="str">
        <f t="shared" ref="H281:J287" si="90">IF(U281="","",U281)</f>
        <v/>
      </c>
      <c r="I281" s="160" t="str">
        <f t="shared" si="90"/>
        <v/>
      </c>
      <c r="J281" s="315" t="str">
        <f t="shared" si="90"/>
        <v/>
      </c>
      <c r="M281" s="513"/>
      <c r="N281" s="113"/>
      <c r="O281" s="123"/>
      <c r="P281" s="343">
        <v>2</v>
      </c>
      <c r="Q281" s="344"/>
      <c r="R281" s="345"/>
      <c r="S281" s="345"/>
      <c r="T281" s="364"/>
      <c r="U281" s="346" t="str">
        <f>IF(T281="","",(T281-50)/VLOOKUP(P281,Tables!$A$173:$B$177,MATCH($V$278,Tables!$A$173:$B$173)))</f>
        <v/>
      </c>
      <c r="V281" s="345"/>
      <c r="W281" s="315" t="str">
        <f>IF(OR(U281="",$U$288=""),"",ABS((U281-$U$288)/$U$288))</f>
        <v/>
      </c>
      <c r="Y281" s="125"/>
    </row>
    <row r="282" spans="1:25">
      <c r="A282" s="109">
        <v>10</v>
      </c>
      <c r="B282" s="512"/>
      <c r="D282" s="168">
        <f t="shared" si="89"/>
        <v>4</v>
      </c>
      <c r="E282" s="169" t="str">
        <f t="shared" si="89"/>
        <v/>
      </c>
      <c r="F282" s="169" t="str">
        <f t="shared" si="89"/>
        <v/>
      </c>
      <c r="G282" s="169" t="str">
        <f t="shared" si="89"/>
        <v/>
      </c>
      <c r="H282" s="354" t="str">
        <f t="shared" si="90"/>
        <v/>
      </c>
      <c r="I282" s="169" t="str">
        <f t="shared" si="90"/>
        <v/>
      </c>
      <c r="J282" s="304" t="str">
        <f t="shared" si="90"/>
        <v/>
      </c>
      <c r="M282" s="513"/>
      <c r="N282" s="113"/>
      <c r="O282" s="123"/>
      <c r="P282" s="347">
        <v>4</v>
      </c>
      <c r="Q282" s="348"/>
      <c r="R282" s="242"/>
      <c r="S282" s="242"/>
      <c r="T282" s="353"/>
      <c r="U282" s="349" t="str">
        <f>IF(T282="","",(T282-50)/VLOOKUP(P282,Tables!$A$173:$B$177,MATCH($V$278,Tables!$A$173:$B$173)))</f>
        <v/>
      </c>
      <c r="V282" s="242"/>
      <c r="W282" s="304" t="str">
        <f>IF(OR(U282="",$U$288=""),"",ABS((U282-$U$288)/$U$288))</f>
        <v/>
      </c>
      <c r="Y282" s="125"/>
    </row>
    <row r="283" spans="1:25">
      <c r="A283" s="109">
        <v>11</v>
      </c>
      <c r="B283" s="512"/>
      <c r="D283" s="168">
        <f t="shared" si="89"/>
        <v>4</v>
      </c>
      <c r="E283" s="169">
        <f t="shared" si="89"/>
        <v>0</v>
      </c>
      <c r="F283" s="169">
        <f t="shared" si="89"/>
        <v>0</v>
      </c>
      <c r="G283" s="169" t="str">
        <f t="shared" si="89"/>
        <v/>
      </c>
      <c r="H283" s="354" t="str">
        <f t="shared" si="90"/>
        <v/>
      </c>
      <c r="I283" s="169" t="str">
        <f t="shared" si="90"/>
        <v/>
      </c>
      <c r="J283" s="304" t="str">
        <f t="shared" si="90"/>
        <v/>
      </c>
      <c r="M283" s="513"/>
      <c r="N283" s="113"/>
      <c r="O283" s="123"/>
      <c r="P283" s="347">
        <v>4</v>
      </c>
      <c r="Q283" s="168">
        <f t="shared" ref="Q283:R283" si="91">Q282</f>
        <v>0</v>
      </c>
      <c r="R283" s="169">
        <f t="shared" si="91"/>
        <v>0</v>
      </c>
      <c r="S283" s="242"/>
      <c r="T283" s="353"/>
      <c r="U283" s="349" t="str">
        <f>IF(T283="","",(T283-50)/VLOOKUP(P283,Tables!$A$173:$B$177,MATCH($V$278,Tables!$A$173:$B$173)))</f>
        <v/>
      </c>
      <c r="V283" s="242"/>
      <c r="W283" s="304" t="str">
        <f t="shared" ref="W283:W287" si="92">IF(OR(U283="",$U$288=""),"",ABS((U283-$U$288)/$U$288))</f>
        <v/>
      </c>
      <c r="Y283" s="125"/>
    </row>
    <row r="284" spans="1:25">
      <c r="A284" s="109">
        <v>12</v>
      </c>
      <c r="B284" s="512"/>
      <c r="D284" s="168">
        <f t="shared" si="89"/>
        <v>4</v>
      </c>
      <c r="E284" s="169">
        <f t="shared" si="89"/>
        <v>0</v>
      </c>
      <c r="F284" s="169">
        <f t="shared" si="89"/>
        <v>0</v>
      </c>
      <c r="G284" s="169" t="str">
        <f t="shared" si="89"/>
        <v/>
      </c>
      <c r="H284" s="354" t="str">
        <f t="shared" si="90"/>
        <v/>
      </c>
      <c r="I284" s="169" t="str">
        <f t="shared" si="90"/>
        <v/>
      </c>
      <c r="J284" s="304" t="str">
        <f t="shared" si="90"/>
        <v/>
      </c>
      <c r="M284" s="513"/>
      <c r="N284" s="113"/>
      <c r="O284" s="123"/>
      <c r="P284" s="347">
        <v>4</v>
      </c>
      <c r="Q284" s="168">
        <f t="shared" ref="Q284:R284" si="93">Q283</f>
        <v>0</v>
      </c>
      <c r="R284" s="169">
        <f t="shared" si="93"/>
        <v>0</v>
      </c>
      <c r="S284" s="242"/>
      <c r="T284" s="353"/>
      <c r="U284" s="349" t="str">
        <f>IF(T284="","",(T284-50)/VLOOKUP(P284,Tables!$A$173:$B$177,MATCH($V$278,Tables!$A$173:$B$173)))</f>
        <v/>
      </c>
      <c r="V284" s="242"/>
      <c r="W284" s="304" t="str">
        <f t="shared" si="92"/>
        <v/>
      </c>
      <c r="Y284" s="125"/>
    </row>
    <row r="285" spans="1:25">
      <c r="A285" s="109">
        <v>13</v>
      </c>
      <c r="B285" s="512"/>
      <c r="D285" s="168">
        <f t="shared" si="89"/>
        <v>4</v>
      </c>
      <c r="E285" s="169">
        <f t="shared" si="89"/>
        <v>0</v>
      </c>
      <c r="F285" s="169">
        <f t="shared" si="89"/>
        <v>0</v>
      </c>
      <c r="G285" s="169" t="str">
        <f t="shared" si="89"/>
        <v/>
      </c>
      <c r="H285" s="354" t="str">
        <f t="shared" si="90"/>
        <v/>
      </c>
      <c r="I285" s="169" t="str">
        <f t="shared" si="90"/>
        <v/>
      </c>
      <c r="J285" s="304" t="str">
        <f t="shared" si="90"/>
        <v/>
      </c>
      <c r="M285" s="513"/>
      <c r="N285" s="113"/>
      <c r="O285" s="123"/>
      <c r="P285" s="347">
        <v>4</v>
      </c>
      <c r="Q285" s="168">
        <f t="shared" ref="Q285:R285" si="94">Q284</f>
        <v>0</v>
      </c>
      <c r="R285" s="169">
        <f t="shared" si="94"/>
        <v>0</v>
      </c>
      <c r="S285" s="242"/>
      <c r="T285" s="353"/>
      <c r="U285" s="349" t="str">
        <f>IF(T285="","",(T285-50)/VLOOKUP(P285,Tables!$A$173:$B$177,MATCH($V$278,Tables!$A$173:$B$173)))</f>
        <v/>
      </c>
      <c r="V285" s="242"/>
      <c r="W285" s="304" t="str">
        <f t="shared" si="92"/>
        <v/>
      </c>
      <c r="Y285" s="125"/>
    </row>
    <row r="286" spans="1:25">
      <c r="A286" s="109">
        <v>14</v>
      </c>
      <c r="B286" s="512"/>
      <c r="D286" s="168">
        <f t="shared" si="89"/>
        <v>6</v>
      </c>
      <c r="E286" s="169" t="str">
        <f t="shared" si="89"/>
        <v/>
      </c>
      <c r="F286" s="169" t="str">
        <f t="shared" si="89"/>
        <v/>
      </c>
      <c r="G286" s="169" t="str">
        <f t="shared" si="89"/>
        <v/>
      </c>
      <c r="H286" s="354" t="str">
        <f t="shared" si="90"/>
        <v/>
      </c>
      <c r="I286" s="169" t="str">
        <f t="shared" si="90"/>
        <v/>
      </c>
      <c r="J286" s="304" t="str">
        <f t="shared" si="90"/>
        <v/>
      </c>
      <c r="M286" s="513"/>
      <c r="N286" s="113"/>
      <c r="O286" s="123"/>
      <c r="P286" s="347">
        <v>6</v>
      </c>
      <c r="Q286" s="348"/>
      <c r="R286" s="242"/>
      <c r="S286" s="242"/>
      <c r="T286" s="353"/>
      <c r="U286" s="349" t="str">
        <f>IF(T286="","",(T286-50)/VLOOKUP(P286,Tables!$A$173:$B$177,MATCH($V$278,Tables!$A$173:$B$173)))</f>
        <v/>
      </c>
      <c r="V286" s="242"/>
      <c r="W286" s="304" t="str">
        <f t="shared" si="92"/>
        <v/>
      </c>
      <c r="Y286" s="125"/>
    </row>
    <row r="287" spans="1:25" ht="16.2" thickBot="1">
      <c r="A287" s="109">
        <v>15</v>
      </c>
      <c r="B287" s="512"/>
      <c r="D287" s="213">
        <f t="shared" si="89"/>
        <v>8</v>
      </c>
      <c r="E287" s="214" t="str">
        <f t="shared" si="89"/>
        <v/>
      </c>
      <c r="F287" s="214" t="str">
        <f t="shared" si="89"/>
        <v/>
      </c>
      <c r="G287" s="214" t="str">
        <f t="shared" si="89"/>
        <v/>
      </c>
      <c r="H287" s="500" t="str">
        <f t="shared" si="90"/>
        <v/>
      </c>
      <c r="I287" s="214" t="str">
        <f t="shared" si="90"/>
        <v/>
      </c>
      <c r="J287" s="319" t="str">
        <f t="shared" si="90"/>
        <v/>
      </c>
      <c r="M287" s="513"/>
      <c r="N287" s="113"/>
      <c r="O287" s="123"/>
      <c r="P287" s="356">
        <v>8</v>
      </c>
      <c r="Q287" s="357"/>
      <c r="R287" s="358"/>
      <c r="S287" s="358"/>
      <c r="T287" s="359"/>
      <c r="U287" s="360" t="str">
        <f>IF(T287="","",(T287-50)/VLOOKUP(P287,Tables!$A$173:$B$177,MATCH($V$278,Tables!$A$173:$B$173)))</f>
        <v/>
      </c>
      <c r="V287" s="358"/>
      <c r="W287" s="319" t="str">
        <f t="shared" si="92"/>
        <v/>
      </c>
      <c r="Y287" s="125"/>
    </row>
    <row r="288" spans="1:25" ht="16.2" thickBot="1">
      <c r="A288" s="109">
        <v>16</v>
      </c>
      <c r="B288" s="512"/>
      <c r="D288" s="113"/>
      <c r="E288" s="113"/>
      <c r="F288" s="113"/>
      <c r="G288" s="129" t="s">
        <v>243</v>
      </c>
      <c r="H288" s="339" t="str">
        <f>IF(U288="","",U288)</f>
        <v/>
      </c>
      <c r="I288" s="113"/>
      <c r="J288" s="339" t="str">
        <f>IF(W288="","",W288)</f>
        <v/>
      </c>
      <c r="M288" s="513"/>
      <c r="N288" s="113"/>
      <c r="O288" s="123"/>
      <c r="P288" s="113"/>
      <c r="Q288" s="120" t="s">
        <v>679</v>
      </c>
      <c r="R288" s="113"/>
      <c r="S288" s="201"/>
      <c r="T288" s="129" t="s">
        <v>243</v>
      </c>
      <c r="U288" s="361" t="str">
        <f>IF(U281="","",AVERAGE(U281:U287))</f>
        <v/>
      </c>
      <c r="V288" s="113"/>
      <c r="W288" s="366" t="str">
        <f>IF(W281="","",IF(MAX(W281:W287)&gt;0.1,"Fail","Pass"))</f>
        <v/>
      </c>
      <c r="Y288" s="125"/>
    </row>
    <row r="289" spans="1:32" ht="16.2" thickBot="1">
      <c r="A289" s="109">
        <v>17</v>
      </c>
      <c r="B289" s="512"/>
      <c r="D289" s="208" t="s">
        <v>158</v>
      </c>
      <c r="E289" s="120" t="s">
        <v>244</v>
      </c>
      <c r="M289" s="513"/>
      <c r="N289" s="113"/>
      <c r="O289" s="123"/>
      <c r="P289" s="208" t="s">
        <v>158</v>
      </c>
      <c r="Q289" s="120" t="s">
        <v>244</v>
      </c>
      <c r="R289" s="113"/>
      <c r="S289" s="113"/>
      <c r="T289" s="113"/>
      <c r="U289" s="113"/>
      <c r="V289" s="113"/>
      <c r="W289" s="173"/>
      <c r="X289" s="135"/>
      <c r="Y289" s="136"/>
    </row>
    <row r="290" spans="1:32" ht="16.2" thickBot="1">
      <c r="A290" s="109">
        <v>18</v>
      </c>
      <c r="B290" s="520"/>
      <c r="C290" s="521"/>
      <c r="D290" s="521"/>
      <c r="E290" s="521"/>
      <c r="F290" s="521"/>
      <c r="G290" s="521"/>
      <c r="H290" s="521"/>
      <c r="I290" s="521"/>
      <c r="J290" s="521"/>
      <c r="K290" s="521"/>
      <c r="L290" s="521"/>
      <c r="M290" s="522"/>
      <c r="N290" s="113"/>
      <c r="O290" s="241" t="s">
        <v>258</v>
      </c>
      <c r="P290" s="115"/>
      <c r="Q290" s="115"/>
      <c r="R290" s="115"/>
      <c r="S290" s="115"/>
      <c r="T290" s="115"/>
      <c r="U290" s="115"/>
      <c r="V290" s="115"/>
      <c r="W290" s="115"/>
      <c r="X290" s="115"/>
      <c r="Y290" s="116"/>
    </row>
    <row r="291" spans="1:32">
      <c r="A291" s="109">
        <v>19</v>
      </c>
      <c r="B291" s="512"/>
      <c r="C291" s="165" t="str">
        <f>O366</f>
        <v>Mean Glandular Dose – Stereo biopsy</v>
      </c>
      <c r="D291" s="113"/>
      <c r="E291" s="113"/>
      <c r="F291" s="113"/>
      <c r="G291" s="113"/>
      <c r="H291" s="113"/>
      <c r="I291" s="113"/>
      <c r="J291" s="113"/>
      <c r="K291" s="113"/>
      <c r="L291" s="113"/>
      <c r="M291" s="513"/>
      <c r="N291" s="113"/>
      <c r="O291" s="123"/>
      <c r="P291" s="129" t="s">
        <v>261</v>
      </c>
      <c r="Q291" s="342"/>
      <c r="R291" s="113"/>
      <c r="S291" s="129" t="s">
        <v>172</v>
      </c>
      <c r="T291" s="342"/>
      <c r="U291" s="113"/>
      <c r="V291" s="173"/>
      <c r="W291" s="173"/>
      <c r="X291" s="113"/>
      <c r="Y291" s="125"/>
    </row>
    <row r="292" spans="1:32">
      <c r="A292" s="109">
        <v>20</v>
      </c>
      <c r="B292" s="512"/>
      <c r="C292" s="113"/>
      <c r="D292" s="129" t="s">
        <v>261</v>
      </c>
      <c r="E292" s="495">
        <f>IF(Q367="","",Q367)</f>
        <v>0</v>
      </c>
      <c r="F292" s="201"/>
      <c r="G292" s="129" t="s">
        <v>172</v>
      </c>
      <c r="H292" s="495" t="str">
        <f>IF(T367="","",T367)</f>
        <v/>
      </c>
      <c r="I292" s="113"/>
      <c r="J292" s="113"/>
      <c r="K292" s="113"/>
      <c r="L292" s="113"/>
      <c r="M292" s="513"/>
      <c r="N292" s="113"/>
      <c r="O292" s="123"/>
      <c r="P292" s="129" t="s">
        <v>264</v>
      </c>
      <c r="Q292" s="244"/>
      <c r="R292" s="113"/>
      <c r="S292" s="129" t="s">
        <v>262</v>
      </c>
      <c r="T292" s="342"/>
      <c r="U292" s="113"/>
      <c r="V292" s="113"/>
      <c r="W292" s="113"/>
      <c r="X292" s="113"/>
      <c r="Y292" s="125"/>
    </row>
    <row r="293" spans="1:32">
      <c r="A293" s="109">
        <v>21</v>
      </c>
      <c r="B293" s="512"/>
      <c r="C293" s="113"/>
      <c r="D293" s="129" t="s">
        <v>264</v>
      </c>
      <c r="E293" s="495" t="str">
        <f>IF(Q368="","",Q368)</f>
        <v/>
      </c>
      <c r="F293" s="201"/>
      <c r="G293" s="129" t="s">
        <v>262</v>
      </c>
      <c r="H293" s="495" t="str">
        <f>IF(T368="","",T368)</f>
        <v/>
      </c>
      <c r="I293" s="113"/>
      <c r="J293" s="113"/>
      <c r="K293" s="113"/>
      <c r="L293" s="113"/>
      <c r="M293" s="513"/>
      <c r="N293" s="113"/>
      <c r="O293" s="123"/>
      <c r="P293" s="113"/>
      <c r="Q293" s="113"/>
      <c r="R293" s="113"/>
      <c r="S293" s="128" t="s">
        <v>230</v>
      </c>
      <c r="T293" s="113"/>
      <c r="U293" s="113" t="s">
        <v>267</v>
      </c>
      <c r="V293" s="113"/>
      <c r="W293" s="113"/>
      <c r="X293" s="113"/>
      <c r="Y293" s="125"/>
    </row>
    <row r="294" spans="1:32">
      <c r="A294" s="109">
        <v>22</v>
      </c>
      <c r="B294" s="512"/>
      <c r="C294" s="113"/>
      <c r="D294" s="113"/>
      <c r="E294" s="113"/>
      <c r="F294" s="113"/>
      <c r="G294" s="128" t="s">
        <v>230</v>
      </c>
      <c r="H294" s="113"/>
      <c r="I294" s="113" t="s">
        <v>267</v>
      </c>
      <c r="J294" s="113"/>
      <c r="K294" s="113"/>
      <c r="L294" s="113"/>
      <c r="M294" s="513"/>
      <c r="N294" s="113"/>
      <c r="O294" s="386"/>
      <c r="P294" s="113"/>
      <c r="Q294" s="128" t="s">
        <v>49</v>
      </c>
      <c r="R294" s="128" t="s">
        <v>235</v>
      </c>
      <c r="S294" s="128" t="s">
        <v>236</v>
      </c>
      <c r="T294" s="128" t="s">
        <v>270</v>
      </c>
      <c r="U294" s="128" t="s">
        <v>271</v>
      </c>
      <c r="V294" s="113"/>
      <c r="W294" s="129" t="s">
        <v>272</v>
      </c>
      <c r="X294" s="246" t="str">
        <f>IF(T291="","",T291*Tables!$C$121+Tables!$C$122)</f>
        <v/>
      </c>
      <c r="Y294" s="125"/>
      <c r="AA294" s="259" t="s">
        <v>768</v>
      </c>
      <c r="AB294" s="259" t="s">
        <v>348</v>
      </c>
      <c r="AC294" s="259" t="s">
        <v>769</v>
      </c>
      <c r="AD294" s="259" t="s">
        <v>348</v>
      </c>
      <c r="AE294" s="259" t="s">
        <v>529</v>
      </c>
      <c r="AF294" s="259" t="s">
        <v>528</v>
      </c>
    </row>
    <row r="295" spans="1:32" ht="16.2" thickBot="1">
      <c r="A295" s="109">
        <v>23</v>
      </c>
      <c r="B295" s="512"/>
      <c r="C295" s="113"/>
      <c r="D295" s="128"/>
      <c r="E295" s="128" t="s">
        <v>49</v>
      </c>
      <c r="F295" s="128" t="s">
        <v>235</v>
      </c>
      <c r="G295" s="128" t="s">
        <v>236</v>
      </c>
      <c r="H295" s="128" t="s">
        <v>270</v>
      </c>
      <c r="I295" s="128" t="s">
        <v>271</v>
      </c>
      <c r="J295" s="113"/>
      <c r="K295" s="129" t="s">
        <v>272</v>
      </c>
      <c r="L295" s="246" t="str">
        <f t="shared" ref="L295:L300" si="95">IF(X370="","",X370)</f>
        <v/>
      </c>
      <c r="M295" s="513"/>
      <c r="N295" s="113"/>
      <c r="O295" s="386"/>
      <c r="P295" s="113"/>
      <c r="Q295" s="242"/>
      <c r="R295" s="242"/>
      <c r="S295" s="242"/>
      <c r="T295" s="388" t="str">
        <f>IF(Q295="","",Q295/$T$292)</f>
        <v/>
      </c>
      <c r="U295" s="351" t="str">
        <f>IF(Q295="","",($T$291*Tables!$C$107+Tables!$C$108)*Q295)</f>
        <v/>
      </c>
      <c r="V295" s="113"/>
      <c r="W295" s="129" t="s">
        <v>275</v>
      </c>
      <c r="X295" s="246" t="str">
        <f>IF(U299="","",U299)</f>
        <v/>
      </c>
      <c r="Y295" s="125"/>
      <c r="AA295" s="259"/>
      <c r="AB295" s="259"/>
      <c r="AC295" s="259"/>
      <c r="AD295" s="259"/>
      <c r="AE295" s="259" t="e">
        <f>(AA295-50)/AB295</f>
        <v>#DIV/0!</v>
      </c>
      <c r="AF295" s="259" t="e">
        <f>(AA295-AC295)/AB295</f>
        <v>#DIV/0!</v>
      </c>
    </row>
    <row r="296" spans="1:32">
      <c r="A296" s="109">
        <v>24</v>
      </c>
      <c r="B296" s="512"/>
      <c r="C296" s="113"/>
      <c r="D296" s="113"/>
      <c r="E296" s="384" t="str">
        <f t="shared" ref="E296:I301" si="96">IF(Q371="","",Q371)</f>
        <v/>
      </c>
      <c r="F296" s="160" t="str">
        <f t="shared" si="96"/>
        <v/>
      </c>
      <c r="G296" s="160" t="str">
        <f t="shared" si="96"/>
        <v/>
      </c>
      <c r="H296" s="385" t="str">
        <f t="shared" si="96"/>
        <v/>
      </c>
      <c r="I296" s="161" t="str">
        <f t="shared" si="96"/>
        <v/>
      </c>
      <c r="J296" s="113"/>
      <c r="K296" s="129" t="s">
        <v>275</v>
      </c>
      <c r="L296" s="247" t="str">
        <f t="shared" si="95"/>
        <v/>
      </c>
      <c r="M296" s="513"/>
      <c r="N296" s="113"/>
      <c r="O296" s="386"/>
      <c r="P296" s="113"/>
      <c r="Q296" s="242"/>
      <c r="R296" s="242"/>
      <c r="S296" s="242"/>
      <c r="T296" s="388" t="str">
        <f>IF(Q296="","",Q296/$T$292)</f>
        <v/>
      </c>
      <c r="U296" s="351" t="str">
        <f>IF(Q296="","",($T$291*Tables!$C$107+Tables!$C$108)*Q296)</f>
        <v/>
      </c>
      <c r="V296" s="113"/>
      <c r="W296" s="129" t="s">
        <v>277</v>
      </c>
      <c r="X296" s="390" t="str">
        <f>IF(Q292="","",HLOOKUP(Q292,Tables!A130:F131,2,FALSE))</f>
        <v/>
      </c>
      <c r="Y296" s="125"/>
      <c r="AA296" s="259"/>
      <c r="AB296" s="259"/>
      <c r="AC296" s="259"/>
      <c r="AD296" s="259"/>
      <c r="AE296" s="259" t="e">
        <f t="shared" ref="AE296:AE298" si="97">(AA296-50)/AB296</f>
        <v>#DIV/0!</v>
      </c>
      <c r="AF296" s="259" t="e">
        <f t="shared" ref="AF296:AF298" si="98">(AA296-AC296)/AB296</f>
        <v>#DIV/0!</v>
      </c>
    </row>
    <row r="297" spans="1:32">
      <c r="A297" s="109">
        <v>25</v>
      </c>
      <c r="B297" s="512"/>
      <c r="C297" s="113"/>
      <c r="D297" s="113"/>
      <c r="E297" s="387" t="str">
        <f t="shared" si="96"/>
        <v/>
      </c>
      <c r="F297" s="169" t="str">
        <f t="shared" si="96"/>
        <v/>
      </c>
      <c r="G297" s="169" t="str">
        <f t="shared" si="96"/>
        <v/>
      </c>
      <c r="H297" s="388" t="str">
        <f t="shared" si="96"/>
        <v/>
      </c>
      <c r="I297" s="171" t="str">
        <f t="shared" si="96"/>
        <v/>
      </c>
      <c r="J297" s="113"/>
      <c r="K297" s="129" t="s">
        <v>277</v>
      </c>
      <c r="L297" s="389" t="str">
        <f t="shared" si="95"/>
        <v/>
      </c>
      <c r="M297" s="513"/>
      <c r="N297" s="113"/>
      <c r="O297" s="386"/>
      <c r="P297" s="113"/>
      <c r="Q297" s="242"/>
      <c r="R297" s="242"/>
      <c r="S297" s="242"/>
      <c r="T297" s="388" t="str">
        <f>IF(Q297="","",Q297/$T$292)</f>
        <v/>
      </c>
      <c r="U297" s="351" t="str">
        <f>IF(Q297="","",($T$291*Tables!$C$107+Tables!$C$108)*Q297)</f>
        <v/>
      </c>
      <c r="V297" s="113"/>
      <c r="W297" s="129" t="s">
        <v>278</v>
      </c>
      <c r="X297" s="246" t="str">
        <f>IF(OR(X295="",X296=""),"",(X296*(X295/8.76))/100)</f>
        <v/>
      </c>
      <c r="Y297" s="125"/>
      <c r="AA297" s="259"/>
      <c r="AB297" s="259"/>
      <c r="AC297" s="259"/>
      <c r="AD297" s="259"/>
      <c r="AE297" s="259" t="e">
        <f t="shared" si="97"/>
        <v>#DIV/0!</v>
      </c>
      <c r="AF297" s="259" t="e">
        <f t="shared" si="98"/>
        <v>#DIV/0!</v>
      </c>
    </row>
    <row r="298" spans="1:32">
      <c r="A298" s="109">
        <v>26</v>
      </c>
      <c r="B298" s="512"/>
      <c r="C298" s="113"/>
      <c r="D298" s="113"/>
      <c r="E298" s="387" t="str">
        <f t="shared" si="96"/>
        <v/>
      </c>
      <c r="F298" s="169" t="str">
        <f t="shared" si="96"/>
        <v/>
      </c>
      <c r="G298" s="169" t="str">
        <f t="shared" si="96"/>
        <v/>
      </c>
      <c r="H298" s="388" t="str">
        <f t="shared" si="96"/>
        <v/>
      </c>
      <c r="I298" s="171" t="str">
        <f t="shared" si="96"/>
        <v/>
      </c>
      <c r="J298" s="113"/>
      <c r="K298" s="129" t="s">
        <v>278</v>
      </c>
      <c r="L298" s="247" t="str">
        <f t="shared" si="95"/>
        <v/>
      </c>
      <c r="M298" s="513"/>
      <c r="N298" s="113"/>
      <c r="O298" s="386"/>
      <c r="P298" s="113"/>
      <c r="Q298" s="242"/>
      <c r="R298" s="242"/>
      <c r="S298" s="242"/>
      <c r="T298" s="388" t="str">
        <f>IF(Q298="","",Q298/$T$292)</f>
        <v/>
      </c>
      <c r="U298" s="351" t="str">
        <f>IF(Q298="","",($T$291*Tables!$C$107+Tables!$C$108)*Q298)</f>
        <v/>
      </c>
      <c r="V298" s="113"/>
      <c r="W298" s="129" t="s">
        <v>279</v>
      </c>
      <c r="X298" s="394" t="str">
        <f>IF(AB87="","",AB87)</f>
        <v/>
      </c>
      <c r="Y298" s="125"/>
      <c r="AA298" s="259"/>
      <c r="AB298" s="259"/>
      <c r="AC298" s="259"/>
      <c r="AD298" s="259"/>
      <c r="AE298" s="259" t="e">
        <f t="shared" si="97"/>
        <v>#DIV/0!</v>
      </c>
      <c r="AF298" s="259" t="e">
        <f t="shared" si="98"/>
        <v>#DIV/0!</v>
      </c>
    </row>
    <row r="299" spans="1:32" ht="16.2" thickBot="1">
      <c r="A299" s="109">
        <v>27</v>
      </c>
      <c r="B299" s="512"/>
      <c r="C299" s="113"/>
      <c r="D299" s="113"/>
      <c r="E299" s="391" t="str">
        <f t="shared" si="96"/>
        <v/>
      </c>
      <c r="F299" s="214" t="str">
        <f t="shared" si="96"/>
        <v/>
      </c>
      <c r="G299" s="214" t="str">
        <f t="shared" si="96"/>
        <v/>
      </c>
      <c r="H299" s="392" t="str">
        <f t="shared" si="96"/>
        <v/>
      </c>
      <c r="I299" s="215" t="str">
        <f t="shared" si="96"/>
        <v/>
      </c>
      <c r="J299" s="113"/>
      <c r="K299" s="129" t="s">
        <v>279</v>
      </c>
      <c r="L299" s="247" t="str">
        <f t="shared" si="95"/>
        <v/>
      </c>
      <c r="M299" s="513"/>
      <c r="N299" s="113"/>
      <c r="O299" s="386"/>
      <c r="P299" s="129" t="s">
        <v>243</v>
      </c>
      <c r="Q299" s="170" t="str">
        <f>IF(OR(Q295="",Q296="",Q297="",Q298=""),"",AVERAGE(Q295:Q298))</f>
        <v/>
      </c>
      <c r="R299" s="354" t="str">
        <f>IF(OR(R295="",R296="",R297="",R298=""),"",AVERAGE(R295:R298))</f>
        <v/>
      </c>
      <c r="S299" s="351" t="str">
        <f>IF(OR(S295="",S296="",S297="",S298=""),"",AVERAGE(S295:S298))</f>
        <v/>
      </c>
      <c r="T299" s="388" t="str">
        <f>IF(OR(T295="",T296="",T297="",T298=""),"",AVERAGE(T295:T298))</f>
        <v/>
      </c>
      <c r="U299" s="351" t="str">
        <f>IF(OR(U295="",U296="",U297="",U298=""),"",AVERAGE(U295:U298))</f>
        <v/>
      </c>
      <c r="V299" s="113"/>
      <c r="W299" s="129" t="s">
        <v>281</v>
      </c>
      <c r="X299" s="108" t="str">
        <f>IF(OR(X297="",X298=""),"",(X297-X298)/X298)</f>
        <v/>
      </c>
      <c r="Y299" s="125"/>
    </row>
    <row r="300" spans="1:32">
      <c r="A300" s="109">
        <v>28</v>
      </c>
      <c r="B300" s="512"/>
      <c r="C300" s="113"/>
      <c r="D300" s="129" t="s">
        <v>243</v>
      </c>
      <c r="E300" s="387" t="str">
        <f t="shared" si="96"/>
        <v/>
      </c>
      <c r="F300" s="169" t="str">
        <f t="shared" si="96"/>
        <v/>
      </c>
      <c r="G300" s="351" t="str">
        <f t="shared" si="96"/>
        <v/>
      </c>
      <c r="H300" s="388" t="str">
        <f t="shared" si="96"/>
        <v/>
      </c>
      <c r="I300" s="171" t="str">
        <f t="shared" si="96"/>
        <v/>
      </c>
      <c r="J300" s="113"/>
      <c r="K300" s="129" t="s">
        <v>281</v>
      </c>
      <c r="L300" s="393" t="str">
        <f t="shared" si="95"/>
        <v/>
      </c>
      <c r="M300" s="513"/>
      <c r="N300" s="113"/>
      <c r="O300" s="386"/>
      <c r="P300" s="129" t="s">
        <v>283</v>
      </c>
      <c r="Q300" s="302" t="str">
        <f>IF(Q299="","",STDEV(Q295:Q298)/Q299)</f>
        <v/>
      </c>
      <c r="R300" s="302" t="str">
        <f>IF(R299="","",STDEV(R295:R298)/R299)</f>
        <v/>
      </c>
      <c r="S300" s="302" t="str">
        <f>IF(S299="","",STDEV(S295:S298)/S299)</f>
        <v/>
      </c>
      <c r="T300" s="302" t="str">
        <f>IF(T299="","",STDEV(T295:T298)/T299)</f>
        <v/>
      </c>
      <c r="U300" s="302" t="str">
        <f>IF(U299="","",STDEV(U295:U298)/U299)</f>
        <v/>
      </c>
      <c r="V300" s="113"/>
      <c r="W300" s="173"/>
      <c r="X300" s="173"/>
      <c r="Y300" s="125"/>
    </row>
    <row r="301" spans="1:32" ht="16.2" thickBot="1">
      <c r="A301" s="109">
        <v>29</v>
      </c>
      <c r="B301" s="512"/>
      <c r="C301" s="113"/>
      <c r="D301" s="129" t="s">
        <v>283</v>
      </c>
      <c r="E301" s="316" t="str">
        <f t="shared" si="96"/>
        <v/>
      </c>
      <c r="F301" s="317" t="str">
        <f t="shared" si="96"/>
        <v/>
      </c>
      <c r="G301" s="317" t="str">
        <f t="shared" si="96"/>
        <v/>
      </c>
      <c r="H301" s="317" t="str">
        <f t="shared" si="96"/>
        <v/>
      </c>
      <c r="I301" s="319" t="str">
        <f t="shared" si="96"/>
        <v/>
      </c>
      <c r="J301" s="113"/>
      <c r="K301" s="113"/>
      <c r="L301" s="113"/>
      <c r="M301" s="513"/>
      <c r="N301" s="113"/>
      <c r="O301" s="123"/>
      <c r="P301" s="173"/>
      <c r="Q301" s="173"/>
      <c r="R301" s="173"/>
      <c r="S301" s="173"/>
      <c r="T301" s="173"/>
      <c r="U301" s="173"/>
      <c r="V301" s="113"/>
      <c r="W301" s="113"/>
      <c r="X301" s="113"/>
      <c r="Y301" s="125"/>
    </row>
    <row r="302" spans="1:32">
      <c r="A302" s="109">
        <v>30</v>
      </c>
      <c r="B302" s="512"/>
      <c r="C302" s="113"/>
      <c r="D302" s="208" t="s">
        <v>158</v>
      </c>
      <c r="E302" s="173" t="s">
        <v>284</v>
      </c>
      <c r="F302" s="113"/>
      <c r="G302" s="113"/>
      <c r="H302" s="113"/>
      <c r="I302" s="113"/>
      <c r="J302" s="113"/>
      <c r="K302" s="129" t="s">
        <v>285</v>
      </c>
      <c r="L302" s="108" t="str">
        <f>IF(X378="","",X378)</f>
        <v/>
      </c>
      <c r="M302" s="513"/>
      <c r="N302" s="113"/>
      <c r="O302" s="123"/>
      <c r="P302" s="537" t="s">
        <v>158</v>
      </c>
      <c r="Q302" s="173" t="s">
        <v>284</v>
      </c>
      <c r="R302" s="113"/>
      <c r="S302" s="113"/>
      <c r="T302" s="113"/>
      <c r="U302" s="113"/>
      <c r="V302" s="113"/>
      <c r="W302" s="129" t="s">
        <v>285</v>
      </c>
      <c r="X302" s="108" t="str">
        <f>IF(X297="","",(X297-S299)/S299)</f>
        <v/>
      </c>
      <c r="Y302" s="125"/>
    </row>
    <row r="303" spans="1:32">
      <c r="A303" s="109">
        <v>31</v>
      </c>
      <c r="B303" s="512"/>
      <c r="C303" s="113"/>
      <c r="D303" s="113"/>
      <c r="E303" s="173" t="s">
        <v>286</v>
      </c>
      <c r="F303" s="113"/>
      <c r="G303" s="113"/>
      <c r="H303" s="113"/>
      <c r="I303" s="113"/>
      <c r="J303" s="113"/>
      <c r="K303" s="129" t="s">
        <v>287</v>
      </c>
      <c r="L303" s="543" t="str">
        <f>IF(X379="","",X379)</f>
        <v/>
      </c>
      <c r="M303" s="513"/>
      <c r="N303" s="113"/>
      <c r="O303" s="123"/>
      <c r="P303" s="173"/>
      <c r="Q303" s="173" t="s">
        <v>286</v>
      </c>
      <c r="R303" s="113"/>
      <c r="S303" s="113"/>
      <c r="T303" s="113"/>
      <c r="U303" s="113"/>
      <c r="V303" s="113"/>
      <c r="W303" s="129" t="s">
        <v>287</v>
      </c>
      <c r="X303" s="390" t="str">
        <f>IF(OR(X297="",Q299=""),"",3/(X297/Q299))</f>
        <v/>
      </c>
      <c r="Y303" s="125"/>
    </row>
    <row r="304" spans="1:32" ht="16.2" thickBot="1">
      <c r="A304" s="109">
        <v>32</v>
      </c>
      <c r="B304" s="520"/>
      <c r="C304" s="135"/>
      <c r="D304" s="135"/>
      <c r="E304" s="135"/>
      <c r="F304" s="135"/>
      <c r="G304" s="135"/>
      <c r="H304" s="135"/>
      <c r="I304" s="135"/>
      <c r="J304" s="135"/>
      <c r="K304" s="135"/>
      <c r="L304" s="135"/>
      <c r="M304" s="522"/>
      <c r="N304" s="113"/>
      <c r="O304" s="134"/>
      <c r="P304" s="395"/>
      <c r="Q304" s="395"/>
      <c r="R304" s="135"/>
      <c r="S304" s="135"/>
      <c r="T304" s="395"/>
      <c r="U304" s="395"/>
      <c r="V304" s="135"/>
      <c r="W304" s="396"/>
      <c r="X304" s="135"/>
      <c r="Y304" s="136"/>
    </row>
    <row r="305" spans="1:25">
      <c r="A305" s="109">
        <v>33</v>
      </c>
      <c r="B305" s="512"/>
      <c r="C305" s="165" t="str">
        <f>O381</f>
        <v>Mean Glandular Dose – Tomo biopsy</v>
      </c>
      <c r="D305" s="113"/>
      <c r="E305" s="113"/>
      <c r="F305" s="113"/>
      <c r="G305" s="113"/>
      <c r="H305" s="113"/>
      <c r="I305" s="113"/>
      <c r="J305" s="113"/>
      <c r="K305" s="113"/>
      <c r="L305" s="113"/>
      <c r="M305" s="513"/>
      <c r="N305" s="113"/>
      <c r="O305" s="241" t="s">
        <v>288</v>
      </c>
      <c r="P305" s="115"/>
      <c r="Q305" s="115"/>
      <c r="R305" s="115"/>
      <c r="S305" s="115"/>
      <c r="T305" s="115"/>
      <c r="U305" s="115"/>
      <c r="V305" s="115"/>
      <c r="W305" s="115"/>
      <c r="X305" s="115"/>
      <c r="Y305" s="116"/>
    </row>
    <row r="306" spans="1:25">
      <c r="A306" s="109">
        <v>34</v>
      </c>
      <c r="B306" s="512"/>
      <c r="C306" s="113"/>
      <c r="D306" s="129" t="s">
        <v>261</v>
      </c>
      <c r="E306" s="495">
        <f>IF(Q382="","",Q382)</f>
        <v>0</v>
      </c>
      <c r="F306" s="201"/>
      <c r="G306" s="129" t="s">
        <v>172</v>
      </c>
      <c r="H306" s="245" t="str">
        <f>IF(T382="","",T382)</f>
        <v/>
      </c>
      <c r="I306" s="113"/>
      <c r="J306" s="113"/>
      <c r="K306" s="113"/>
      <c r="L306" s="113"/>
      <c r="M306" s="513"/>
      <c r="N306" s="113"/>
      <c r="O306" s="123"/>
      <c r="P306" s="129" t="s">
        <v>261</v>
      </c>
      <c r="Q306" s="245">
        <f>$Q$291</f>
        <v>0</v>
      </c>
      <c r="R306" s="113"/>
      <c r="S306" s="129" t="s">
        <v>172</v>
      </c>
      <c r="T306" s="244"/>
      <c r="U306" s="113"/>
      <c r="V306" s="173"/>
      <c r="W306" s="173"/>
      <c r="X306" s="113"/>
      <c r="Y306" s="125"/>
    </row>
    <row r="307" spans="1:25">
      <c r="A307" s="109">
        <v>35</v>
      </c>
      <c r="B307" s="512"/>
      <c r="C307" s="113"/>
      <c r="D307" s="129" t="s">
        <v>264</v>
      </c>
      <c r="E307" s="489" t="str">
        <f>IF(Q383="","",Q383)</f>
        <v/>
      </c>
      <c r="F307" s="201"/>
      <c r="G307" s="129" t="s">
        <v>262</v>
      </c>
      <c r="H307" s="489" t="str">
        <f>IF(T383="","",T383)</f>
        <v/>
      </c>
      <c r="I307" s="113"/>
      <c r="J307" s="113"/>
      <c r="K307" s="113"/>
      <c r="L307" s="113"/>
      <c r="M307" s="513"/>
      <c r="N307" s="113"/>
      <c r="O307" s="123"/>
      <c r="P307" s="129" t="s">
        <v>264</v>
      </c>
      <c r="Q307" s="244"/>
      <c r="R307" s="113"/>
      <c r="S307" s="129" t="s">
        <v>262</v>
      </c>
      <c r="T307" s="244"/>
      <c r="U307" s="113"/>
      <c r="V307" s="113"/>
      <c r="W307" s="113"/>
      <c r="X307" s="113"/>
      <c r="Y307" s="125"/>
    </row>
    <row r="308" spans="1:25">
      <c r="A308" s="109">
        <v>36</v>
      </c>
      <c r="B308" s="512"/>
      <c r="C308" s="113"/>
      <c r="D308" s="113"/>
      <c r="E308" s="113"/>
      <c r="F308" s="113"/>
      <c r="G308" s="128" t="s">
        <v>230</v>
      </c>
      <c r="H308" s="113"/>
      <c r="I308" s="113" t="s">
        <v>267</v>
      </c>
      <c r="J308" s="113"/>
      <c r="K308" s="113"/>
      <c r="L308" s="113"/>
      <c r="M308" s="513"/>
      <c r="N308" s="113"/>
      <c r="O308" s="123"/>
      <c r="P308" s="113"/>
      <c r="Q308" s="113"/>
      <c r="R308" s="113"/>
      <c r="S308" s="128" t="s">
        <v>230</v>
      </c>
      <c r="T308" s="113"/>
      <c r="U308" s="113" t="s">
        <v>267</v>
      </c>
      <c r="V308" s="113"/>
      <c r="W308" s="113"/>
      <c r="X308" s="113"/>
      <c r="Y308" s="125"/>
    </row>
    <row r="309" spans="1:25" ht="16.2" thickBot="1">
      <c r="A309" s="109">
        <v>37</v>
      </c>
      <c r="B309" s="512"/>
      <c r="C309" s="113"/>
      <c r="D309" s="128"/>
      <c r="E309" s="128" t="s">
        <v>49</v>
      </c>
      <c r="F309" s="128" t="s">
        <v>235</v>
      </c>
      <c r="G309" s="128" t="s">
        <v>236</v>
      </c>
      <c r="H309" s="128" t="s">
        <v>270</v>
      </c>
      <c r="I309" s="128" t="s">
        <v>271</v>
      </c>
      <c r="J309" s="113"/>
      <c r="K309" s="129" t="s">
        <v>272</v>
      </c>
      <c r="L309" s="246" t="str">
        <f t="shared" ref="L309:L314" si="99">IF(X385="","",X385)</f>
        <v/>
      </c>
      <c r="M309" s="513"/>
      <c r="N309" s="113"/>
      <c r="O309" s="386"/>
      <c r="P309" s="113"/>
      <c r="Q309" s="128" t="s">
        <v>49</v>
      </c>
      <c r="R309" s="128" t="s">
        <v>235</v>
      </c>
      <c r="S309" s="128" t="s">
        <v>236</v>
      </c>
      <c r="T309" s="128" t="s">
        <v>270</v>
      </c>
      <c r="U309" s="128" t="s">
        <v>271</v>
      </c>
      <c r="V309" s="113"/>
      <c r="W309" s="129" t="s">
        <v>272</v>
      </c>
      <c r="X309" s="246" t="str">
        <f>IF(T306="","",T306*Tables!$I$121+Tables!$I$122)</f>
        <v/>
      </c>
      <c r="Y309" s="125"/>
    </row>
    <row r="310" spans="1:25">
      <c r="A310" s="109">
        <v>38</v>
      </c>
      <c r="B310" s="512"/>
      <c r="C310" s="113"/>
      <c r="D310" s="113"/>
      <c r="E310" s="384" t="str">
        <f t="shared" ref="E310:I315" si="100">IF(Q386="","",Q386)</f>
        <v/>
      </c>
      <c r="F310" s="160" t="str">
        <f t="shared" si="100"/>
        <v/>
      </c>
      <c r="G310" s="160" t="str">
        <f t="shared" si="100"/>
        <v/>
      </c>
      <c r="H310" s="385" t="str">
        <f t="shared" si="100"/>
        <v/>
      </c>
      <c r="I310" s="161" t="str">
        <f t="shared" si="100"/>
        <v/>
      </c>
      <c r="J310" s="113"/>
      <c r="K310" s="129" t="s">
        <v>275</v>
      </c>
      <c r="L310" s="247" t="str">
        <f t="shared" si="99"/>
        <v/>
      </c>
      <c r="M310" s="513"/>
      <c r="N310" s="113"/>
      <c r="O310" s="386"/>
      <c r="P310" s="113"/>
      <c r="Q310" s="242"/>
      <c r="R310" s="242"/>
      <c r="S310" s="242"/>
      <c r="T310" s="388" t="str">
        <f>IF(Q310="","",Q310/$T$307)</f>
        <v/>
      </c>
      <c r="U310" s="351" t="str">
        <f>IF(Q310="","",($T$306*Tables!$K$107+Tables!$K$108)*Q310)</f>
        <v/>
      </c>
      <c r="V310" s="113"/>
      <c r="W310" s="129" t="s">
        <v>275</v>
      </c>
      <c r="X310" s="246" t="str">
        <f>IF(U314="","",U314)</f>
        <v/>
      </c>
      <c r="Y310" s="125"/>
    </row>
    <row r="311" spans="1:25">
      <c r="A311" s="109">
        <v>39</v>
      </c>
      <c r="B311" s="512"/>
      <c r="C311" s="113"/>
      <c r="D311" s="113"/>
      <c r="E311" s="387" t="str">
        <f t="shared" si="100"/>
        <v/>
      </c>
      <c r="F311" s="169" t="str">
        <f t="shared" si="100"/>
        <v/>
      </c>
      <c r="G311" s="169" t="str">
        <f t="shared" si="100"/>
        <v/>
      </c>
      <c r="H311" s="388" t="str">
        <f t="shared" si="100"/>
        <v/>
      </c>
      <c r="I311" s="171" t="str">
        <f t="shared" si="100"/>
        <v/>
      </c>
      <c r="J311" s="113"/>
      <c r="K311" s="129" t="s">
        <v>277</v>
      </c>
      <c r="L311" s="389" t="str">
        <f t="shared" si="99"/>
        <v/>
      </c>
      <c r="M311" s="513"/>
      <c r="N311" s="113"/>
      <c r="O311" s="386"/>
      <c r="P311" s="113"/>
      <c r="Q311" s="242"/>
      <c r="R311" s="242"/>
      <c r="S311" s="242"/>
      <c r="T311" s="388" t="str">
        <f>IF(Q311="","",Q311/$T$307)</f>
        <v/>
      </c>
      <c r="U311" s="351" t="str">
        <f>IF(Q311="","",($T$306*Tables!$K$107+Tables!$K$108)*Q311)</f>
        <v/>
      </c>
      <c r="V311" s="113"/>
      <c r="W311" s="129" t="s">
        <v>277</v>
      </c>
      <c r="X311" s="390" t="str">
        <f>IF(Q307="","",HLOOKUP(Q307,Tables!A130:F131,2,FALSE))</f>
        <v/>
      </c>
      <c r="Y311" s="125"/>
    </row>
    <row r="312" spans="1:25">
      <c r="A312" s="109">
        <v>40</v>
      </c>
      <c r="B312" s="512"/>
      <c r="C312" s="113"/>
      <c r="D312" s="113"/>
      <c r="E312" s="387" t="str">
        <f t="shared" si="100"/>
        <v/>
      </c>
      <c r="F312" s="169" t="str">
        <f t="shared" si="100"/>
        <v/>
      </c>
      <c r="G312" s="169" t="str">
        <f t="shared" si="100"/>
        <v/>
      </c>
      <c r="H312" s="388" t="str">
        <f t="shared" si="100"/>
        <v/>
      </c>
      <c r="I312" s="171" t="str">
        <f t="shared" si="100"/>
        <v/>
      </c>
      <c r="J312" s="113"/>
      <c r="K312" s="129" t="s">
        <v>278</v>
      </c>
      <c r="L312" s="247" t="str">
        <f t="shared" si="99"/>
        <v/>
      </c>
      <c r="M312" s="513"/>
      <c r="N312" s="113"/>
      <c r="O312" s="386"/>
      <c r="P312" s="113"/>
      <c r="Q312" s="242"/>
      <c r="R312" s="242"/>
      <c r="S312" s="242"/>
      <c r="T312" s="388" t="str">
        <f>IF(Q312="","",Q312/$T$307)</f>
        <v/>
      </c>
      <c r="U312" s="351" t="str">
        <f>IF(Q312="","",($T$306*Tables!$K$107+Tables!$K$108)*Q312)</f>
        <v/>
      </c>
      <c r="V312" s="113"/>
      <c r="W312" s="129" t="s">
        <v>278</v>
      </c>
      <c r="X312" s="246" t="str">
        <f>IF($O$33=2,"NA",IF(OR(X310="",X311=""),"",(X311*(X310/8.76))/100))</f>
        <v/>
      </c>
      <c r="Y312" s="125"/>
    </row>
    <row r="313" spans="1:25" ht="16.2" thickBot="1">
      <c r="A313" s="109">
        <v>41</v>
      </c>
      <c r="B313" s="512"/>
      <c r="C313" s="113"/>
      <c r="D313" s="113"/>
      <c r="E313" s="391" t="str">
        <f t="shared" si="100"/>
        <v/>
      </c>
      <c r="F313" s="214" t="str">
        <f t="shared" si="100"/>
        <v/>
      </c>
      <c r="G313" s="214" t="str">
        <f t="shared" si="100"/>
        <v/>
      </c>
      <c r="H313" s="392" t="str">
        <f t="shared" si="100"/>
        <v/>
      </c>
      <c r="I313" s="215" t="str">
        <f t="shared" si="100"/>
        <v/>
      </c>
      <c r="J313" s="113"/>
      <c r="K313" s="129" t="s">
        <v>279</v>
      </c>
      <c r="L313" s="247" t="str">
        <f t="shared" si="99"/>
        <v/>
      </c>
      <c r="M313" s="513"/>
      <c r="N313" s="113"/>
      <c r="O313" s="386"/>
      <c r="P313" s="113"/>
      <c r="Q313" s="242"/>
      <c r="R313" s="242"/>
      <c r="S313" s="242"/>
      <c r="T313" s="388" t="str">
        <f>IF(Q313="","",Q313/$T$307)</f>
        <v/>
      </c>
      <c r="U313" s="351" t="str">
        <f>IF(Q313="","",($T$306*Tables!$K$107+Tables!$K$108)*Q313)</f>
        <v/>
      </c>
      <c r="V313" s="113"/>
      <c r="W313" s="129" t="s">
        <v>279</v>
      </c>
      <c r="X313" s="394" t="str">
        <f>IF(AB90="","",AB90)</f>
        <v/>
      </c>
      <c r="Y313" s="125"/>
    </row>
    <row r="314" spans="1:25">
      <c r="A314" s="109">
        <v>42</v>
      </c>
      <c r="B314" s="512"/>
      <c r="C314" s="113"/>
      <c r="D314" s="129" t="s">
        <v>243</v>
      </c>
      <c r="E314" s="387" t="str">
        <f t="shared" si="100"/>
        <v/>
      </c>
      <c r="F314" s="169" t="str">
        <f t="shared" si="100"/>
        <v/>
      </c>
      <c r="G314" s="351" t="str">
        <f t="shared" si="100"/>
        <v/>
      </c>
      <c r="H314" s="388" t="str">
        <f t="shared" si="100"/>
        <v/>
      </c>
      <c r="I314" s="171" t="str">
        <f t="shared" si="100"/>
        <v/>
      </c>
      <c r="J314" s="113"/>
      <c r="K314" s="129" t="s">
        <v>281</v>
      </c>
      <c r="L314" s="393" t="str">
        <f t="shared" si="99"/>
        <v/>
      </c>
      <c r="M314" s="513"/>
      <c r="N314" s="113"/>
      <c r="O314" s="386"/>
      <c r="P314" s="129" t="s">
        <v>243</v>
      </c>
      <c r="Q314" s="170" t="str">
        <f>IF(OR(Q310="",Q311="",Q312="",Q313=""),"",AVERAGE(Q310:Q313))</f>
        <v/>
      </c>
      <c r="R314" s="354" t="str">
        <f>IF(OR(R310="",R311="",R312="",R313=""),"",AVERAGE(R310:R313))</f>
        <v/>
      </c>
      <c r="S314" s="351" t="str">
        <f>IF(OR(S310="",S311="",S312="",S313=""),"",AVERAGE(S310:S313))</f>
        <v/>
      </c>
      <c r="T314" s="388" t="str">
        <f>IF(OR(T310="",T311="",T312="",T313=""),"",AVERAGE(T310:T313))</f>
        <v/>
      </c>
      <c r="U314" s="351" t="str">
        <f>IF(OR(U310="",U311="",U312="",U313=""),"",AVERAGE(U310:U313))</f>
        <v/>
      </c>
      <c r="V314" s="113"/>
      <c r="W314" s="129" t="s">
        <v>281</v>
      </c>
      <c r="X314" s="108" t="str">
        <f>IF(OR(X312="",X312="NA",X313="",X313="NA"),"",(X312-X313)/X313)</f>
        <v/>
      </c>
      <c r="Y314" s="125"/>
    </row>
    <row r="315" spans="1:25" ht="16.2" thickBot="1">
      <c r="A315" s="109">
        <v>43</v>
      </c>
      <c r="B315" s="512"/>
      <c r="C315" s="113"/>
      <c r="D315" s="129" t="s">
        <v>283</v>
      </c>
      <c r="E315" s="316" t="str">
        <f t="shared" si="100"/>
        <v/>
      </c>
      <c r="F315" s="317" t="str">
        <f t="shared" si="100"/>
        <v/>
      </c>
      <c r="G315" s="317" t="str">
        <f t="shared" si="100"/>
        <v/>
      </c>
      <c r="H315" s="317" t="str">
        <f t="shared" si="100"/>
        <v/>
      </c>
      <c r="I315" s="319" t="str">
        <f t="shared" si="100"/>
        <v/>
      </c>
      <c r="J315" s="113"/>
      <c r="K315" s="113"/>
      <c r="L315" s="113"/>
      <c r="M315" s="513"/>
      <c r="N315" s="113"/>
      <c r="O315" s="386"/>
      <c r="P315" s="129" t="s">
        <v>283</v>
      </c>
      <c r="Q315" s="302" t="str">
        <f>IF(Q314="","",STDEV(Q310:Q313)/Q314)</f>
        <v/>
      </c>
      <c r="R315" s="302" t="str">
        <f>IF(R314="","",STDEV(R310:R313)/R314)</f>
        <v/>
      </c>
      <c r="S315" s="302" t="str">
        <f>IF(S314="","",STDEV(S310:S313)/S314)</f>
        <v/>
      </c>
      <c r="T315" s="302" t="str">
        <f>IF(T314="","",STDEV(T310:T313)/T314)</f>
        <v/>
      </c>
      <c r="U315" s="302" t="str">
        <f>IF(U314="","",STDEV(U310:U313)/U314)</f>
        <v/>
      </c>
      <c r="V315" s="113"/>
      <c r="W315" s="173"/>
      <c r="X315" s="173"/>
      <c r="Y315" s="125"/>
    </row>
    <row r="316" spans="1:25">
      <c r="A316" s="109">
        <v>44</v>
      </c>
      <c r="B316" s="512"/>
      <c r="C316" s="113"/>
      <c r="D316" s="208" t="s">
        <v>158</v>
      </c>
      <c r="E316" s="173" t="s">
        <v>284</v>
      </c>
      <c r="F316" s="113"/>
      <c r="G316" s="113"/>
      <c r="H316" s="113"/>
      <c r="I316" s="113"/>
      <c r="J316" s="113"/>
      <c r="K316" s="129" t="s">
        <v>285</v>
      </c>
      <c r="L316" s="108" t="str">
        <f>IF(X393="","",X393)</f>
        <v/>
      </c>
      <c r="M316" s="513"/>
      <c r="N316" s="113"/>
      <c r="O316" s="123"/>
      <c r="P316" s="173"/>
      <c r="Q316" s="173"/>
      <c r="R316" s="173"/>
      <c r="S316" s="173"/>
      <c r="T316" s="173"/>
      <c r="U316" s="173"/>
      <c r="V316" s="113"/>
      <c r="W316" s="113"/>
      <c r="X316" s="113"/>
      <c r="Y316" s="125"/>
    </row>
    <row r="317" spans="1:25">
      <c r="A317" s="109">
        <v>45</v>
      </c>
      <c r="B317" s="512"/>
      <c r="C317" s="113"/>
      <c r="D317" s="113"/>
      <c r="E317" s="173" t="s">
        <v>286</v>
      </c>
      <c r="F317" s="113"/>
      <c r="G317" s="113"/>
      <c r="H317" s="113"/>
      <c r="I317" s="113"/>
      <c r="J317" s="113"/>
      <c r="K317" s="129" t="s">
        <v>287</v>
      </c>
      <c r="L317" s="390" t="str">
        <f>IF(X394="","",X394)</f>
        <v/>
      </c>
      <c r="M317" s="513"/>
      <c r="N317" s="113"/>
      <c r="O317" s="123"/>
      <c r="P317" s="537" t="s">
        <v>158</v>
      </c>
      <c r="Q317" s="173" t="s">
        <v>284</v>
      </c>
      <c r="R317" s="113"/>
      <c r="S317" s="113"/>
      <c r="T317" s="113"/>
      <c r="U317" s="113"/>
      <c r="V317" s="113"/>
      <c r="W317" s="129" t="s">
        <v>285</v>
      </c>
      <c r="X317" s="108" t="str">
        <f>IF(OR(X312="NA",X312=""),"",(X312-S314)/S314)</f>
        <v/>
      </c>
      <c r="Y317" s="125"/>
    </row>
    <row r="318" spans="1:25" ht="16.2" thickBot="1">
      <c r="A318" s="109">
        <v>46</v>
      </c>
      <c r="B318" s="520"/>
      <c r="C318" s="135"/>
      <c r="D318" s="135"/>
      <c r="E318" s="135"/>
      <c r="F318" s="135"/>
      <c r="G318" s="135"/>
      <c r="H318" s="135"/>
      <c r="I318" s="135"/>
      <c r="J318" s="135"/>
      <c r="K318" s="135"/>
      <c r="L318" s="135"/>
      <c r="M318" s="522"/>
      <c r="N318" s="113"/>
      <c r="O318" s="123"/>
      <c r="P318" s="173"/>
      <c r="Q318" s="173" t="s">
        <v>286</v>
      </c>
      <c r="R318" s="113"/>
      <c r="S318" s="113"/>
      <c r="T318" s="113"/>
      <c r="U318" s="113"/>
      <c r="V318" s="113"/>
      <c r="W318" s="129" t="s">
        <v>287</v>
      </c>
      <c r="X318" s="390" t="str">
        <f>IF(OR(X312="",Q314=""),"",3/(X312/Q314))</f>
        <v/>
      </c>
      <c r="Y318" s="125"/>
    </row>
    <row r="319" spans="1:25">
      <c r="A319" s="109">
        <v>47</v>
      </c>
      <c r="B319" s="512"/>
      <c r="C319" s="510" t="s">
        <v>698</v>
      </c>
      <c r="M319" s="513"/>
      <c r="N319" s="113"/>
      <c r="O319" s="123"/>
      <c r="P319" s="201"/>
      <c r="Q319" s="201" t="s">
        <v>289</v>
      </c>
      <c r="R319" s="201"/>
      <c r="S319" s="201"/>
      <c r="T319" s="201"/>
      <c r="U319" s="201"/>
      <c r="V319" s="201"/>
      <c r="W319" s="201"/>
      <c r="X319" s="201"/>
      <c r="Y319" s="125"/>
    </row>
    <row r="320" spans="1:25">
      <c r="A320" s="109">
        <v>48</v>
      </c>
      <c r="B320" s="512"/>
      <c r="C320" s="173"/>
      <c r="D320" s="654" t="s">
        <v>256</v>
      </c>
      <c r="E320" s="654"/>
      <c r="M320" s="513"/>
      <c r="N320" s="113"/>
      <c r="O320" s="123"/>
      <c r="P320" s="201"/>
      <c r="Q320" s="201"/>
      <c r="R320" s="201"/>
      <c r="S320" s="201"/>
      <c r="T320" s="201"/>
      <c r="U320" s="201"/>
      <c r="V320" s="201"/>
      <c r="W320" s="129"/>
      <c r="X320" s="397"/>
      <c r="Y320" s="125"/>
    </row>
    <row r="321" spans="1:25" ht="16.2" thickBot="1">
      <c r="A321" s="109">
        <v>49</v>
      </c>
      <c r="B321" s="512"/>
      <c r="C321" s="113"/>
      <c r="D321" s="128" t="s">
        <v>699</v>
      </c>
      <c r="E321" s="128" t="s">
        <v>700</v>
      </c>
      <c r="M321" s="513"/>
      <c r="N321" s="113"/>
      <c r="O321" s="134"/>
      <c r="P321" s="395"/>
      <c r="Q321" s="395"/>
      <c r="R321" s="135"/>
      <c r="S321" s="135"/>
      <c r="T321" s="395"/>
      <c r="U321" s="395"/>
      <c r="V321" s="135"/>
      <c r="W321" s="201"/>
      <c r="X321" s="201"/>
      <c r="Y321" s="136"/>
    </row>
    <row r="322" spans="1:25">
      <c r="A322" s="109">
        <v>50</v>
      </c>
      <c r="B322" s="512"/>
      <c r="C322" s="129" t="s">
        <v>172</v>
      </c>
      <c r="D322" s="159" t="str">
        <f t="shared" ref="D322:D327" si="101">IF(V520="","",V520)</f>
        <v/>
      </c>
      <c r="E322" s="367" t="str">
        <f t="shared" ref="E322:E327" si="102">IF(X520="","",X520)</f>
        <v/>
      </c>
      <c r="M322" s="513"/>
      <c r="N322" s="113"/>
      <c r="O322" s="241" t="s">
        <v>290</v>
      </c>
      <c r="P322" s="398"/>
      <c r="Q322" s="398"/>
      <c r="R322" s="398"/>
      <c r="S322" s="398"/>
      <c r="T322" s="398"/>
      <c r="U322" s="398"/>
      <c r="V322" s="398"/>
      <c r="W322" s="398"/>
      <c r="X322" s="398"/>
      <c r="Y322" s="399"/>
    </row>
    <row r="323" spans="1:25">
      <c r="A323" s="109">
        <v>51</v>
      </c>
      <c r="B323" s="512"/>
      <c r="C323" s="129" t="s">
        <v>262</v>
      </c>
      <c r="D323" s="168" t="str">
        <f t="shared" si="101"/>
        <v/>
      </c>
      <c r="E323" s="352" t="str">
        <f t="shared" si="102"/>
        <v/>
      </c>
      <c r="M323" s="513"/>
      <c r="N323" s="113"/>
      <c r="O323" s="300"/>
      <c r="P323" s="129" t="s">
        <v>261</v>
      </c>
      <c r="Q323" s="245">
        <f>$Q$291</f>
        <v>0</v>
      </c>
      <c r="R323" s="201"/>
      <c r="S323" s="201"/>
      <c r="T323" s="201"/>
      <c r="U323" s="201"/>
      <c r="V323" s="201"/>
      <c r="W323" s="201"/>
      <c r="X323" s="201"/>
      <c r="Y323" s="281"/>
    </row>
    <row r="324" spans="1:25">
      <c r="A324" s="109">
        <v>52</v>
      </c>
      <c r="B324" s="512"/>
      <c r="C324" s="129" t="s">
        <v>174</v>
      </c>
      <c r="D324" s="168" t="str">
        <f t="shared" si="101"/>
        <v/>
      </c>
      <c r="E324" s="352" t="str">
        <f t="shared" si="102"/>
        <v/>
      </c>
      <c r="M324" s="513"/>
      <c r="N324" s="113"/>
      <c r="O324" s="300"/>
      <c r="P324" s="201"/>
      <c r="Q324" s="201"/>
      <c r="R324" s="201"/>
      <c r="S324" s="201"/>
      <c r="T324" s="201"/>
      <c r="U324" s="201"/>
      <c r="V324" s="201"/>
      <c r="W324" s="201"/>
      <c r="X324" s="201"/>
      <c r="Y324" s="281"/>
    </row>
    <row r="325" spans="1:25">
      <c r="A325" s="109">
        <v>53</v>
      </c>
      <c r="B325" s="512"/>
      <c r="C325" s="129" t="s">
        <v>266</v>
      </c>
      <c r="D325" s="168" t="str">
        <f t="shared" si="101"/>
        <v/>
      </c>
      <c r="E325" s="352" t="str">
        <f t="shared" si="102"/>
        <v/>
      </c>
      <c r="M325" s="513"/>
      <c r="N325" s="113"/>
      <c r="O325" s="123" t="s">
        <v>291</v>
      </c>
      <c r="P325" s="201"/>
      <c r="Q325" s="201"/>
      <c r="R325" s="201"/>
      <c r="S325" s="201"/>
      <c r="T325" s="201"/>
      <c r="U325" s="201"/>
      <c r="V325" s="201"/>
      <c r="W325" s="201"/>
      <c r="X325" s="201"/>
      <c r="Y325" s="281"/>
    </row>
    <row r="326" spans="1:25">
      <c r="A326" s="109">
        <v>54</v>
      </c>
      <c r="B326" s="512"/>
      <c r="C326" s="129" t="s">
        <v>269</v>
      </c>
      <c r="D326" s="168" t="str">
        <f t="shared" si="101"/>
        <v/>
      </c>
      <c r="E326" s="352" t="str">
        <f t="shared" si="102"/>
        <v/>
      </c>
      <c r="M326" s="513"/>
      <c r="N326" s="113"/>
      <c r="O326" s="300"/>
      <c r="P326" s="129" t="s">
        <v>264</v>
      </c>
      <c r="Q326" s="245" t="str">
        <f>IF(Q292="","",Q292)</f>
        <v/>
      </c>
      <c r="R326" s="201"/>
      <c r="S326" s="129" t="s">
        <v>172</v>
      </c>
      <c r="T326" s="245" t="str">
        <f>IF(T291="","",T291)</f>
        <v/>
      </c>
      <c r="U326" s="201"/>
      <c r="V326" s="201"/>
      <c r="W326" s="201"/>
      <c r="X326" s="201"/>
      <c r="Y326" s="281"/>
    </row>
    <row r="327" spans="1:25" ht="16.2" thickBot="1">
      <c r="A327" s="109">
        <v>55</v>
      </c>
      <c r="B327" s="512"/>
      <c r="C327" s="129" t="s">
        <v>274</v>
      </c>
      <c r="D327" s="213" t="str">
        <f t="shared" si="101"/>
        <v/>
      </c>
      <c r="E327" s="363" t="str">
        <f t="shared" si="102"/>
        <v/>
      </c>
      <c r="M327" s="513"/>
      <c r="N327" s="113"/>
      <c r="O327" s="300"/>
      <c r="P327" s="201"/>
      <c r="Q327" s="201"/>
      <c r="R327" s="201"/>
      <c r="S327" s="129" t="s">
        <v>262</v>
      </c>
      <c r="T327" s="245" t="str">
        <f>IF(T292="","",T292)</f>
        <v/>
      </c>
      <c r="U327" s="201"/>
      <c r="V327" s="201"/>
      <c r="W327" s="201"/>
      <c r="X327" s="201"/>
      <c r="Y327" s="281"/>
    </row>
    <row r="328" spans="1:25">
      <c r="A328" s="109">
        <v>56</v>
      </c>
      <c r="B328" s="512"/>
      <c r="C328" s="208" t="s">
        <v>158</v>
      </c>
      <c r="D328" s="120" t="str">
        <f>Q528</f>
        <v>SBB Stereo - Must be able to see 5 fibers, 4 speck groups, 3.5 masses</v>
      </c>
      <c r="E328" s="113"/>
      <c r="M328" s="513"/>
      <c r="N328" s="113"/>
      <c r="O328" s="300"/>
      <c r="P328" s="201"/>
      <c r="Q328" s="113"/>
      <c r="R328" s="113"/>
      <c r="S328" s="128" t="s">
        <v>230</v>
      </c>
      <c r="T328" s="113"/>
      <c r="U328" s="113" t="s">
        <v>267</v>
      </c>
      <c r="V328" s="201"/>
      <c r="W328" s="201"/>
      <c r="X328" s="201"/>
      <c r="Y328" s="281"/>
    </row>
    <row r="329" spans="1:25">
      <c r="A329" s="109">
        <v>57</v>
      </c>
      <c r="B329" s="512"/>
      <c r="D329" s="120" t="str">
        <f>Q529</f>
        <v>SBB Tomo - Must be able to see 3 fibers, 3 speck groups, 2.5 masses</v>
      </c>
      <c r="E329" s="113"/>
      <c r="M329" s="513"/>
      <c r="N329" s="113"/>
      <c r="O329" s="300"/>
      <c r="P329" s="201"/>
      <c r="Q329" s="128" t="s">
        <v>49</v>
      </c>
      <c r="R329" s="128" t="s">
        <v>235</v>
      </c>
      <c r="S329" s="128" t="s">
        <v>236</v>
      </c>
      <c r="T329" s="128" t="s">
        <v>270</v>
      </c>
      <c r="U329" s="128" t="s">
        <v>271</v>
      </c>
      <c r="V329" s="201"/>
      <c r="W329" s="129" t="s">
        <v>272</v>
      </c>
      <c r="X329" s="246" t="str">
        <f>IF(T326="","",T326*Tables!$C$121+Tables!$C$122)</f>
        <v/>
      </c>
      <c r="Y329" s="281"/>
    </row>
    <row r="330" spans="1:25">
      <c r="A330" s="109">
        <v>58</v>
      </c>
      <c r="B330" s="512"/>
      <c r="D330" s="377"/>
      <c r="E330" s="201"/>
      <c r="M330" s="513"/>
      <c r="N330" s="113"/>
      <c r="O330" s="300"/>
      <c r="P330" s="201"/>
      <c r="Q330" s="242"/>
      <c r="R330" s="242"/>
      <c r="S330" s="242"/>
      <c r="T330" s="388" t="str">
        <f>IF(Q330="","",Q330/$T$327)</f>
        <v/>
      </c>
      <c r="U330" s="351" t="str">
        <f>IF(Q330="","",($T$326*Tables!$C$107+Tables!$C$108)*Q330)</f>
        <v/>
      </c>
      <c r="V330" s="201"/>
      <c r="W330" s="129" t="s">
        <v>275</v>
      </c>
      <c r="X330" s="246" t="str">
        <f>IF(U334="","",U334)</f>
        <v/>
      </c>
      <c r="Y330" s="281"/>
    </row>
    <row r="331" spans="1:25">
      <c r="A331" s="109">
        <v>59</v>
      </c>
      <c r="B331" s="512"/>
      <c r="M331" s="513"/>
      <c r="N331" s="113"/>
      <c r="O331" s="300"/>
      <c r="P331" s="201"/>
      <c r="Q331" s="242"/>
      <c r="R331" s="242"/>
      <c r="S331" s="242"/>
      <c r="T331" s="388" t="str">
        <f>IF(Q331="","",Q331/$T$327)</f>
        <v/>
      </c>
      <c r="U331" s="351" t="str">
        <f>IF(Q331="","",($T$326*Tables!$C$107+Tables!$C$108)*Q331)</f>
        <v/>
      </c>
      <c r="V331" s="201"/>
      <c r="W331" s="129" t="s">
        <v>277</v>
      </c>
      <c r="X331" s="390" t="str">
        <f>IF(Q326="","",HLOOKUP(Q326,Tables!G130:I131,2,FALSE))</f>
        <v/>
      </c>
      <c r="Y331" s="281"/>
    </row>
    <row r="332" spans="1:25">
      <c r="A332" s="109">
        <v>60</v>
      </c>
      <c r="B332" s="512"/>
      <c r="M332" s="513"/>
      <c r="N332" s="113"/>
      <c r="O332" s="300"/>
      <c r="P332" s="201"/>
      <c r="Q332" s="242"/>
      <c r="R332" s="242"/>
      <c r="S332" s="242"/>
      <c r="T332" s="388" t="str">
        <f>IF(Q332="","",Q332/$T$327)</f>
        <v/>
      </c>
      <c r="U332" s="351" t="str">
        <f>IF(Q332="","",($T$326*Tables!$C$107+Tables!$C$108)*Q332)</f>
        <v/>
      </c>
      <c r="V332" s="201"/>
      <c r="W332" s="129" t="s">
        <v>278</v>
      </c>
      <c r="X332" s="246" t="str">
        <f>IF($O$33=2,"NA",IF(OR(X330="",X331=""),"",(X331*(X330/8.76))/100))</f>
        <v/>
      </c>
      <c r="Y332" s="281"/>
    </row>
    <row r="333" spans="1:25">
      <c r="A333" s="109">
        <v>61</v>
      </c>
      <c r="B333" s="512"/>
      <c r="M333" s="513"/>
      <c r="N333" s="113"/>
      <c r="O333" s="300"/>
      <c r="P333" s="201"/>
      <c r="Q333" s="242"/>
      <c r="R333" s="242"/>
      <c r="S333" s="242"/>
      <c r="T333" s="388" t="str">
        <f>IF(Q333="","",Q333/$T$327)</f>
        <v/>
      </c>
      <c r="U333" s="351" t="str">
        <f>IF(Q333="","",($T$326*Tables!$C$107+Tables!$C$108)*Q333)</f>
        <v/>
      </c>
      <c r="V333" s="201"/>
      <c r="W333" s="129" t="s">
        <v>279</v>
      </c>
      <c r="X333" s="394" t="str">
        <f>IF(AB91="","",AB91)</f>
        <v/>
      </c>
      <c r="Y333" s="281"/>
    </row>
    <row r="334" spans="1:25">
      <c r="A334" s="109">
        <v>62</v>
      </c>
      <c r="B334" s="512"/>
      <c r="M334" s="513"/>
      <c r="N334" s="113"/>
      <c r="O334" s="300"/>
      <c r="P334" s="129" t="s">
        <v>243</v>
      </c>
      <c r="Q334" s="170" t="str">
        <f>IF(OR(Q330="",Q331="",Q332="",Q333=""),"",AVERAGE(Q330:Q333))</f>
        <v/>
      </c>
      <c r="R334" s="354" t="str">
        <f>IF(OR(R330="",R331="",R332="",R333=""),"",AVERAGE(R330:R333))</f>
        <v/>
      </c>
      <c r="S334" s="351" t="str">
        <f>IF(OR(S330="",S331="",S332="",S333=""),"",AVERAGE(S330:S333))</f>
        <v/>
      </c>
      <c r="T334" s="388" t="str">
        <f>IF(OR(T330="",T331="",T332="",T333=""),"",AVERAGE(T330:T333))</f>
        <v/>
      </c>
      <c r="U334" s="351" t="str">
        <f>IF(OR(U330="",U331="",U332="",U333=""),"",AVERAGE(U330:U333))</f>
        <v/>
      </c>
      <c r="V334" s="201"/>
      <c r="W334" s="129" t="s">
        <v>281</v>
      </c>
      <c r="X334" s="108" t="str">
        <f>IF(OR(X332="",X332="NA",X333="",X333="NA"),"",(X332-X333)/X333)</f>
        <v/>
      </c>
      <c r="Y334" s="281"/>
    </row>
    <row r="335" spans="1:25">
      <c r="A335" s="109">
        <v>63</v>
      </c>
      <c r="B335" s="512"/>
      <c r="M335" s="513"/>
      <c r="N335" s="113"/>
      <c r="O335" s="300"/>
      <c r="P335" s="129" t="s">
        <v>283</v>
      </c>
      <c r="Q335" s="302" t="str">
        <f>IF(Q334="","",STDEV(Q330:Q333)/Q334)</f>
        <v/>
      </c>
      <c r="R335" s="302" t="str">
        <f>IF(R334="","",STDEV(R330:R333)/R334)</f>
        <v/>
      </c>
      <c r="S335" s="302" t="str">
        <f>IF(S334="","",STDEV(S330:S333)/S334)</f>
        <v/>
      </c>
      <c r="T335" s="302" t="str">
        <f>IF(T334="","",STDEV(T330:T333)/T334)</f>
        <v/>
      </c>
      <c r="U335" s="302" t="str">
        <f>IF(U334="","",STDEV(U330:U333)/U334)</f>
        <v/>
      </c>
      <c r="V335" s="201"/>
      <c r="W335" s="201"/>
      <c r="X335" s="201"/>
      <c r="Y335" s="281"/>
    </row>
    <row r="336" spans="1:25">
      <c r="A336" s="109">
        <v>64</v>
      </c>
      <c r="B336" s="512"/>
      <c r="M336" s="513"/>
      <c r="N336" s="113"/>
      <c r="O336" s="300"/>
      <c r="P336" s="201"/>
      <c r="Q336" s="201"/>
      <c r="R336" s="201"/>
      <c r="S336" s="201"/>
      <c r="T336" s="201"/>
      <c r="U336" s="201"/>
      <c r="V336" s="201"/>
      <c r="W336" s="129" t="s">
        <v>285</v>
      </c>
      <c r="X336" s="108" t="str">
        <f>IF(OR(X332="",X332="NA"),"",(X332-S334)/S334)</f>
        <v/>
      </c>
      <c r="Y336" s="281"/>
    </row>
    <row r="337" spans="1:25">
      <c r="A337" s="109">
        <v>65</v>
      </c>
      <c r="B337" s="512"/>
      <c r="M337" s="513"/>
      <c r="N337" s="113"/>
      <c r="O337" s="404" t="s">
        <v>292</v>
      </c>
      <c r="P337" s="201"/>
      <c r="Q337" s="201"/>
      <c r="R337" s="201"/>
      <c r="S337" s="201"/>
      <c r="T337" s="201"/>
      <c r="U337" s="201"/>
      <c r="V337" s="201"/>
      <c r="W337" s="201"/>
      <c r="X337" s="201"/>
      <c r="Y337" s="281"/>
    </row>
    <row r="338" spans="1:25" ht="16.2" thickBot="1">
      <c r="A338" s="109">
        <v>66</v>
      </c>
      <c r="B338" s="514"/>
      <c r="C338" s="515"/>
      <c r="D338" s="515"/>
      <c r="E338" s="515"/>
      <c r="F338" s="515"/>
      <c r="G338" s="515"/>
      <c r="H338" s="515"/>
      <c r="I338" s="515"/>
      <c r="J338" s="515"/>
      <c r="K338" s="515"/>
      <c r="L338" s="515"/>
      <c r="M338" s="516"/>
      <c r="N338" s="113"/>
      <c r="O338" s="300"/>
      <c r="P338" s="129" t="s">
        <v>264</v>
      </c>
      <c r="Q338" s="245" t="str">
        <f>IF(Q307="","",Q307)</f>
        <v/>
      </c>
      <c r="R338" s="201"/>
      <c r="S338" s="129" t="s">
        <v>172</v>
      </c>
      <c r="T338" s="245" t="str">
        <f>IF(T306="","",T306)</f>
        <v/>
      </c>
      <c r="U338" s="201"/>
      <c r="V338" s="201"/>
      <c r="W338" s="201"/>
      <c r="X338" s="201"/>
      <c r="Y338" s="281"/>
    </row>
    <row r="339" spans="1:25" ht="16.2" thickTop="1">
      <c r="A339" s="109">
        <v>67</v>
      </c>
      <c r="B339" s="113"/>
      <c r="C339" s="203" t="s">
        <v>3</v>
      </c>
      <c r="D339" s="479" t="str">
        <f>IF($P$7="","",$P$7)</f>
        <v/>
      </c>
      <c r="E339" s="120"/>
      <c r="F339" s="120"/>
      <c r="G339" s="120"/>
      <c r="H339" s="120"/>
      <c r="I339" s="120"/>
      <c r="J339" s="120"/>
      <c r="K339" s="120"/>
      <c r="L339" s="203" t="s">
        <v>4</v>
      </c>
      <c r="M339" s="205" t="str">
        <f>IF($X$7="","",$X$7)</f>
        <v>Eugene Mah</v>
      </c>
      <c r="N339" s="113"/>
      <c r="O339" s="300"/>
      <c r="P339" s="201"/>
      <c r="Q339" s="201"/>
      <c r="R339" s="201"/>
      <c r="S339" s="129" t="s">
        <v>262</v>
      </c>
      <c r="T339" s="245" t="str">
        <f>IF(T307="","",T307)</f>
        <v/>
      </c>
      <c r="U339" s="201"/>
      <c r="V339" s="201"/>
      <c r="W339" s="201"/>
      <c r="X339" s="201"/>
      <c r="Y339" s="281"/>
    </row>
    <row r="340" spans="1:25">
      <c r="A340" s="109">
        <v>68</v>
      </c>
      <c r="B340" s="113"/>
      <c r="C340" s="203" t="s">
        <v>86</v>
      </c>
      <c r="D340" s="206" t="str">
        <f>IF($R$14="","",$R$14)</f>
        <v/>
      </c>
      <c r="E340" s="120"/>
      <c r="F340" s="120"/>
      <c r="G340" s="120"/>
      <c r="H340" s="120"/>
      <c r="I340" s="120"/>
      <c r="J340" s="120"/>
      <c r="K340" s="120"/>
      <c r="L340" s="203" t="s">
        <v>16</v>
      </c>
      <c r="M340" s="205" t="str">
        <f>IF($R$13="","",$R$13)</f>
        <v/>
      </c>
      <c r="N340" s="113"/>
      <c r="O340" s="300"/>
      <c r="P340" s="201"/>
      <c r="Q340" s="113"/>
      <c r="R340" s="113"/>
      <c r="S340" s="128" t="s">
        <v>230</v>
      </c>
      <c r="T340" s="113"/>
      <c r="U340" s="113" t="s">
        <v>267</v>
      </c>
      <c r="V340" s="201"/>
      <c r="W340" s="201"/>
      <c r="X340" s="201"/>
      <c r="Y340" s="281"/>
    </row>
    <row r="341" spans="1:25" ht="16.2">
      <c r="A341" s="109">
        <v>1</v>
      </c>
      <c r="B341" s="113"/>
      <c r="C341" s="113"/>
      <c r="D341" s="113"/>
      <c r="E341" s="113"/>
      <c r="F341" s="113"/>
      <c r="G341" s="113"/>
      <c r="H341" s="113"/>
      <c r="I341" s="113"/>
      <c r="J341" s="113"/>
      <c r="K341" s="113"/>
      <c r="L341" s="113"/>
      <c r="M341" s="207" t="str">
        <f>$H$2</f>
        <v>Medical University of South Carolina</v>
      </c>
      <c r="N341" s="113"/>
      <c r="O341" s="300"/>
      <c r="P341" s="201"/>
      <c r="Q341" s="128" t="s">
        <v>49</v>
      </c>
      <c r="R341" s="128" t="s">
        <v>235</v>
      </c>
      <c r="S341" s="128" t="s">
        <v>236</v>
      </c>
      <c r="T341" s="128" t="s">
        <v>270</v>
      </c>
      <c r="U341" s="128" t="s">
        <v>271</v>
      </c>
      <c r="V341" s="201"/>
      <c r="W341" s="129" t="s">
        <v>272</v>
      </c>
      <c r="X341" s="246" t="str">
        <f>IF(T338="","",T338*Tables!$I$121+Tables!$I$122)</f>
        <v/>
      </c>
      <c r="Y341" s="281"/>
    </row>
    <row r="342" spans="1:25" ht="18" thickBot="1">
      <c r="A342" s="109">
        <v>2</v>
      </c>
      <c r="B342" s="113"/>
      <c r="C342" s="113"/>
      <c r="D342" s="113"/>
      <c r="E342" s="113"/>
      <c r="F342" s="113"/>
      <c r="G342" s="113"/>
      <c r="H342" s="144" t="s">
        <v>50</v>
      </c>
      <c r="I342" s="113"/>
      <c r="J342" s="113"/>
      <c r="K342" s="113"/>
      <c r="L342" s="113"/>
      <c r="M342" s="208" t="str">
        <f>$H$5</f>
        <v>Mammography System Compliance Inspection</v>
      </c>
      <c r="N342" s="113"/>
      <c r="O342" s="300"/>
      <c r="P342" s="201"/>
      <c r="Q342" s="242"/>
      <c r="R342" s="242"/>
      <c r="S342" s="242"/>
      <c r="T342" s="388" t="str">
        <f>IF(Q342="","",Q342/$T$339)</f>
        <v/>
      </c>
      <c r="U342" s="351" t="str">
        <f>IF(Q342="","",($T$338*Tables!$K$107+Tables!$K$108)*Q342)</f>
        <v/>
      </c>
      <c r="V342" s="201"/>
      <c r="W342" s="129" t="s">
        <v>275</v>
      </c>
      <c r="X342" s="246" t="str">
        <f>IF(U346="","",U346)</f>
        <v/>
      </c>
      <c r="Y342" s="281"/>
    </row>
    <row r="343" spans="1:25" ht="16.2" thickTop="1">
      <c r="A343" s="109">
        <v>3</v>
      </c>
      <c r="B343" s="148"/>
      <c r="C343" s="150" t="str">
        <f>O290</f>
        <v>Mean Glandular Dose – 2D</v>
      </c>
      <c r="D343" s="149"/>
      <c r="E343" s="149"/>
      <c r="F343" s="149"/>
      <c r="G343" s="149"/>
      <c r="H343" s="149"/>
      <c r="I343" s="149"/>
      <c r="J343" s="149"/>
      <c r="K343" s="149"/>
      <c r="L343" s="149"/>
      <c r="M343" s="151"/>
      <c r="N343" s="113"/>
      <c r="O343" s="300"/>
      <c r="P343" s="201"/>
      <c r="Q343" s="242"/>
      <c r="R343" s="242"/>
      <c r="S343" s="242"/>
      <c r="T343" s="388" t="str">
        <f>IF(Q343="","",Q343/$T$339)</f>
        <v/>
      </c>
      <c r="U343" s="351" t="str">
        <f>IF(Q343="","",($T$338*Tables!$K$107+Tables!$K$108)*Q343)</f>
        <v/>
      </c>
      <c r="V343" s="201"/>
      <c r="W343" s="129" t="s">
        <v>277</v>
      </c>
      <c r="X343" s="390" t="str">
        <f>IF(Q338="","",HLOOKUP(Q338,Tables!G130:I131,2,FALSE))</f>
        <v/>
      </c>
      <c r="Y343" s="281"/>
    </row>
    <row r="344" spans="1:25">
      <c r="A344" s="109">
        <v>4</v>
      </c>
      <c r="B344" s="157"/>
      <c r="C344" s="113"/>
      <c r="D344" s="129" t="s">
        <v>261</v>
      </c>
      <c r="E344" s="495" t="str">
        <f>IF(Q291="","",Q291)</f>
        <v/>
      </c>
      <c r="F344" s="201"/>
      <c r="G344" s="129" t="s">
        <v>172</v>
      </c>
      <c r="H344" s="245" t="str">
        <f>IF(T291="","",T291)</f>
        <v/>
      </c>
      <c r="I344" s="113"/>
      <c r="J344" s="113"/>
      <c r="K344" s="113"/>
      <c r="L344" s="113"/>
      <c r="M344" s="158"/>
      <c r="N344" s="113"/>
      <c r="O344" s="300"/>
      <c r="P344" s="201"/>
      <c r="Q344" s="242"/>
      <c r="R344" s="242"/>
      <c r="S344" s="242"/>
      <c r="T344" s="388" t="str">
        <f>IF(Q344="","",Q344/$T$339)</f>
        <v/>
      </c>
      <c r="U344" s="351" t="str">
        <f>IF(Q344="","",($T$338*Tables!$K$107+Tables!$K$108)*Q344)</f>
        <v/>
      </c>
      <c r="V344" s="201"/>
      <c r="W344" s="129" t="s">
        <v>278</v>
      </c>
      <c r="X344" s="246" t="str">
        <f>IF($O$33=2,"NA",IF(OR(X342="",X343=""),"",(X343*(X342/8.76))/100))</f>
        <v/>
      </c>
      <c r="Y344" s="281"/>
    </row>
    <row r="345" spans="1:25">
      <c r="A345" s="109">
        <v>5</v>
      </c>
      <c r="B345" s="157"/>
      <c r="C345" s="113"/>
      <c r="D345" s="129" t="s">
        <v>264</v>
      </c>
      <c r="E345" s="489" t="str">
        <f>IF(Q292="","",Q292)</f>
        <v/>
      </c>
      <c r="F345" s="201"/>
      <c r="G345" s="129" t="s">
        <v>262</v>
      </c>
      <c r="H345" s="489" t="str">
        <f>IF(T292="","",T292)</f>
        <v/>
      </c>
      <c r="I345" s="113"/>
      <c r="J345" s="113"/>
      <c r="K345" s="113"/>
      <c r="L345" s="113"/>
      <c r="M345" s="158"/>
      <c r="N345" s="113"/>
      <c r="O345" s="300"/>
      <c r="P345" s="201"/>
      <c r="Q345" s="242"/>
      <c r="R345" s="242"/>
      <c r="S345" s="242"/>
      <c r="T345" s="388" t="str">
        <f>IF(Q345="","",Q345/$T$339)</f>
        <v/>
      </c>
      <c r="U345" s="351" t="str">
        <f>IF(Q345="","",($T$338*Tables!$K$107+Tables!$K$108)*Q345)</f>
        <v/>
      </c>
      <c r="V345" s="201"/>
      <c r="W345" s="129" t="s">
        <v>279</v>
      </c>
      <c r="X345" s="394" t="str">
        <f>IF(AB92="","",AB92)</f>
        <v/>
      </c>
      <c r="Y345" s="281"/>
    </row>
    <row r="346" spans="1:25">
      <c r="A346" s="109">
        <v>6</v>
      </c>
      <c r="B346" s="157"/>
      <c r="C346" s="113"/>
      <c r="D346" s="113"/>
      <c r="E346" s="113"/>
      <c r="F346" s="113"/>
      <c r="G346" s="128" t="s">
        <v>230</v>
      </c>
      <c r="H346" s="113"/>
      <c r="I346" s="113" t="s">
        <v>267</v>
      </c>
      <c r="J346" s="113"/>
      <c r="K346" s="113"/>
      <c r="L346" s="113"/>
      <c r="M346" s="158"/>
      <c r="N346" s="113"/>
      <c r="O346" s="300"/>
      <c r="P346" s="129" t="s">
        <v>243</v>
      </c>
      <c r="Q346" s="170" t="str">
        <f>IF(OR(Q342="",Q343="",Q344="",Q345=""),"",AVERAGE(Q342:Q345))</f>
        <v/>
      </c>
      <c r="R346" s="354" t="str">
        <f>IF(OR(R342="",R343="",R344="",R345=""),"",AVERAGE(R342:R345))</f>
        <v/>
      </c>
      <c r="S346" s="351" t="str">
        <f>IF(OR(S342="",S343="",S344="",S345=""),"",AVERAGE(S342:S345))</f>
        <v/>
      </c>
      <c r="T346" s="388" t="str">
        <f>IF(OR(T342="",T343="",T344="",T345=""),"",AVERAGE(T342:T345))</f>
        <v/>
      </c>
      <c r="U346" s="351" t="str">
        <f>IF(OR(U342="",U343="",U344="",U345=""),"",AVERAGE(U342:U345))</f>
        <v/>
      </c>
      <c r="V346" s="201"/>
      <c r="W346" s="129" t="s">
        <v>281</v>
      </c>
      <c r="X346" s="108" t="str">
        <f>IF(OR(X344="",X344="NA",X345="",X345="NA"),"",(X344-X345)/X345)</f>
        <v/>
      </c>
      <c r="Y346" s="281"/>
    </row>
    <row r="347" spans="1:25" ht="16.2" thickBot="1">
      <c r="A347" s="109">
        <v>7</v>
      </c>
      <c r="B347" s="157"/>
      <c r="C347" s="113"/>
      <c r="D347" s="128"/>
      <c r="E347" s="128" t="s">
        <v>49</v>
      </c>
      <c r="F347" s="128" t="s">
        <v>235</v>
      </c>
      <c r="G347" s="128" t="s">
        <v>236</v>
      </c>
      <c r="H347" s="128" t="s">
        <v>270</v>
      </c>
      <c r="I347" s="128" t="s">
        <v>271</v>
      </c>
      <c r="J347" s="113"/>
      <c r="K347" s="129" t="s">
        <v>272</v>
      </c>
      <c r="L347" s="246" t="str">
        <f t="shared" ref="L347:L352" si="103">IF(X294="","",X294)</f>
        <v/>
      </c>
      <c r="M347" s="158"/>
      <c r="N347" s="113"/>
      <c r="O347" s="300"/>
      <c r="P347" s="129" t="s">
        <v>283</v>
      </c>
      <c r="Q347" s="302" t="str">
        <f>IF(Q346="","",STDEV(Q342:Q345)/Q346)</f>
        <v/>
      </c>
      <c r="R347" s="302" t="str">
        <f>IF(R346="","",STDEV(R342:R345)/R346)</f>
        <v/>
      </c>
      <c r="S347" s="302" t="str">
        <f>IF(S346="","",STDEV(S342:S345)/S346)</f>
        <v/>
      </c>
      <c r="T347" s="302" t="str">
        <f>IF(T346="","",STDEV(T342:T345)/T346)</f>
        <v/>
      </c>
      <c r="U347" s="302" t="str">
        <f>IF(U346="","",STDEV(U342:U345)/U346)</f>
        <v/>
      </c>
      <c r="V347" s="201"/>
      <c r="W347" s="201"/>
      <c r="X347" s="201"/>
      <c r="Y347" s="281"/>
    </row>
    <row r="348" spans="1:25">
      <c r="A348" s="109">
        <v>8</v>
      </c>
      <c r="B348" s="157"/>
      <c r="C348" s="113"/>
      <c r="D348" s="113"/>
      <c r="E348" s="384" t="str">
        <f t="shared" ref="E348:I353" si="104">IF(Q295="","",Q295)</f>
        <v/>
      </c>
      <c r="F348" s="160" t="str">
        <f t="shared" si="104"/>
        <v/>
      </c>
      <c r="G348" s="160" t="str">
        <f t="shared" si="104"/>
        <v/>
      </c>
      <c r="H348" s="385" t="str">
        <f t="shared" si="104"/>
        <v/>
      </c>
      <c r="I348" s="161" t="str">
        <f t="shared" si="104"/>
        <v/>
      </c>
      <c r="J348" s="113"/>
      <c r="K348" s="129" t="s">
        <v>275</v>
      </c>
      <c r="L348" s="247" t="str">
        <f t="shared" si="103"/>
        <v/>
      </c>
      <c r="M348" s="158"/>
      <c r="N348" s="113"/>
      <c r="O348" s="300"/>
      <c r="P348" s="201"/>
      <c r="Q348" s="201"/>
      <c r="R348" s="201"/>
      <c r="S348" s="201"/>
      <c r="T348" s="201"/>
      <c r="U348" s="201"/>
      <c r="V348" s="201"/>
      <c r="W348" s="129" t="s">
        <v>285</v>
      </c>
      <c r="X348" s="108" t="str">
        <f>IF(OR(X344="",X344="NA"),"",(X344-S346)/S346)</f>
        <v/>
      </c>
      <c r="Y348" s="281"/>
    </row>
    <row r="349" spans="1:25">
      <c r="A349" s="109">
        <v>9</v>
      </c>
      <c r="B349" s="157"/>
      <c r="C349" s="113"/>
      <c r="D349" s="113"/>
      <c r="E349" s="387" t="str">
        <f t="shared" si="104"/>
        <v/>
      </c>
      <c r="F349" s="169" t="str">
        <f t="shared" si="104"/>
        <v/>
      </c>
      <c r="G349" s="169" t="str">
        <f t="shared" si="104"/>
        <v/>
      </c>
      <c r="H349" s="388" t="str">
        <f t="shared" si="104"/>
        <v/>
      </c>
      <c r="I349" s="171" t="str">
        <f t="shared" si="104"/>
        <v/>
      </c>
      <c r="J349" s="113"/>
      <c r="K349" s="129" t="s">
        <v>277</v>
      </c>
      <c r="L349" s="389" t="str">
        <f t="shared" si="103"/>
        <v/>
      </c>
      <c r="M349" s="158"/>
      <c r="N349" s="113"/>
      <c r="O349" s="300"/>
      <c r="P349" s="201"/>
      <c r="Q349" s="201"/>
      <c r="R349" s="201"/>
      <c r="S349" s="201"/>
      <c r="T349" s="201"/>
      <c r="U349" s="201"/>
      <c r="V349" s="201"/>
      <c r="W349" s="129" t="s">
        <v>293</v>
      </c>
      <c r="X349" s="246" t="str">
        <f>IF($O$33=2,"NA",IF(OR(X332="",X344=""),"",X332+X344))</f>
        <v/>
      </c>
      <c r="Y349" s="281"/>
    </row>
    <row r="350" spans="1:25" ht="16.2" thickBot="1">
      <c r="A350" s="109">
        <v>10</v>
      </c>
      <c r="B350" s="157"/>
      <c r="C350" s="113"/>
      <c r="D350" s="113"/>
      <c r="E350" s="387" t="str">
        <f t="shared" si="104"/>
        <v/>
      </c>
      <c r="F350" s="169" t="str">
        <f t="shared" si="104"/>
        <v/>
      </c>
      <c r="G350" s="169" t="str">
        <f t="shared" si="104"/>
        <v/>
      </c>
      <c r="H350" s="388" t="str">
        <f t="shared" si="104"/>
        <v/>
      </c>
      <c r="I350" s="171" t="str">
        <f t="shared" si="104"/>
        <v/>
      </c>
      <c r="J350" s="113"/>
      <c r="K350" s="129" t="s">
        <v>278</v>
      </c>
      <c r="L350" s="247" t="str">
        <f t="shared" si="103"/>
        <v/>
      </c>
      <c r="M350" s="158"/>
      <c r="N350" s="113"/>
      <c r="O350" s="412"/>
      <c r="P350" s="380"/>
      <c r="Q350" s="380"/>
      <c r="R350" s="380"/>
      <c r="S350" s="380"/>
      <c r="T350" s="380"/>
      <c r="U350" s="380"/>
      <c r="V350" s="380"/>
      <c r="W350" s="396" t="s">
        <v>294</v>
      </c>
      <c r="X350" s="394" t="str">
        <f>IF(AB93="","",AB93)</f>
        <v/>
      </c>
      <c r="Y350" s="413"/>
    </row>
    <row r="351" spans="1:25" ht="16.2" thickBot="1">
      <c r="A351" s="109">
        <v>11</v>
      </c>
      <c r="B351" s="157"/>
      <c r="C351" s="113"/>
      <c r="D351" s="113"/>
      <c r="E351" s="391" t="str">
        <f t="shared" si="104"/>
        <v/>
      </c>
      <c r="F351" s="214" t="str">
        <f t="shared" si="104"/>
        <v/>
      </c>
      <c r="G351" s="214" t="str">
        <f t="shared" si="104"/>
        <v/>
      </c>
      <c r="H351" s="392" t="str">
        <f t="shared" si="104"/>
        <v/>
      </c>
      <c r="I351" s="215" t="str">
        <f t="shared" si="104"/>
        <v/>
      </c>
      <c r="J351" s="113"/>
      <c r="K351" s="129" t="s">
        <v>279</v>
      </c>
      <c r="L351" s="247" t="str">
        <f t="shared" si="103"/>
        <v/>
      </c>
      <c r="M351" s="158"/>
      <c r="N351" s="113"/>
      <c r="O351" s="241" t="s">
        <v>793</v>
      </c>
      <c r="P351" s="115"/>
      <c r="Q351" s="115"/>
      <c r="R351" s="115"/>
      <c r="S351" s="115"/>
      <c r="T351" s="115"/>
      <c r="U351" s="115"/>
      <c r="V351" s="115"/>
      <c r="W351" s="115"/>
      <c r="X351" s="115"/>
      <c r="Y351" s="116"/>
    </row>
    <row r="352" spans="1:25">
      <c r="A352" s="109">
        <v>12</v>
      </c>
      <c r="B352" s="157"/>
      <c r="C352" s="113"/>
      <c r="D352" s="129" t="s">
        <v>243</v>
      </c>
      <c r="E352" s="387" t="str">
        <f t="shared" si="104"/>
        <v/>
      </c>
      <c r="F352" s="169" t="str">
        <f t="shared" si="104"/>
        <v/>
      </c>
      <c r="G352" s="351" t="str">
        <f t="shared" si="104"/>
        <v/>
      </c>
      <c r="H352" s="388" t="str">
        <f t="shared" si="104"/>
        <v/>
      </c>
      <c r="I352" s="171" t="str">
        <f t="shared" si="104"/>
        <v/>
      </c>
      <c r="J352" s="113"/>
      <c r="K352" s="129" t="s">
        <v>281</v>
      </c>
      <c r="L352" s="393" t="str">
        <f t="shared" si="103"/>
        <v/>
      </c>
      <c r="M352" s="158"/>
      <c r="N352" s="113"/>
      <c r="O352" s="123"/>
      <c r="P352" s="129" t="s">
        <v>261</v>
      </c>
      <c r="Q352" s="245">
        <f>$Q$291</f>
        <v>0</v>
      </c>
      <c r="R352" s="113"/>
      <c r="S352" s="129" t="s">
        <v>172</v>
      </c>
      <c r="T352" s="244"/>
      <c r="U352" s="113"/>
      <c r="V352" s="173"/>
      <c r="W352" s="173"/>
      <c r="X352" s="113"/>
      <c r="Y352" s="125"/>
    </row>
    <row r="353" spans="1:25" ht="16.2" thickBot="1">
      <c r="A353" s="109">
        <v>13</v>
      </c>
      <c r="B353" s="157"/>
      <c r="C353" s="113"/>
      <c r="D353" s="129" t="s">
        <v>283</v>
      </c>
      <c r="E353" s="316" t="str">
        <f t="shared" si="104"/>
        <v/>
      </c>
      <c r="F353" s="317" t="str">
        <f t="shared" si="104"/>
        <v/>
      </c>
      <c r="G353" s="317" t="str">
        <f t="shared" si="104"/>
        <v/>
      </c>
      <c r="H353" s="317" t="str">
        <f t="shared" si="104"/>
        <v/>
      </c>
      <c r="I353" s="319" t="str">
        <f t="shared" si="104"/>
        <v/>
      </c>
      <c r="J353" s="113"/>
      <c r="K353" s="113"/>
      <c r="L353" s="113"/>
      <c r="M353" s="158"/>
      <c r="N353" s="113"/>
      <c r="O353" s="123"/>
      <c r="P353" s="129" t="s">
        <v>264</v>
      </c>
      <c r="Q353" s="244"/>
      <c r="R353" s="113"/>
      <c r="S353" s="129" t="s">
        <v>262</v>
      </c>
      <c r="T353" s="244"/>
      <c r="U353" s="113"/>
      <c r="V353" s="113"/>
      <c r="W353" s="113"/>
      <c r="X353" s="113"/>
      <c r="Y353" s="125"/>
    </row>
    <row r="354" spans="1:25">
      <c r="A354" s="109">
        <v>14</v>
      </c>
      <c r="B354" s="157"/>
      <c r="C354" s="113"/>
      <c r="D354" s="208" t="s">
        <v>158</v>
      </c>
      <c r="E354" s="173" t="s">
        <v>284</v>
      </c>
      <c r="F354" s="113"/>
      <c r="G354" s="113"/>
      <c r="H354" s="113"/>
      <c r="I354" s="113"/>
      <c r="J354" s="113"/>
      <c r="K354" s="129" t="s">
        <v>285</v>
      </c>
      <c r="L354" s="108" t="str">
        <f>IF(X302="","",X302)</f>
        <v/>
      </c>
      <c r="M354" s="158"/>
      <c r="N354" s="113"/>
      <c r="O354" s="123"/>
      <c r="P354" s="113"/>
      <c r="Q354" s="113"/>
      <c r="R354" s="113"/>
      <c r="S354" s="128" t="s">
        <v>230</v>
      </c>
      <c r="T354" s="113"/>
      <c r="U354" s="113" t="s">
        <v>267</v>
      </c>
      <c r="V354" s="113"/>
      <c r="W354" s="113"/>
      <c r="X354" s="113"/>
      <c r="Y354" s="125"/>
    </row>
    <row r="355" spans="1:25">
      <c r="A355" s="109">
        <v>15</v>
      </c>
      <c r="B355" s="157"/>
      <c r="C355" s="113"/>
      <c r="D355" s="113"/>
      <c r="E355" s="173" t="s">
        <v>286</v>
      </c>
      <c r="F355" s="113"/>
      <c r="G355" s="113"/>
      <c r="H355" s="113"/>
      <c r="I355" s="113"/>
      <c r="J355" s="113"/>
      <c r="K355" s="129" t="s">
        <v>287</v>
      </c>
      <c r="L355" s="390" t="str">
        <f>IF(X303="","",X303)</f>
        <v/>
      </c>
      <c r="M355" s="158"/>
      <c r="N355" s="113"/>
      <c r="O355" s="386"/>
      <c r="P355" s="113"/>
      <c r="Q355" s="128" t="s">
        <v>49</v>
      </c>
      <c r="R355" s="128" t="s">
        <v>235</v>
      </c>
      <c r="S355" s="128" t="s">
        <v>236</v>
      </c>
      <c r="T355" s="128" t="s">
        <v>270</v>
      </c>
      <c r="U355" s="128" t="s">
        <v>271</v>
      </c>
      <c r="V355" s="113"/>
      <c r="W355" s="129" t="s">
        <v>272</v>
      </c>
      <c r="X355" s="246" t="str">
        <f>IF(T352="","",T352*Tables!$L$121+Tables!$L$122)</f>
        <v/>
      </c>
      <c r="Y355" s="125"/>
    </row>
    <row r="356" spans="1:25" ht="16.2" thickBot="1">
      <c r="A356" s="109">
        <v>16</v>
      </c>
      <c r="B356" s="263"/>
      <c r="C356" s="135"/>
      <c r="D356" s="135"/>
      <c r="E356" s="135"/>
      <c r="F356" s="135"/>
      <c r="G356" s="135"/>
      <c r="H356" s="135"/>
      <c r="I356" s="135"/>
      <c r="J356" s="135"/>
      <c r="K356" s="135"/>
      <c r="L356" s="135"/>
      <c r="M356" s="264"/>
      <c r="N356" s="113"/>
      <c r="O356" s="386"/>
      <c r="P356" s="113"/>
      <c r="Q356" s="242"/>
      <c r="R356" s="242"/>
      <c r="S356" s="242"/>
      <c r="T356" s="388" t="str">
        <f>IF(Q356="","",Q356/$T$353)</f>
        <v/>
      </c>
      <c r="U356" s="351" t="str">
        <f>IF(Q356="","",($T$352*Tables!$O$107+Tables!$O$108)*Q356)</f>
        <v/>
      </c>
      <c r="V356" s="113"/>
      <c r="W356" s="129" t="s">
        <v>275</v>
      </c>
      <c r="X356" s="246" t="str">
        <f>IF(U360="","",U360)</f>
        <v/>
      </c>
      <c r="Y356" s="125"/>
    </row>
    <row r="357" spans="1:25">
      <c r="A357" s="109">
        <v>17</v>
      </c>
      <c r="B357" s="327"/>
      <c r="C357" s="165" t="str">
        <f>O305</f>
        <v>Mean Glandular Dose – 3D</v>
      </c>
      <c r="D357" s="113"/>
      <c r="E357" s="113"/>
      <c r="F357" s="113"/>
      <c r="G357" s="113"/>
      <c r="H357" s="113"/>
      <c r="I357" s="113"/>
      <c r="J357" s="113"/>
      <c r="K357" s="113"/>
      <c r="L357" s="113"/>
      <c r="M357" s="202"/>
      <c r="N357" s="113"/>
      <c r="O357" s="386"/>
      <c r="P357" s="113"/>
      <c r="Q357" s="242"/>
      <c r="R357" s="242"/>
      <c r="S357" s="242"/>
      <c r="T357" s="388" t="str">
        <f t="shared" ref="T357:T359" si="105">IF(Q357="","",Q357/$T$353)</f>
        <v/>
      </c>
      <c r="U357" s="351" t="str">
        <f>IF(Q357="","",($T$352*Tables!$O$107+Tables!$O$108)*Q357)</f>
        <v/>
      </c>
      <c r="V357" s="113"/>
      <c r="W357" s="129" t="s">
        <v>277</v>
      </c>
      <c r="X357" s="390" t="str">
        <f>IF(Q353="","",HLOOKUP(Q353,Tables!A176:F177,2,FALSE))</f>
        <v/>
      </c>
      <c r="Y357" s="125"/>
    </row>
    <row r="358" spans="1:25">
      <c r="A358" s="109">
        <v>18</v>
      </c>
      <c r="B358" s="327"/>
      <c r="C358" s="113"/>
      <c r="D358" s="129" t="s">
        <v>261</v>
      </c>
      <c r="E358" s="495">
        <f>IF(Q306="","",Q306)</f>
        <v>0</v>
      </c>
      <c r="F358" s="201"/>
      <c r="G358" s="129" t="s">
        <v>172</v>
      </c>
      <c r="H358" s="245" t="str">
        <f>IF(T306="","",T306)</f>
        <v/>
      </c>
      <c r="I358" s="113"/>
      <c r="J358" s="113"/>
      <c r="K358" s="113"/>
      <c r="L358" s="113"/>
      <c r="M358" s="202"/>
      <c r="N358" s="113"/>
      <c r="O358" s="386"/>
      <c r="P358" s="113"/>
      <c r="Q358" s="242"/>
      <c r="R358" s="242"/>
      <c r="S358" s="242"/>
      <c r="T358" s="388" t="str">
        <f t="shared" si="105"/>
        <v/>
      </c>
      <c r="U358" s="351" t="str">
        <f>IF(Q358="","",($T$352*Tables!$O$107+Tables!$O$108)*Q358)</f>
        <v/>
      </c>
      <c r="V358" s="113"/>
      <c r="W358" s="129" t="s">
        <v>278</v>
      </c>
      <c r="X358" s="246" t="str">
        <f>IF($O$33=2,"NA",IF(OR(X356="",X357=""),"",(X357*(X356/8.76))/100))</f>
        <v/>
      </c>
      <c r="Y358" s="125"/>
    </row>
    <row r="359" spans="1:25">
      <c r="A359" s="109">
        <v>19</v>
      </c>
      <c r="B359" s="327"/>
      <c r="C359" s="113"/>
      <c r="D359" s="129" t="s">
        <v>264</v>
      </c>
      <c r="E359" s="489" t="str">
        <f>IF(Q307="","",Q307)</f>
        <v/>
      </c>
      <c r="F359" s="201"/>
      <c r="G359" s="129" t="s">
        <v>262</v>
      </c>
      <c r="H359" s="489" t="str">
        <f>IF(T307="","",T307)</f>
        <v/>
      </c>
      <c r="I359" s="113"/>
      <c r="J359" s="113"/>
      <c r="K359" s="113"/>
      <c r="L359" s="113"/>
      <c r="M359" s="202"/>
      <c r="N359" s="113"/>
      <c r="O359" s="386"/>
      <c r="P359" s="113"/>
      <c r="Q359" s="242"/>
      <c r="R359" s="242"/>
      <c r="S359" s="242"/>
      <c r="T359" s="388" t="str">
        <f t="shared" si="105"/>
        <v/>
      </c>
      <c r="U359" s="351" t="str">
        <f>IF(Q359="","",($T$352*Tables!$O$107+Tables!$O$108)*Q359)</f>
        <v/>
      </c>
      <c r="V359" s="113"/>
      <c r="W359" s="129" t="s">
        <v>279</v>
      </c>
      <c r="X359" s="394" t="str">
        <f>IF(AB94="","",AB94)</f>
        <v/>
      </c>
      <c r="Y359" s="125"/>
    </row>
    <row r="360" spans="1:25">
      <c r="A360" s="109">
        <v>20</v>
      </c>
      <c r="B360" s="327"/>
      <c r="C360" s="113"/>
      <c r="D360" s="113"/>
      <c r="E360" s="113"/>
      <c r="F360" s="113"/>
      <c r="G360" s="128" t="s">
        <v>230</v>
      </c>
      <c r="H360" s="113"/>
      <c r="I360" s="113" t="s">
        <v>267</v>
      </c>
      <c r="J360" s="113"/>
      <c r="K360" s="113"/>
      <c r="L360" s="113"/>
      <c r="M360" s="202"/>
      <c r="N360" s="113"/>
      <c r="O360" s="386"/>
      <c r="P360" s="129" t="s">
        <v>243</v>
      </c>
      <c r="Q360" s="170" t="str">
        <f>IF(OR(Q356="",Q357="",Q358="",Q359=""),"",AVERAGE(Q356:Q359))</f>
        <v/>
      </c>
      <c r="R360" s="354" t="str">
        <f>IF(OR(R356="",R357="",R358="",R359=""),"",AVERAGE(R356:R359))</f>
        <v/>
      </c>
      <c r="S360" s="351" t="str">
        <f>IF(OR(S356="",S357="",S358="",S359=""),"",AVERAGE(S356:S359))</f>
        <v/>
      </c>
      <c r="T360" s="388" t="str">
        <f>IF(OR(T356="",T357="",T358="",T359=""),"",AVERAGE(T356:T359))</f>
        <v/>
      </c>
      <c r="U360" s="351" t="str">
        <f>IF(OR(U356="",U357="",U358="",U359=""),"",AVERAGE(U356:U359))</f>
        <v/>
      </c>
      <c r="V360" s="113"/>
      <c r="W360" s="129" t="s">
        <v>281</v>
      </c>
      <c r="X360" s="108" t="str">
        <f>IF(OR(X358="",X358="NA",X359="",X359="NA"),"",(X358-X359)/X359)</f>
        <v/>
      </c>
      <c r="Y360" s="125"/>
    </row>
    <row r="361" spans="1:25" ht="16.2" thickBot="1">
      <c r="A361" s="109">
        <v>21</v>
      </c>
      <c r="B361" s="327"/>
      <c r="C361" s="113"/>
      <c r="D361" s="128"/>
      <c r="E361" s="128" t="s">
        <v>49</v>
      </c>
      <c r="F361" s="128" t="s">
        <v>235</v>
      </c>
      <c r="G361" s="128" t="s">
        <v>236</v>
      </c>
      <c r="H361" s="128" t="s">
        <v>270</v>
      </c>
      <c r="I361" s="128" t="s">
        <v>271</v>
      </c>
      <c r="J361" s="113"/>
      <c r="K361" s="129" t="s">
        <v>272</v>
      </c>
      <c r="L361" s="246" t="str">
        <f t="shared" ref="L361:L366" si="106">IF(X309="","",X309)</f>
        <v/>
      </c>
      <c r="M361" s="202"/>
      <c r="N361" s="113"/>
      <c r="O361" s="386"/>
      <c r="P361" s="129" t="s">
        <v>283</v>
      </c>
      <c r="Q361" s="302" t="str">
        <f>IF(Q360="","",STDEV(Q356:Q359)/Q360)</f>
        <v/>
      </c>
      <c r="R361" s="302" t="str">
        <f>IF(R360="","",STDEV(R356:R359)/R360)</f>
        <v/>
      </c>
      <c r="S361" s="302" t="str">
        <f>IF(S360="","",STDEV(S356:S359)/S360)</f>
        <v/>
      </c>
      <c r="T361" s="302" t="str">
        <f>IF(T360="","",STDEV(T356:T359)/T360)</f>
        <v/>
      </c>
      <c r="U361" s="302" t="str">
        <f>IF(U360="","",STDEV(U356:U359)/U360)</f>
        <v/>
      </c>
      <c r="V361" s="113"/>
      <c r="W361" s="173"/>
      <c r="X361" s="173"/>
      <c r="Y361" s="125"/>
    </row>
    <row r="362" spans="1:25">
      <c r="A362" s="109">
        <v>22</v>
      </c>
      <c r="B362" s="327"/>
      <c r="C362" s="113"/>
      <c r="D362" s="113"/>
      <c r="E362" s="384" t="str">
        <f t="shared" ref="E362:I367" si="107">IF(Q310="","",Q310)</f>
        <v/>
      </c>
      <c r="F362" s="160" t="str">
        <f t="shared" si="107"/>
        <v/>
      </c>
      <c r="G362" s="160" t="str">
        <f t="shared" si="107"/>
        <v/>
      </c>
      <c r="H362" s="385" t="str">
        <f t="shared" si="107"/>
        <v/>
      </c>
      <c r="I362" s="161" t="str">
        <f t="shared" si="107"/>
        <v/>
      </c>
      <c r="J362" s="113"/>
      <c r="K362" s="129" t="s">
        <v>275</v>
      </c>
      <c r="L362" s="247" t="str">
        <f t="shared" si="106"/>
        <v/>
      </c>
      <c r="M362" s="202"/>
      <c r="N362" s="113"/>
      <c r="O362" s="123"/>
      <c r="P362" s="173"/>
      <c r="Q362" s="173"/>
      <c r="R362" s="173"/>
      <c r="S362" s="173"/>
      <c r="T362" s="173"/>
      <c r="U362" s="173"/>
      <c r="V362" s="113"/>
      <c r="W362" s="113"/>
      <c r="X362" s="113"/>
      <c r="Y362" s="125"/>
    </row>
    <row r="363" spans="1:25">
      <c r="A363" s="109">
        <v>23</v>
      </c>
      <c r="B363" s="327"/>
      <c r="C363" s="113"/>
      <c r="D363" s="113"/>
      <c r="E363" s="387" t="str">
        <f t="shared" si="107"/>
        <v/>
      </c>
      <c r="F363" s="169" t="str">
        <f t="shared" si="107"/>
        <v/>
      </c>
      <c r="G363" s="169" t="str">
        <f t="shared" si="107"/>
        <v/>
      </c>
      <c r="H363" s="388" t="str">
        <f t="shared" si="107"/>
        <v/>
      </c>
      <c r="I363" s="171" t="str">
        <f t="shared" si="107"/>
        <v/>
      </c>
      <c r="J363" s="113"/>
      <c r="K363" s="129" t="s">
        <v>277</v>
      </c>
      <c r="L363" s="389" t="str">
        <f t="shared" si="106"/>
        <v/>
      </c>
      <c r="M363" s="202"/>
      <c r="N363" s="113"/>
      <c r="O363" s="123"/>
      <c r="P363" s="537" t="s">
        <v>158</v>
      </c>
      <c r="Q363" s="173" t="s">
        <v>284</v>
      </c>
      <c r="R363" s="113"/>
      <c r="S363" s="113"/>
      <c r="T363" s="113"/>
      <c r="U363" s="113"/>
      <c r="V363" s="113"/>
      <c r="W363" s="129" t="s">
        <v>285</v>
      </c>
      <c r="X363" s="108" t="str">
        <f>IF(OR(X358="NA",X358=""),"",(X358-S360)/S360)</f>
        <v/>
      </c>
      <c r="Y363" s="125"/>
    </row>
    <row r="364" spans="1:25">
      <c r="A364" s="109">
        <v>24</v>
      </c>
      <c r="B364" s="327"/>
      <c r="C364" s="113"/>
      <c r="D364" s="113"/>
      <c r="E364" s="387" t="str">
        <f t="shared" si="107"/>
        <v/>
      </c>
      <c r="F364" s="169" t="str">
        <f t="shared" si="107"/>
        <v/>
      </c>
      <c r="G364" s="169" t="str">
        <f t="shared" si="107"/>
        <v/>
      </c>
      <c r="H364" s="388" t="str">
        <f t="shared" si="107"/>
        <v/>
      </c>
      <c r="I364" s="171" t="str">
        <f t="shared" si="107"/>
        <v/>
      </c>
      <c r="J364" s="113"/>
      <c r="K364" s="129" t="s">
        <v>278</v>
      </c>
      <c r="L364" s="247" t="str">
        <f t="shared" si="106"/>
        <v/>
      </c>
      <c r="M364" s="202"/>
      <c r="N364" s="113"/>
      <c r="O364" s="123"/>
      <c r="P364" s="173"/>
      <c r="Q364" s="173" t="s">
        <v>286</v>
      </c>
      <c r="R364" s="113"/>
      <c r="S364" s="113"/>
      <c r="T364" s="113"/>
      <c r="U364" s="113"/>
      <c r="V364" s="113"/>
      <c r="W364" s="129" t="s">
        <v>287</v>
      </c>
      <c r="X364" s="390" t="str">
        <f>IF(OR(X358="",Q360=""),"",3/(X358/Q360))</f>
        <v/>
      </c>
      <c r="Y364" s="125"/>
    </row>
    <row r="365" spans="1:25" ht="16.2" thickBot="1">
      <c r="A365" s="109">
        <v>25</v>
      </c>
      <c r="B365" s="327"/>
      <c r="C365" s="113"/>
      <c r="D365" s="113"/>
      <c r="E365" s="391" t="str">
        <f t="shared" si="107"/>
        <v/>
      </c>
      <c r="F365" s="214" t="str">
        <f t="shared" si="107"/>
        <v/>
      </c>
      <c r="G365" s="214" t="str">
        <f t="shared" si="107"/>
        <v/>
      </c>
      <c r="H365" s="392" t="str">
        <f t="shared" si="107"/>
        <v/>
      </c>
      <c r="I365" s="215" t="str">
        <f t="shared" si="107"/>
        <v/>
      </c>
      <c r="J365" s="113"/>
      <c r="K365" s="129" t="s">
        <v>279</v>
      </c>
      <c r="L365" s="247" t="str">
        <f t="shared" si="106"/>
        <v/>
      </c>
      <c r="M365" s="202"/>
      <c r="N365" s="113"/>
      <c r="O365" s="123"/>
      <c r="P365" s="201"/>
      <c r="Q365" s="201" t="s">
        <v>289</v>
      </c>
      <c r="R365" s="201"/>
      <c r="S365" s="201"/>
      <c r="T365" s="201"/>
      <c r="U365" s="201"/>
      <c r="V365" s="201"/>
      <c r="W365" s="201"/>
      <c r="X365" s="201"/>
      <c r="Y365" s="125"/>
    </row>
    <row r="366" spans="1:25">
      <c r="A366" s="109">
        <v>26</v>
      </c>
      <c r="B366" s="327"/>
      <c r="C366" s="113"/>
      <c r="D366" s="129" t="s">
        <v>243</v>
      </c>
      <c r="E366" s="387" t="str">
        <f t="shared" si="107"/>
        <v/>
      </c>
      <c r="F366" s="169" t="str">
        <f t="shared" si="107"/>
        <v/>
      </c>
      <c r="G366" s="351" t="str">
        <f t="shared" si="107"/>
        <v/>
      </c>
      <c r="H366" s="388" t="str">
        <f t="shared" si="107"/>
        <v/>
      </c>
      <c r="I366" s="171" t="str">
        <f t="shared" si="107"/>
        <v/>
      </c>
      <c r="J366" s="113"/>
      <c r="K366" s="129" t="s">
        <v>281</v>
      </c>
      <c r="L366" s="393" t="str">
        <f t="shared" si="106"/>
        <v/>
      </c>
      <c r="M366" s="202"/>
      <c r="N366" s="113"/>
      <c r="O366" s="241" t="s">
        <v>692</v>
      </c>
      <c r="P366" s="115"/>
      <c r="Q366" s="115"/>
      <c r="R366" s="115"/>
      <c r="S366" s="115"/>
      <c r="T366" s="115"/>
      <c r="U366" s="115"/>
      <c r="V366" s="115"/>
      <c r="W366" s="115"/>
      <c r="X366" s="115"/>
      <c r="Y366" s="116"/>
    </row>
    <row r="367" spans="1:25" ht="16.2" thickBot="1">
      <c r="A367" s="109">
        <v>27</v>
      </c>
      <c r="B367" s="327"/>
      <c r="C367" s="113"/>
      <c r="D367" s="129" t="s">
        <v>283</v>
      </c>
      <c r="E367" s="316" t="str">
        <f t="shared" si="107"/>
        <v/>
      </c>
      <c r="F367" s="317" t="str">
        <f t="shared" si="107"/>
        <v/>
      </c>
      <c r="G367" s="317" t="str">
        <f t="shared" si="107"/>
        <v/>
      </c>
      <c r="H367" s="317" t="str">
        <f t="shared" si="107"/>
        <v/>
      </c>
      <c r="I367" s="319" t="str">
        <f t="shared" si="107"/>
        <v/>
      </c>
      <c r="J367" s="113"/>
      <c r="K367" s="113"/>
      <c r="L367" s="113"/>
      <c r="M367" s="202"/>
      <c r="N367" s="113"/>
      <c r="O367" s="123"/>
      <c r="P367" s="129" t="s">
        <v>261</v>
      </c>
      <c r="Q367" s="245">
        <f>$Q$291</f>
        <v>0</v>
      </c>
      <c r="R367" s="113"/>
      <c r="S367" s="129" t="s">
        <v>172</v>
      </c>
      <c r="T367" s="342"/>
      <c r="U367" s="113"/>
      <c r="V367" s="173"/>
      <c r="W367" s="173"/>
      <c r="X367" s="113"/>
      <c r="Y367" s="125"/>
    </row>
    <row r="368" spans="1:25">
      <c r="A368" s="109">
        <v>28</v>
      </c>
      <c r="B368" s="327"/>
      <c r="C368" s="113"/>
      <c r="D368" s="208" t="s">
        <v>158</v>
      </c>
      <c r="E368" s="173" t="s">
        <v>284</v>
      </c>
      <c r="F368" s="113"/>
      <c r="G368" s="113"/>
      <c r="H368" s="113"/>
      <c r="I368" s="113"/>
      <c r="J368" s="113"/>
      <c r="K368" s="129" t="s">
        <v>285</v>
      </c>
      <c r="L368" s="108" t="str">
        <f>IF(X317="","",X317)</f>
        <v/>
      </c>
      <c r="M368" s="202"/>
      <c r="N368" s="113"/>
      <c r="O368" s="123"/>
      <c r="P368" s="129" t="s">
        <v>264</v>
      </c>
      <c r="Q368" s="244"/>
      <c r="R368" s="113"/>
      <c r="S368" s="129" t="s">
        <v>262</v>
      </c>
      <c r="T368" s="342"/>
      <c r="U368" s="113"/>
      <c r="V368" s="113"/>
      <c r="W368" s="113"/>
      <c r="X368" s="113"/>
      <c r="Y368" s="125"/>
    </row>
    <row r="369" spans="1:25">
      <c r="A369" s="109">
        <v>29</v>
      </c>
      <c r="B369" s="327"/>
      <c r="C369" s="113"/>
      <c r="D369" s="113"/>
      <c r="E369" s="173" t="s">
        <v>286</v>
      </c>
      <c r="F369" s="113"/>
      <c r="G369" s="113"/>
      <c r="H369" s="113"/>
      <c r="I369" s="113"/>
      <c r="J369" s="113"/>
      <c r="K369" s="129" t="s">
        <v>287</v>
      </c>
      <c r="L369" s="390" t="str">
        <f>IF(X318="","",X318)</f>
        <v/>
      </c>
      <c r="M369" s="202"/>
      <c r="N369" s="113"/>
      <c r="O369" s="123"/>
      <c r="P369" s="113"/>
      <c r="Q369" s="113"/>
      <c r="R369" s="113"/>
      <c r="S369" s="128" t="s">
        <v>230</v>
      </c>
      <c r="T369" s="113"/>
      <c r="U369" s="113" t="s">
        <v>267</v>
      </c>
      <c r="V369" s="113"/>
      <c r="W369" s="113"/>
      <c r="X369" s="113"/>
      <c r="Y369" s="125"/>
    </row>
    <row r="370" spans="1:25" ht="16.2" thickBot="1">
      <c r="A370" s="109">
        <v>30</v>
      </c>
      <c r="B370" s="379"/>
      <c r="C370" s="380"/>
      <c r="D370" s="380"/>
      <c r="E370" s="380"/>
      <c r="F370" s="380"/>
      <c r="G370" s="380"/>
      <c r="H370" s="380"/>
      <c r="I370" s="380"/>
      <c r="J370" s="380"/>
      <c r="K370" s="380"/>
      <c r="L370" s="380"/>
      <c r="M370" s="381"/>
      <c r="N370" s="113"/>
      <c r="O370" s="386"/>
      <c r="P370" s="113"/>
      <c r="Q370" s="128" t="s">
        <v>49</v>
      </c>
      <c r="R370" s="128" t="s">
        <v>235</v>
      </c>
      <c r="S370" s="128" t="s">
        <v>236</v>
      </c>
      <c r="T370" s="128" t="s">
        <v>270</v>
      </c>
      <c r="U370" s="128" t="s">
        <v>271</v>
      </c>
      <c r="V370" s="113"/>
      <c r="W370" s="129" t="s">
        <v>272</v>
      </c>
      <c r="X370" s="246" t="str">
        <f>IF(T367="","",T367*Tables!$C$121+Tables!$C$122)</f>
        <v/>
      </c>
      <c r="Y370" s="125"/>
    </row>
    <row r="371" spans="1:25">
      <c r="A371" s="109">
        <v>31</v>
      </c>
      <c r="B371" s="327"/>
      <c r="C371" s="216" t="str">
        <f>O322</f>
        <v>Mean Glandular Dose – Combo</v>
      </c>
      <c r="D371" s="201"/>
      <c r="E371" s="201"/>
      <c r="F371" s="201"/>
      <c r="G371" s="201"/>
      <c r="H371" s="201"/>
      <c r="I371" s="201"/>
      <c r="J371" s="201"/>
      <c r="K371" s="201"/>
      <c r="L371" s="201"/>
      <c r="M371" s="202"/>
      <c r="N371" s="113"/>
      <c r="O371" s="386"/>
      <c r="P371" s="113"/>
      <c r="Q371" s="242"/>
      <c r="R371" s="242"/>
      <c r="S371" s="242"/>
      <c r="T371" s="388" t="str">
        <f>IF(Q371="","",Q371/$T$292)</f>
        <v/>
      </c>
      <c r="U371" s="351" t="str">
        <f>IF(Q371="","",($T$367*Tables!$C$107+Tables!$C$108)*Q371)</f>
        <v/>
      </c>
      <c r="V371" s="113"/>
      <c r="W371" s="129" t="s">
        <v>275</v>
      </c>
      <c r="X371" s="246" t="str">
        <f>IF(U375="","",U375)</f>
        <v/>
      </c>
      <c r="Y371" s="125"/>
    </row>
    <row r="372" spans="1:25" ht="16.2" thickBot="1">
      <c r="A372" s="109">
        <v>32</v>
      </c>
      <c r="B372" s="327"/>
      <c r="C372" s="201"/>
      <c r="D372" s="129" t="s">
        <v>261</v>
      </c>
      <c r="E372" s="383">
        <f>IF(Q323="","",Q323)</f>
        <v>0</v>
      </c>
      <c r="F372" s="201"/>
      <c r="G372" s="201"/>
      <c r="H372" s="201"/>
      <c r="I372" s="201"/>
      <c r="J372" s="201"/>
      <c r="K372" s="201"/>
      <c r="L372" s="201"/>
      <c r="M372" s="202"/>
      <c r="N372" s="113"/>
      <c r="O372" s="386"/>
      <c r="P372" s="113"/>
      <c r="Q372" s="242"/>
      <c r="R372" s="242"/>
      <c r="S372" s="242"/>
      <c r="T372" s="388" t="str">
        <f>IF(Q372="","",Q372/$T$292)</f>
        <v/>
      </c>
      <c r="U372" s="351" t="str">
        <f>IF(Q372="","",($T$367*Tables!$C$107+Tables!$C$108)*Q372)</f>
        <v/>
      </c>
      <c r="V372" s="113"/>
      <c r="W372" s="129" t="s">
        <v>277</v>
      </c>
      <c r="X372" s="390" t="str">
        <f>IF(Q368="","",HLOOKUP(Q368,Tables!A130:F131,2,FALSE))</f>
        <v/>
      </c>
      <c r="Y372" s="125"/>
    </row>
    <row r="373" spans="1:25">
      <c r="A373" s="109">
        <v>33</v>
      </c>
      <c r="B373" s="327"/>
      <c r="C373" s="201"/>
      <c r="D373" s="201"/>
      <c r="E373" s="659" t="str">
        <f>O325&amp;" "&amp;P326&amp;" "&amp;Q326</f>
        <v xml:space="preserve">Combo Mode 2D Target/Filter: </v>
      </c>
      <c r="F373" s="659"/>
      <c r="G373" s="659"/>
      <c r="H373" s="659"/>
      <c r="I373" s="659"/>
      <c r="J373" s="201"/>
      <c r="K373" s="201"/>
      <c r="L373" s="201"/>
      <c r="M373" s="202"/>
      <c r="N373" s="113"/>
      <c r="O373" s="386"/>
      <c r="P373" s="113"/>
      <c r="Q373" s="242"/>
      <c r="R373" s="242"/>
      <c r="S373" s="242"/>
      <c r="T373" s="388" t="str">
        <f>IF(Q373="","",Q373/$T$292)</f>
        <v/>
      </c>
      <c r="U373" s="351" t="str">
        <f>IF(Q373="","",($T$367*Tables!$C$107+Tables!$C$108)*Q373)</f>
        <v/>
      </c>
      <c r="V373" s="113"/>
      <c r="W373" s="129" t="s">
        <v>278</v>
      </c>
      <c r="X373" s="246" t="str">
        <f>IF(OR(X371="",X372=""),"",(X372*(X371/8.76))/100)</f>
        <v/>
      </c>
      <c r="Y373" s="125"/>
    </row>
    <row r="374" spans="1:25">
      <c r="A374" s="109">
        <v>34</v>
      </c>
      <c r="B374" s="327"/>
      <c r="C374" s="201"/>
      <c r="D374" s="113"/>
      <c r="E374" s="123"/>
      <c r="F374" s="113"/>
      <c r="G374" s="128" t="s">
        <v>230</v>
      </c>
      <c r="H374" s="113"/>
      <c r="I374" s="125" t="s">
        <v>267</v>
      </c>
      <c r="J374" s="201"/>
      <c r="K374" s="129" t="s">
        <v>172</v>
      </c>
      <c r="L374" s="246" t="str">
        <f>IF(T326="","",T326)</f>
        <v/>
      </c>
      <c r="M374" s="202"/>
      <c r="N374" s="113"/>
      <c r="O374" s="386"/>
      <c r="P374" s="113"/>
      <c r="Q374" s="242"/>
      <c r="R374" s="242"/>
      <c r="S374" s="242"/>
      <c r="T374" s="388" t="str">
        <f>IF(Q374="","",Q374/$T$292)</f>
        <v/>
      </c>
      <c r="U374" s="351" t="str">
        <f>IF(Q374="","",($T$367*Tables!$C$107+Tables!$C$108)*Q374)</f>
        <v/>
      </c>
      <c r="V374" s="113"/>
      <c r="W374" s="129" t="s">
        <v>279</v>
      </c>
      <c r="X374" s="394" t="str">
        <f>IF(AB95="","",AB95)</f>
        <v/>
      </c>
      <c r="Y374" s="125"/>
    </row>
    <row r="375" spans="1:25" ht="16.2" thickBot="1">
      <c r="A375" s="109">
        <v>35</v>
      </c>
      <c r="B375" s="327"/>
      <c r="C375" s="201"/>
      <c r="D375" s="128"/>
      <c r="E375" s="370" t="s">
        <v>49</v>
      </c>
      <c r="F375" s="128" t="s">
        <v>235</v>
      </c>
      <c r="G375" s="128" t="s">
        <v>236</v>
      </c>
      <c r="H375" s="128" t="s">
        <v>270</v>
      </c>
      <c r="I375" s="371" t="s">
        <v>271</v>
      </c>
      <c r="J375" s="201"/>
      <c r="K375" s="129" t="s">
        <v>272</v>
      </c>
      <c r="L375" s="246" t="str">
        <f t="shared" ref="L375:L380" si="108">IF(X329="","",X329)</f>
        <v/>
      </c>
      <c r="M375" s="202"/>
      <c r="N375" s="113"/>
      <c r="O375" s="386"/>
      <c r="P375" s="129" t="s">
        <v>243</v>
      </c>
      <c r="Q375" s="170" t="str">
        <f>IF(OR(Q371="",Q372="",Q373="",Q374=""),"",AVERAGE(Q371:Q374))</f>
        <v/>
      </c>
      <c r="R375" s="354" t="str">
        <f>IF(OR(R371="",R372="",R373="",R374=""),"",AVERAGE(R371:R374))</f>
        <v/>
      </c>
      <c r="S375" s="351" t="str">
        <f>IF(OR(S371="",S372="",S373="",S374=""),"",AVERAGE(S371:S374))</f>
        <v/>
      </c>
      <c r="T375" s="388" t="str">
        <f>IF(OR(T371="",T372="",T373="",T374=""),"",AVERAGE(T371:T374))</f>
        <v/>
      </c>
      <c r="U375" s="351" t="str">
        <f>IF(OR(U371="",U372="",U373="",U374=""),"",AVERAGE(U371:U374))</f>
        <v/>
      </c>
      <c r="V375" s="113"/>
      <c r="W375" s="129" t="s">
        <v>281</v>
      </c>
      <c r="X375" s="108" t="str">
        <f>IF(OR(X373="",X374=""),"",(X373-X374)/X374)</f>
        <v/>
      </c>
      <c r="Y375" s="125"/>
    </row>
    <row r="376" spans="1:25">
      <c r="A376" s="109">
        <v>36</v>
      </c>
      <c r="B376" s="327"/>
      <c r="C376" s="201"/>
      <c r="D376" s="113"/>
      <c r="E376" s="384" t="str">
        <f t="shared" ref="E376:I381" si="109">IF(Q330="","",Q330)</f>
        <v/>
      </c>
      <c r="F376" s="160" t="str">
        <f t="shared" si="109"/>
        <v/>
      </c>
      <c r="G376" s="160" t="str">
        <f t="shared" si="109"/>
        <v/>
      </c>
      <c r="H376" s="385" t="str">
        <f t="shared" si="109"/>
        <v/>
      </c>
      <c r="I376" s="161" t="str">
        <f t="shared" si="109"/>
        <v/>
      </c>
      <c r="J376" s="201"/>
      <c r="K376" s="129" t="s">
        <v>275</v>
      </c>
      <c r="L376" s="246" t="str">
        <f t="shared" si="108"/>
        <v/>
      </c>
      <c r="M376" s="202"/>
      <c r="N376" s="113"/>
      <c r="O376" s="386"/>
      <c r="P376" s="129" t="s">
        <v>283</v>
      </c>
      <c r="Q376" s="302" t="str">
        <f>IF(Q375="","",STDEV(Q371:Q374)/Q375)</f>
        <v/>
      </c>
      <c r="R376" s="302" t="str">
        <f>IF(R375="","",STDEV(R371:R374)/R375)</f>
        <v/>
      </c>
      <c r="S376" s="302" t="str">
        <f>IF(S375="","",STDEV(S371:S374)/S375)</f>
        <v/>
      </c>
      <c r="T376" s="302" t="str">
        <f>IF(T375="","",STDEV(T371:T374)/T375)</f>
        <v/>
      </c>
      <c r="U376" s="302" t="str">
        <f>IF(U375="","",STDEV(U371:U374)/U375)</f>
        <v/>
      </c>
      <c r="V376" s="113"/>
      <c r="W376" s="173"/>
      <c r="X376" s="173"/>
      <c r="Y376" s="125"/>
    </row>
    <row r="377" spans="1:25">
      <c r="A377" s="109">
        <v>37</v>
      </c>
      <c r="B377" s="327"/>
      <c r="C377" s="201"/>
      <c r="D377" s="113"/>
      <c r="E377" s="387" t="str">
        <f t="shared" si="109"/>
        <v/>
      </c>
      <c r="F377" s="169" t="str">
        <f t="shared" si="109"/>
        <v/>
      </c>
      <c r="G377" s="169" t="str">
        <f t="shared" si="109"/>
        <v/>
      </c>
      <c r="H377" s="388" t="str">
        <f t="shared" si="109"/>
        <v/>
      </c>
      <c r="I377" s="171" t="str">
        <f t="shared" si="109"/>
        <v/>
      </c>
      <c r="J377" s="201"/>
      <c r="K377" s="129" t="s">
        <v>277</v>
      </c>
      <c r="L377" s="246" t="str">
        <f t="shared" si="108"/>
        <v/>
      </c>
      <c r="M377" s="202"/>
      <c r="N377" s="113"/>
      <c r="O377" s="123"/>
      <c r="P377" s="173"/>
      <c r="Q377" s="173"/>
      <c r="R377" s="173"/>
      <c r="S377" s="173"/>
      <c r="T377" s="173"/>
      <c r="U377" s="173"/>
      <c r="V377" s="113"/>
      <c r="W377" s="113"/>
      <c r="X377" s="113"/>
      <c r="Y377" s="125"/>
    </row>
    <row r="378" spans="1:25">
      <c r="A378" s="109">
        <v>38</v>
      </c>
      <c r="B378" s="327"/>
      <c r="C378" s="201"/>
      <c r="D378" s="113"/>
      <c r="E378" s="387" t="str">
        <f t="shared" si="109"/>
        <v/>
      </c>
      <c r="F378" s="169" t="str">
        <f t="shared" si="109"/>
        <v/>
      </c>
      <c r="G378" s="169" t="str">
        <f t="shared" si="109"/>
        <v/>
      </c>
      <c r="H378" s="388" t="str">
        <f t="shared" si="109"/>
        <v/>
      </c>
      <c r="I378" s="171" t="str">
        <f t="shared" si="109"/>
        <v/>
      </c>
      <c r="J378" s="201"/>
      <c r="K378" s="129" t="s">
        <v>278</v>
      </c>
      <c r="L378" s="246" t="str">
        <f t="shared" si="108"/>
        <v/>
      </c>
      <c r="M378" s="202"/>
      <c r="N378" s="113"/>
      <c r="O378" s="123"/>
      <c r="P378" s="537" t="s">
        <v>158</v>
      </c>
      <c r="Q378" s="173" t="s">
        <v>284</v>
      </c>
      <c r="R378" s="113"/>
      <c r="S378" s="113"/>
      <c r="T378" s="113"/>
      <c r="U378" s="113"/>
      <c r="V378" s="113"/>
      <c r="W378" s="129" t="s">
        <v>285</v>
      </c>
      <c r="X378" s="108" t="str">
        <f>IF(X373="","",(X373-S375)/S375)</f>
        <v/>
      </c>
      <c r="Y378" s="125"/>
    </row>
    <row r="379" spans="1:25" ht="16.2" thickBot="1">
      <c r="A379" s="109">
        <v>39</v>
      </c>
      <c r="B379" s="327"/>
      <c r="C379" s="201"/>
      <c r="D379" s="113"/>
      <c r="E379" s="391" t="str">
        <f t="shared" si="109"/>
        <v/>
      </c>
      <c r="F379" s="214" t="str">
        <f t="shared" si="109"/>
        <v/>
      </c>
      <c r="G379" s="214" t="str">
        <f t="shared" si="109"/>
        <v/>
      </c>
      <c r="H379" s="392" t="str">
        <f t="shared" si="109"/>
        <v/>
      </c>
      <c r="I379" s="215" t="str">
        <f t="shared" si="109"/>
        <v/>
      </c>
      <c r="J379" s="201"/>
      <c r="K379" s="129" t="s">
        <v>279</v>
      </c>
      <c r="L379" s="246" t="str">
        <f t="shared" si="108"/>
        <v/>
      </c>
      <c r="M379" s="202"/>
      <c r="N379" s="113"/>
      <c r="O379" s="123"/>
      <c r="P379" s="173"/>
      <c r="Q379" s="173" t="s">
        <v>286</v>
      </c>
      <c r="R379" s="113"/>
      <c r="S379" s="113"/>
      <c r="T379" s="113"/>
      <c r="U379" s="113"/>
      <c r="V379" s="113"/>
      <c r="W379" s="129" t="s">
        <v>287</v>
      </c>
      <c r="X379" s="390" t="str">
        <f>IF(OR(X373="",Q375=""),"",3/(X373/Q375))</f>
        <v/>
      </c>
      <c r="Y379" s="125"/>
    </row>
    <row r="380" spans="1:25" ht="16.2" thickBot="1">
      <c r="A380" s="109">
        <v>40</v>
      </c>
      <c r="B380" s="327"/>
      <c r="C380" s="201"/>
      <c r="D380" s="129" t="s">
        <v>243</v>
      </c>
      <c r="E380" s="387" t="str">
        <f t="shared" si="109"/>
        <v/>
      </c>
      <c r="F380" s="169" t="str">
        <f t="shared" si="109"/>
        <v/>
      </c>
      <c r="G380" s="351" t="str">
        <f t="shared" si="109"/>
        <v/>
      </c>
      <c r="H380" s="388" t="str">
        <f t="shared" si="109"/>
        <v/>
      </c>
      <c r="I380" s="171" t="str">
        <f t="shared" si="109"/>
        <v/>
      </c>
      <c r="J380" s="201"/>
      <c r="K380" s="129" t="s">
        <v>281</v>
      </c>
      <c r="L380" s="393" t="str">
        <f t="shared" si="108"/>
        <v/>
      </c>
      <c r="M380" s="202"/>
      <c r="N380" s="113"/>
      <c r="O380" s="134"/>
      <c r="P380" s="395"/>
      <c r="Q380" s="395"/>
      <c r="R380" s="135"/>
      <c r="S380" s="135"/>
      <c r="T380" s="395"/>
      <c r="U380" s="395"/>
      <c r="V380" s="135"/>
      <c r="W380" s="396"/>
      <c r="X380" s="135"/>
      <c r="Y380" s="136"/>
    </row>
    <row r="381" spans="1:25" ht="16.2" thickBot="1">
      <c r="A381" s="109">
        <v>41</v>
      </c>
      <c r="B381" s="327"/>
      <c r="C381" s="201"/>
      <c r="D381" s="129" t="s">
        <v>283</v>
      </c>
      <c r="E381" s="316" t="str">
        <f t="shared" si="109"/>
        <v/>
      </c>
      <c r="F381" s="317" t="str">
        <f t="shared" si="109"/>
        <v/>
      </c>
      <c r="G381" s="317" t="str">
        <f t="shared" si="109"/>
        <v/>
      </c>
      <c r="H381" s="317" t="str">
        <f t="shared" si="109"/>
        <v/>
      </c>
      <c r="I381" s="319" t="str">
        <f t="shared" si="109"/>
        <v/>
      </c>
      <c r="J381" s="201"/>
      <c r="K381" s="201"/>
      <c r="L381" s="201"/>
      <c r="M381" s="202"/>
      <c r="N381" s="113"/>
      <c r="O381" s="241" t="s">
        <v>693</v>
      </c>
      <c r="P381" s="115"/>
      <c r="Q381" s="115"/>
      <c r="R381" s="115"/>
      <c r="S381" s="115"/>
      <c r="T381" s="115"/>
      <c r="U381" s="115"/>
      <c r="V381" s="115"/>
      <c r="W381" s="115"/>
      <c r="X381" s="115"/>
      <c r="Y381" s="116"/>
    </row>
    <row r="382" spans="1:25">
      <c r="A382" s="109">
        <v>42</v>
      </c>
      <c r="B382" s="327"/>
      <c r="C382" s="201"/>
      <c r="D382" s="201"/>
      <c r="E382" s="201"/>
      <c r="F382" s="201"/>
      <c r="G382" s="201"/>
      <c r="H382" s="201"/>
      <c r="I382" s="201"/>
      <c r="J382" s="201"/>
      <c r="K382" s="129" t="s">
        <v>285</v>
      </c>
      <c r="L382" s="393" t="str">
        <f>IF(X336="","",X336)</f>
        <v/>
      </c>
      <c r="M382" s="202"/>
      <c r="N382" s="113"/>
      <c r="O382" s="123"/>
      <c r="P382" s="129" t="s">
        <v>261</v>
      </c>
      <c r="Q382" s="245">
        <f>$Q$291</f>
        <v>0</v>
      </c>
      <c r="R382" s="113"/>
      <c r="S382" s="129" t="s">
        <v>172</v>
      </c>
      <c r="T382" s="244"/>
      <c r="U382" s="113"/>
      <c r="V382" s="173"/>
      <c r="W382" s="173"/>
      <c r="X382" s="113"/>
      <c r="Y382" s="125"/>
    </row>
    <row r="383" spans="1:25" ht="16.2" thickBot="1">
      <c r="A383" s="109">
        <v>43</v>
      </c>
      <c r="B383" s="327"/>
      <c r="C383" s="201"/>
      <c r="D383" s="201"/>
      <c r="E383" s="201"/>
      <c r="F383" s="201"/>
      <c r="G383" s="201"/>
      <c r="H383" s="201"/>
      <c r="I383" s="201"/>
      <c r="J383" s="201"/>
      <c r="K383" s="201"/>
      <c r="L383" s="201"/>
      <c r="M383" s="202"/>
      <c r="N383" s="113"/>
      <c r="O383" s="123"/>
      <c r="P383" s="129" t="s">
        <v>264</v>
      </c>
      <c r="Q383" s="244"/>
      <c r="R383" s="113"/>
      <c r="S383" s="129" t="s">
        <v>262</v>
      </c>
      <c r="T383" s="244"/>
      <c r="U383" s="113"/>
      <c r="V383" s="113"/>
      <c r="W383" s="113"/>
      <c r="X383" s="113"/>
      <c r="Y383" s="125"/>
    </row>
    <row r="384" spans="1:25">
      <c r="A384" s="109">
        <v>44</v>
      </c>
      <c r="B384" s="327"/>
      <c r="C384" s="201"/>
      <c r="D384" s="201"/>
      <c r="E384" s="660" t="str">
        <f>O337&amp;" "&amp;P338&amp;" "&amp;Q338</f>
        <v xml:space="preserve">Combo Mode 3D Target/Filter: </v>
      </c>
      <c r="F384" s="660"/>
      <c r="G384" s="660"/>
      <c r="H384" s="660"/>
      <c r="I384" s="660"/>
      <c r="J384" s="201"/>
      <c r="K384" s="201"/>
      <c r="L384" s="201"/>
      <c r="M384" s="202"/>
      <c r="N384" s="113"/>
      <c r="O384" s="123"/>
      <c r="P384" s="113"/>
      <c r="Q384" s="113"/>
      <c r="R384" s="113"/>
      <c r="S384" s="128" t="s">
        <v>230</v>
      </c>
      <c r="T384" s="113"/>
      <c r="U384" s="113" t="s">
        <v>267</v>
      </c>
      <c r="V384" s="113"/>
      <c r="W384" s="113"/>
      <c r="X384" s="113"/>
      <c r="Y384" s="125"/>
    </row>
    <row r="385" spans="1:25">
      <c r="A385" s="109">
        <v>45</v>
      </c>
      <c r="B385" s="327"/>
      <c r="C385" s="201"/>
      <c r="D385" s="201"/>
      <c r="E385" s="123"/>
      <c r="F385" s="113"/>
      <c r="G385" s="128" t="s">
        <v>230</v>
      </c>
      <c r="H385" s="113"/>
      <c r="I385" s="158" t="s">
        <v>267</v>
      </c>
      <c r="J385" s="201"/>
      <c r="K385" s="129" t="s">
        <v>172</v>
      </c>
      <c r="L385" s="246" t="str">
        <f>IF(T338="","",T338)</f>
        <v/>
      </c>
      <c r="M385" s="202"/>
      <c r="N385" s="113"/>
      <c r="O385" s="386"/>
      <c r="P385" s="113"/>
      <c r="Q385" s="128" t="s">
        <v>49</v>
      </c>
      <c r="R385" s="128" t="s">
        <v>235</v>
      </c>
      <c r="S385" s="128" t="s">
        <v>236</v>
      </c>
      <c r="T385" s="128" t="s">
        <v>270</v>
      </c>
      <c r="U385" s="128" t="s">
        <v>271</v>
      </c>
      <c r="V385" s="113"/>
      <c r="W385" s="129" t="s">
        <v>272</v>
      </c>
      <c r="X385" s="246" t="str">
        <f>IF(T382="","",T382*Tables!$I$121+Tables!$I$122)</f>
        <v/>
      </c>
      <c r="Y385" s="125"/>
    </row>
    <row r="386" spans="1:25" ht="16.2" thickBot="1">
      <c r="A386" s="109">
        <v>46</v>
      </c>
      <c r="B386" s="327"/>
      <c r="C386" s="113"/>
      <c r="D386" s="201"/>
      <c r="E386" s="370" t="s">
        <v>49</v>
      </c>
      <c r="F386" s="128" t="s">
        <v>235</v>
      </c>
      <c r="G386" s="128" t="s">
        <v>236</v>
      </c>
      <c r="H386" s="128" t="s">
        <v>270</v>
      </c>
      <c r="I386" s="400" t="s">
        <v>271</v>
      </c>
      <c r="J386" s="201"/>
      <c r="K386" s="129" t="s">
        <v>272</v>
      </c>
      <c r="L386" s="246" t="str">
        <f t="shared" ref="L386:L391" si="110">IF(X341="","",X341)</f>
        <v/>
      </c>
      <c r="M386" s="202"/>
      <c r="N386" s="113"/>
      <c r="O386" s="386"/>
      <c r="P386" s="113"/>
      <c r="Q386" s="242"/>
      <c r="R386" s="242"/>
      <c r="S386" s="242"/>
      <c r="T386" s="388" t="str">
        <f>IF(Q386="","",Q386/$T$292)</f>
        <v/>
      </c>
      <c r="U386" s="351" t="str">
        <f>IF(Q386="","",($T$382*Tables!$K$107+Tables!$K$108)*Q386)</f>
        <v/>
      </c>
      <c r="V386" s="113"/>
      <c r="W386" s="129" t="s">
        <v>275</v>
      </c>
      <c r="X386" s="246" t="str">
        <f>IF(U390="","",U390)</f>
        <v/>
      </c>
      <c r="Y386" s="125"/>
    </row>
    <row r="387" spans="1:25">
      <c r="A387" s="109">
        <v>47</v>
      </c>
      <c r="B387" s="327"/>
      <c r="C387" s="201"/>
      <c r="D387" s="201"/>
      <c r="E387" s="384" t="str">
        <f t="shared" ref="E387:I392" si="111">IF(Q342="","",Q342)</f>
        <v/>
      </c>
      <c r="F387" s="160" t="str">
        <f t="shared" si="111"/>
        <v/>
      </c>
      <c r="G387" s="160" t="str">
        <f t="shared" si="111"/>
        <v/>
      </c>
      <c r="H387" s="385" t="str">
        <f t="shared" si="111"/>
        <v/>
      </c>
      <c r="I387" s="401" t="str">
        <f t="shared" si="111"/>
        <v/>
      </c>
      <c r="J387" s="201"/>
      <c r="K387" s="129" t="s">
        <v>275</v>
      </c>
      <c r="L387" s="246" t="str">
        <f t="shared" si="110"/>
        <v/>
      </c>
      <c r="M387" s="202"/>
      <c r="N387" s="113"/>
      <c r="O387" s="386"/>
      <c r="P387" s="113"/>
      <c r="Q387" s="242"/>
      <c r="R387" s="242"/>
      <c r="S387" s="242"/>
      <c r="T387" s="388" t="str">
        <f>IF(Q387="","",Q387/$T$292)</f>
        <v/>
      </c>
      <c r="U387" s="351" t="str">
        <f>IF(Q387="","",($T$382*Tables!$K$107+Tables!$K$108)*Q387)</f>
        <v/>
      </c>
      <c r="V387" s="113"/>
      <c r="W387" s="129" t="s">
        <v>277</v>
      </c>
      <c r="X387" s="390" t="str">
        <f>IF(Q383="","",HLOOKUP(Q383,Tables!A130:F131,2,FALSE))</f>
        <v/>
      </c>
      <c r="Y387" s="125"/>
    </row>
    <row r="388" spans="1:25">
      <c r="A388" s="109">
        <v>48</v>
      </c>
      <c r="B388" s="327"/>
      <c r="C388" s="201"/>
      <c r="D388" s="201"/>
      <c r="E388" s="387" t="str">
        <f t="shared" si="111"/>
        <v/>
      </c>
      <c r="F388" s="169" t="str">
        <f t="shared" si="111"/>
        <v/>
      </c>
      <c r="G388" s="169" t="str">
        <f t="shared" si="111"/>
        <v/>
      </c>
      <c r="H388" s="388" t="str">
        <f t="shared" si="111"/>
        <v/>
      </c>
      <c r="I388" s="402" t="str">
        <f t="shared" si="111"/>
        <v/>
      </c>
      <c r="J388" s="201"/>
      <c r="K388" s="129" t="s">
        <v>277</v>
      </c>
      <c r="L388" s="246" t="str">
        <f t="shared" si="110"/>
        <v/>
      </c>
      <c r="M388" s="202"/>
      <c r="N388" s="113"/>
      <c r="O388" s="386"/>
      <c r="P388" s="113"/>
      <c r="Q388" s="242"/>
      <c r="R388" s="242"/>
      <c r="S388" s="242"/>
      <c r="T388" s="388" t="str">
        <f>IF(Q388="","",Q388/$T$292)</f>
        <v/>
      </c>
      <c r="U388" s="351" t="str">
        <f>IF(Q388="","",($T$382*Tables!$K$107+Tables!$K$108)*Q388)</f>
        <v/>
      </c>
      <c r="V388" s="113"/>
      <c r="W388" s="129" t="s">
        <v>278</v>
      </c>
      <c r="X388" s="246" t="str">
        <f>IF(OR(X386="",X387=""),"",(X387*(X386/8.76))/100)</f>
        <v/>
      </c>
      <c r="Y388" s="125"/>
    </row>
    <row r="389" spans="1:25">
      <c r="A389" s="109">
        <v>49</v>
      </c>
      <c r="B389" s="327"/>
      <c r="C389" s="201"/>
      <c r="D389" s="201"/>
      <c r="E389" s="387" t="str">
        <f t="shared" si="111"/>
        <v/>
      </c>
      <c r="F389" s="169" t="str">
        <f t="shared" si="111"/>
        <v/>
      </c>
      <c r="G389" s="169" t="str">
        <f t="shared" si="111"/>
        <v/>
      </c>
      <c r="H389" s="388" t="str">
        <f t="shared" si="111"/>
        <v/>
      </c>
      <c r="I389" s="402" t="str">
        <f t="shared" si="111"/>
        <v/>
      </c>
      <c r="J389" s="201"/>
      <c r="K389" s="129" t="s">
        <v>278</v>
      </c>
      <c r="L389" s="246" t="str">
        <f t="shared" si="110"/>
        <v/>
      </c>
      <c r="M389" s="202"/>
      <c r="N389" s="113"/>
      <c r="O389" s="386"/>
      <c r="P389" s="113"/>
      <c r="Q389" s="242"/>
      <c r="R389" s="242"/>
      <c r="S389" s="242"/>
      <c r="T389" s="388" t="str">
        <f>IF(Q389="","",Q389/$T$292)</f>
        <v/>
      </c>
      <c r="U389" s="351" t="str">
        <f>IF(Q389="","",($T$382*Tables!$K$107+Tables!$K$108)*Q389)</f>
        <v/>
      </c>
      <c r="V389" s="113"/>
      <c r="W389" s="129" t="s">
        <v>279</v>
      </c>
      <c r="X389" s="394" t="str">
        <f>IF(AB96="","",AB96)</f>
        <v/>
      </c>
      <c r="Y389" s="125"/>
    </row>
    <row r="390" spans="1:25" ht="16.2" thickBot="1">
      <c r="A390" s="109">
        <v>50</v>
      </c>
      <c r="B390" s="327"/>
      <c r="C390" s="201"/>
      <c r="D390" s="201"/>
      <c r="E390" s="391" t="str">
        <f t="shared" si="111"/>
        <v/>
      </c>
      <c r="F390" s="214" t="str">
        <f t="shared" si="111"/>
        <v/>
      </c>
      <c r="G390" s="214" t="str">
        <f t="shared" si="111"/>
        <v/>
      </c>
      <c r="H390" s="392" t="str">
        <f t="shared" si="111"/>
        <v/>
      </c>
      <c r="I390" s="403" t="str">
        <f t="shared" si="111"/>
        <v/>
      </c>
      <c r="J390" s="201"/>
      <c r="K390" s="129" t="s">
        <v>279</v>
      </c>
      <c r="L390" s="246" t="str">
        <f t="shared" si="110"/>
        <v/>
      </c>
      <c r="M390" s="202"/>
      <c r="N390" s="113"/>
      <c r="O390" s="386"/>
      <c r="P390" s="129" t="s">
        <v>243</v>
      </c>
      <c r="Q390" s="170" t="str">
        <f>IF(OR(Q386="",Q387="",Q388="",Q389=""),"",AVERAGE(Q386:Q389))</f>
        <v/>
      </c>
      <c r="R390" s="354" t="str">
        <f>IF(OR(R386="",R387="",R388="",R389=""),"",AVERAGE(R386:R389))</f>
        <v/>
      </c>
      <c r="S390" s="351" t="str">
        <f>IF(OR(S386="",S387="",S388="",S389=""),"",AVERAGE(S386:S389))</f>
        <v/>
      </c>
      <c r="T390" s="388" t="str">
        <f>IF(OR(T386="",T387="",T388="",T389=""),"",AVERAGE(T386:T389))</f>
        <v/>
      </c>
      <c r="U390" s="351" t="str">
        <f>IF(OR(U386="",U387="",U388="",U389=""),"",AVERAGE(U386:U389))</f>
        <v/>
      </c>
      <c r="V390" s="113"/>
      <c r="W390" s="129" t="s">
        <v>281</v>
      </c>
      <c r="X390" s="108" t="str">
        <f>IF(OR(X388="",X389=""),"",(X388-X389)/X389)</f>
        <v/>
      </c>
      <c r="Y390" s="125"/>
    </row>
    <row r="391" spans="1:25">
      <c r="A391" s="109">
        <v>51</v>
      </c>
      <c r="B391" s="327"/>
      <c r="C391" s="201"/>
      <c r="D391" s="129" t="s">
        <v>243</v>
      </c>
      <c r="E391" s="387" t="str">
        <f t="shared" si="111"/>
        <v/>
      </c>
      <c r="F391" s="169" t="str">
        <f t="shared" si="111"/>
        <v/>
      </c>
      <c r="G391" s="351" t="str">
        <f t="shared" si="111"/>
        <v/>
      </c>
      <c r="H391" s="388" t="str">
        <f t="shared" si="111"/>
        <v/>
      </c>
      <c r="I391" s="402" t="str">
        <f t="shared" si="111"/>
        <v/>
      </c>
      <c r="J391" s="201"/>
      <c r="K391" s="129" t="s">
        <v>281</v>
      </c>
      <c r="L391" s="393" t="str">
        <f t="shared" si="110"/>
        <v/>
      </c>
      <c r="M391" s="202"/>
      <c r="N391" s="113"/>
      <c r="O391" s="386"/>
      <c r="P391" s="129" t="s">
        <v>283</v>
      </c>
      <c r="Q391" s="302" t="str">
        <f>IF(Q390="","",STDEV(Q386:Q389)/Q390)</f>
        <v/>
      </c>
      <c r="R391" s="302" t="str">
        <f>IF(R390="","",STDEV(R386:R389)/R390)</f>
        <v/>
      </c>
      <c r="S391" s="302" t="str">
        <f>IF(S390="","",STDEV(S386:S389)/S390)</f>
        <v/>
      </c>
      <c r="T391" s="302" t="str">
        <f>IF(T390="","",STDEV(T386:T389)/T390)</f>
        <v/>
      </c>
      <c r="U391" s="302" t="str">
        <f>IF(U390="","",STDEV(U386:U389)/U390)</f>
        <v/>
      </c>
      <c r="V391" s="113"/>
      <c r="W391" s="173"/>
      <c r="X391" s="173"/>
      <c r="Y391" s="125"/>
    </row>
    <row r="392" spans="1:25" ht="16.2" thickBot="1">
      <c r="A392" s="109">
        <v>52</v>
      </c>
      <c r="B392" s="327"/>
      <c r="C392" s="201"/>
      <c r="D392" s="129" t="s">
        <v>283</v>
      </c>
      <c r="E392" s="316" t="str">
        <f t="shared" si="111"/>
        <v/>
      </c>
      <c r="F392" s="317" t="str">
        <f t="shared" si="111"/>
        <v/>
      </c>
      <c r="G392" s="317" t="str">
        <f t="shared" si="111"/>
        <v/>
      </c>
      <c r="H392" s="317" t="str">
        <f t="shared" si="111"/>
        <v/>
      </c>
      <c r="I392" s="405" t="str">
        <f t="shared" si="111"/>
        <v/>
      </c>
      <c r="J392" s="201"/>
      <c r="K392" s="201"/>
      <c r="L392" s="201"/>
      <c r="M392" s="202"/>
      <c r="N392" s="113"/>
      <c r="O392" s="123"/>
      <c r="P392" s="173"/>
      <c r="Q392" s="173"/>
      <c r="R392" s="173"/>
      <c r="S392" s="173"/>
      <c r="T392" s="173"/>
      <c r="U392" s="173"/>
      <c r="V392" s="113"/>
      <c r="W392" s="113"/>
      <c r="X392" s="113"/>
      <c r="Y392" s="125"/>
    </row>
    <row r="393" spans="1:25">
      <c r="A393" s="109">
        <v>53</v>
      </c>
      <c r="B393" s="327"/>
      <c r="C393" s="201"/>
      <c r="D393" s="208" t="s">
        <v>158</v>
      </c>
      <c r="E393" s="120" t="s">
        <v>284</v>
      </c>
      <c r="F393" s="201"/>
      <c r="G393" s="201"/>
      <c r="H393" s="201"/>
      <c r="I393" s="201"/>
      <c r="J393" s="201"/>
      <c r="K393" s="129" t="s">
        <v>285</v>
      </c>
      <c r="L393" s="393" t="str">
        <f>IF(X348="","",X348)</f>
        <v/>
      </c>
      <c r="M393" s="202"/>
      <c r="N393" s="113"/>
      <c r="O393" s="123"/>
      <c r="P393" s="537" t="s">
        <v>158</v>
      </c>
      <c r="Q393" s="173" t="s">
        <v>284</v>
      </c>
      <c r="R393" s="113"/>
      <c r="S393" s="113"/>
      <c r="T393" s="113"/>
      <c r="U393" s="113"/>
      <c r="V393" s="113"/>
      <c r="W393" s="129" t="s">
        <v>285</v>
      </c>
      <c r="X393" s="108" t="str">
        <f>IF(X388="","",(X388-S390)/S390)</f>
        <v/>
      </c>
      <c r="Y393" s="125"/>
    </row>
    <row r="394" spans="1:25">
      <c r="A394" s="109">
        <v>54</v>
      </c>
      <c r="B394" s="327"/>
      <c r="C394" s="201"/>
      <c r="D394" s="113"/>
      <c r="E394" s="120" t="s">
        <v>286</v>
      </c>
      <c r="F394" s="201"/>
      <c r="G394" s="201"/>
      <c r="H394" s="201"/>
      <c r="I394" s="201"/>
      <c r="J394" s="201"/>
      <c r="K394" s="201"/>
      <c r="L394" s="201"/>
      <c r="M394" s="202"/>
      <c r="N394" s="113"/>
      <c r="O394" s="123"/>
      <c r="P394" s="173"/>
      <c r="Q394" s="173" t="s">
        <v>286</v>
      </c>
      <c r="R394" s="113"/>
      <c r="S394" s="113"/>
      <c r="T394" s="113"/>
      <c r="U394" s="113"/>
      <c r="V394" s="113"/>
      <c r="W394" s="129" t="s">
        <v>287</v>
      </c>
      <c r="X394" s="390" t="str">
        <f>IF(OR(X388="",Q390=""),"",3/(X388/Q390))</f>
        <v/>
      </c>
      <c r="Y394" s="125"/>
    </row>
    <row r="395" spans="1:25" ht="16.2" thickBot="1">
      <c r="A395" s="109">
        <v>55</v>
      </c>
      <c r="B395" s="327"/>
      <c r="C395" s="201"/>
      <c r="D395" s="201"/>
      <c r="E395" s="201"/>
      <c r="F395" s="201"/>
      <c r="G395" s="201"/>
      <c r="H395" s="201"/>
      <c r="I395" s="201"/>
      <c r="J395" s="201"/>
      <c r="K395" s="137" t="s">
        <v>305</v>
      </c>
      <c r="L395" s="487" t="str">
        <f>IF(X349="","",X349)</f>
        <v/>
      </c>
      <c r="M395" s="202"/>
      <c r="N395" s="113"/>
      <c r="O395" s="134"/>
      <c r="P395" s="395"/>
      <c r="Q395" s="395"/>
      <c r="R395" s="135"/>
      <c r="S395" s="135"/>
      <c r="T395" s="395"/>
      <c r="U395" s="395"/>
      <c r="V395" s="135"/>
      <c r="W395" s="396"/>
      <c r="X395" s="135"/>
      <c r="Y395" s="136"/>
    </row>
    <row r="396" spans="1:25">
      <c r="A396" s="109">
        <v>56</v>
      </c>
      <c r="B396" s="327"/>
      <c r="C396" s="201"/>
      <c r="D396" s="201"/>
      <c r="E396" s="201"/>
      <c r="F396" s="201"/>
      <c r="G396" s="201"/>
      <c r="H396" s="201"/>
      <c r="I396" s="201"/>
      <c r="J396" s="201"/>
      <c r="K396" s="137" t="s">
        <v>294</v>
      </c>
      <c r="L396" s="487" t="str">
        <f>IF(X350="","",X350)</f>
        <v/>
      </c>
      <c r="M396" s="202"/>
      <c r="N396" s="113"/>
      <c r="O396" s="241" t="s">
        <v>295</v>
      </c>
      <c r="P396" s="414"/>
      <c r="Q396" s="414"/>
      <c r="R396" s="115"/>
      <c r="S396" s="115"/>
      <c r="T396" s="414"/>
      <c r="U396" s="414"/>
      <c r="V396" s="115"/>
      <c r="W396" s="115"/>
      <c r="X396" s="115"/>
      <c r="Y396" s="116"/>
    </row>
    <row r="397" spans="1:25">
      <c r="A397" s="109">
        <v>57</v>
      </c>
      <c r="B397" s="327"/>
      <c r="C397" s="201"/>
      <c r="D397" s="201"/>
      <c r="E397" s="201"/>
      <c r="F397" s="201"/>
      <c r="G397" s="201"/>
      <c r="H397" s="201"/>
      <c r="I397" s="201"/>
      <c r="J397" s="201"/>
      <c r="K397" s="201"/>
      <c r="L397" s="201"/>
      <c r="M397" s="202"/>
      <c r="N397" s="113"/>
      <c r="O397" s="123" t="s">
        <v>296</v>
      </c>
      <c r="P397" s="342" t="s">
        <v>561</v>
      </c>
      <c r="Q397" s="113"/>
      <c r="R397" s="201"/>
      <c r="S397" s="129" t="s">
        <v>297</v>
      </c>
      <c r="T397" s="502"/>
      <c r="U397" s="502"/>
      <c r="V397" s="113"/>
      <c r="W397" s="113"/>
      <c r="X397" s="113"/>
      <c r="Y397" s="125"/>
    </row>
    <row r="398" spans="1:25" ht="16.2" thickBot="1">
      <c r="A398" s="109">
        <v>58</v>
      </c>
      <c r="B398" s="263"/>
      <c r="C398" s="135"/>
      <c r="D398" s="135"/>
      <c r="E398" s="135"/>
      <c r="F398" s="135"/>
      <c r="G398" s="135"/>
      <c r="H398" s="135"/>
      <c r="I398" s="135"/>
      <c r="J398" s="135"/>
      <c r="K398" s="135"/>
      <c r="L398" s="135"/>
      <c r="M398" s="264"/>
      <c r="N398" s="113"/>
      <c r="O398" s="123" t="s">
        <v>298</v>
      </c>
      <c r="P398" s="415"/>
      <c r="Q398" s="113"/>
      <c r="R398" s="201"/>
      <c r="S398" s="129" t="s">
        <v>299</v>
      </c>
      <c r="T398" s="503"/>
      <c r="U398" s="503"/>
      <c r="V398" s="113"/>
      <c r="W398" s="113"/>
      <c r="X398" s="113"/>
      <c r="Y398" s="125"/>
    </row>
    <row r="399" spans="1:25">
      <c r="A399" s="109">
        <v>59</v>
      </c>
      <c r="B399" s="406"/>
      <c r="C399" s="407" t="s">
        <v>306</v>
      </c>
      <c r="D399" s="408"/>
      <c r="E399" s="408"/>
      <c r="F399" s="408"/>
      <c r="G399" s="408"/>
      <c r="H399" s="408"/>
      <c r="I399" s="408"/>
      <c r="J399" s="408"/>
      <c r="K399" s="408"/>
      <c r="L399" s="408"/>
      <c r="M399" s="409"/>
      <c r="N399" s="113"/>
      <c r="O399" s="123"/>
      <c r="P399" s="113"/>
      <c r="Q399" s="113"/>
      <c r="R399" s="113"/>
      <c r="S399" s="113"/>
      <c r="T399" s="113"/>
      <c r="U399" s="113"/>
      <c r="V399" s="113"/>
      <c r="W399" s="113"/>
      <c r="X399" s="113"/>
      <c r="Y399" s="125"/>
    </row>
    <row r="400" spans="1:25" ht="16.2" thickBot="1">
      <c r="A400" s="109">
        <v>60</v>
      </c>
      <c r="B400" s="157"/>
      <c r="C400" s="113"/>
      <c r="D400" s="129" t="s">
        <v>172</v>
      </c>
      <c r="E400" s="254">
        <f>IF(Q532="","",Q532)</f>
        <v>0</v>
      </c>
      <c r="F400" s="113"/>
      <c r="G400" s="113"/>
      <c r="H400" s="113" t="s">
        <v>307</v>
      </c>
      <c r="I400" s="113" t="s">
        <v>308</v>
      </c>
      <c r="J400" s="113" t="s">
        <v>249</v>
      </c>
      <c r="K400" s="113" t="s">
        <v>250</v>
      </c>
      <c r="L400" s="113"/>
      <c r="M400" s="158"/>
      <c r="N400" s="113"/>
      <c r="O400" s="123"/>
      <c r="P400" s="208" t="s">
        <v>158</v>
      </c>
      <c r="Q400" s="120" t="s">
        <v>310</v>
      </c>
      <c r="R400" s="113"/>
      <c r="S400" s="113"/>
      <c r="T400" s="128" t="s">
        <v>300</v>
      </c>
      <c r="U400" s="128"/>
      <c r="V400" s="128"/>
      <c r="W400" s="128"/>
      <c r="X400" s="128"/>
      <c r="Y400" s="125"/>
    </row>
    <row r="401" spans="1:25" ht="16.2" thickBot="1">
      <c r="A401" s="109">
        <v>61</v>
      </c>
      <c r="B401" s="157"/>
      <c r="C401" s="113"/>
      <c r="D401" s="129" t="s">
        <v>173</v>
      </c>
      <c r="E401" s="254">
        <f>IF(Q533="","",Q533)</f>
        <v>0</v>
      </c>
      <c r="F401" s="113"/>
      <c r="G401" s="129" t="s">
        <v>309</v>
      </c>
      <c r="H401" s="410" t="e">
        <f t="shared" ref="H401:K402" si="112">IF(T536="","",T536)</f>
        <v>#DIV/0!</v>
      </c>
      <c r="I401" s="170" t="str">
        <f t="shared" si="112"/>
        <v/>
      </c>
      <c r="J401" s="302" t="e">
        <f t="shared" si="112"/>
        <v>#DIV/0!</v>
      </c>
      <c r="K401" s="411" t="e">
        <f t="shared" si="112"/>
        <v>#DIV/0!</v>
      </c>
      <c r="L401" s="113"/>
      <c r="M401" s="158"/>
      <c r="N401" s="113"/>
      <c r="O401" s="123"/>
      <c r="P401" s="128" t="s">
        <v>29</v>
      </c>
      <c r="Q401" s="128" t="s">
        <v>233</v>
      </c>
      <c r="R401" s="128" t="s">
        <v>234</v>
      </c>
      <c r="S401" s="128" t="s">
        <v>49</v>
      </c>
      <c r="T401" s="128" t="s">
        <v>48</v>
      </c>
      <c r="U401" s="128" t="s">
        <v>301</v>
      </c>
      <c r="V401" s="128" t="s">
        <v>302</v>
      </c>
      <c r="W401" s="128" t="s">
        <v>303</v>
      </c>
      <c r="X401" s="128" t="s">
        <v>304</v>
      </c>
      <c r="Y401" s="125"/>
    </row>
    <row r="402" spans="1:25" ht="16.2" thickBot="1">
      <c r="A402" s="109">
        <v>62</v>
      </c>
      <c r="B402" s="157"/>
      <c r="C402" s="113"/>
      <c r="D402" s="129" t="s">
        <v>29</v>
      </c>
      <c r="E402" s="254" t="str">
        <f>IF(Q534="","",Q534)</f>
        <v/>
      </c>
      <c r="F402" s="113"/>
      <c r="G402" s="129" t="s">
        <v>311</v>
      </c>
      <c r="H402" s="410" t="e">
        <f t="shared" si="112"/>
        <v>#DIV/0!</v>
      </c>
      <c r="I402" s="170" t="str">
        <f t="shared" si="112"/>
        <v/>
      </c>
      <c r="J402" s="302" t="e">
        <f t="shared" si="112"/>
        <v>#DIV/0!</v>
      </c>
      <c r="K402" s="169" t="str">
        <f t="shared" si="112"/>
        <v>NA</v>
      </c>
      <c r="L402" s="113"/>
      <c r="M402" s="158"/>
      <c r="N402" s="113"/>
      <c r="O402" s="123"/>
      <c r="P402" s="169" t="str">
        <f t="shared" ref="P402:Q404" si="113">IF(AK10="","",AK10)</f>
        <v/>
      </c>
      <c r="Q402" s="169" t="str">
        <f t="shared" si="113"/>
        <v/>
      </c>
      <c r="R402" s="169" t="str">
        <f t="shared" ref="R402:S404" si="114">IF(AH10="","",AH10)</f>
        <v/>
      </c>
      <c r="S402" s="169" t="str">
        <f t="shared" si="114"/>
        <v/>
      </c>
      <c r="T402" s="351" t="str">
        <f>IF(Sheet2!F4="","",Sheet2!F4)</f>
        <v/>
      </c>
      <c r="U402" s="170" t="str">
        <f>IF(Sheet2!G4="","",Sheet2!G4)</f>
        <v/>
      </c>
      <c r="V402" s="351" t="str">
        <f>IF(Sheet2!H4="","",Sheet2!H4)</f>
        <v/>
      </c>
      <c r="W402" s="388" t="str">
        <f t="shared" ref="W402:W408" si="115">IF(V402="","",V402/S402)</f>
        <v/>
      </c>
      <c r="X402" s="351" t="str">
        <f>IF(OR(V402="",U402=""),"",V402/(U402/1000))</f>
        <v/>
      </c>
      <c r="Y402" s="125"/>
    </row>
    <row r="403" spans="1:25">
      <c r="A403" s="109">
        <v>63</v>
      </c>
      <c r="B403" s="157"/>
      <c r="C403" s="113"/>
      <c r="D403" s="129" t="s">
        <v>31</v>
      </c>
      <c r="E403" s="254" t="str">
        <f>IF(Q535="","",Q535)</f>
        <v/>
      </c>
      <c r="F403" s="113"/>
      <c r="G403" s="113"/>
      <c r="H403" s="113"/>
      <c r="I403" s="113"/>
      <c r="J403" s="113"/>
      <c r="K403" s="113"/>
      <c r="L403" s="113"/>
      <c r="M403" s="158"/>
      <c r="N403" s="113"/>
      <c r="O403" s="123"/>
      <c r="P403" s="169" t="str">
        <f t="shared" si="113"/>
        <v/>
      </c>
      <c r="Q403" s="169" t="str">
        <f t="shared" si="113"/>
        <v/>
      </c>
      <c r="R403" s="169" t="str">
        <f t="shared" si="114"/>
        <v/>
      </c>
      <c r="S403" s="169" t="str">
        <f t="shared" si="114"/>
        <v/>
      </c>
      <c r="T403" s="351" t="str">
        <f>IF(Sheet2!F5="","",Sheet2!F5)</f>
        <v/>
      </c>
      <c r="U403" s="170" t="str">
        <f>IF(Sheet2!G5="","",Sheet2!G5)</f>
        <v/>
      </c>
      <c r="V403" s="351" t="str">
        <f>IF(Sheet2!H5="","",Sheet2!H5)</f>
        <v/>
      </c>
      <c r="W403" s="388" t="str">
        <f t="shared" si="115"/>
        <v/>
      </c>
      <c r="X403" s="351" t="str">
        <f t="shared" ref="X403:X408" si="116">IF(OR(V403="",U403=""),"",V403/(U403/1000))</f>
        <v/>
      </c>
      <c r="Y403" s="125"/>
    </row>
    <row r="404" spans="1:25">
      <c r="A404" s="109">
        <v>64</v>
      </c>
      <c r="B404" s="157"/>
      <c r="C404" s="113"/>
      <c r="D404" s="208" t="s">
        <v>158</v>
      </c>
      <c r="E404" s="120" t="s">
        <v>312</v>
      </c>
      <c r="F404" s="113"/>
      <c r="G404" s="113"/>
      <c r="H404" s="113"/>
      <c r="I404" s="113"/>
      <c r="J404" s="113"/>
      <c r="K404" s="113"/>
      <c r="L404" s="113"/>
      <c r="M404" s="158"/>
      <c r="N404" s="113"/>
      <c r="O404" s="123"/>
      <c r="P404" s="169" t="str">
        <f t="shared" si="113"/>
        <v/>
      </c>
      <c r="Q404" s="169" t="str">
        <f t="shared" si="113"/>
        <v/>
      </c>
      <c r="R404" s="169" t="str">
        <f t="shared" si="114"/>
        <v/>
      </c>
      <c r="S404" s="169" t="str">
        <f t="shared" si="114"/>
        <v/>
      </c>
      <c r="T404" s="351" t="str">
        <f>IF(Sheet2!F6="","",Sheet2!F6)</f>
        <v/>
      </c>
      <c r="U404" s="170" t="str">
        <f>IF(Sheet2!G6="","",Sheet2!G6)</f>
        <v/>
      </c>
      <c r="V404" s="351" t="str">
        <f>IF(Sheet2!H6="","",Sheet2!H6)</f>
        <v/>
      </c>
      <c r="W404" s="388" t="str">
        <f t="shared" si="115"/>
        <v/>
      </c>
      <c r="X404" s="351" t="str">
        <f t="shared" si="116"/>
        <v/>
      </c>
      <c r="Y404" s="125"/>
    </row>
    <row r="405" spans="1:25">
      <c r="A405" s="109">
        <v>65</v>
      </c>
      <c r="B405" s="157"/>
      <c r="C405" s="113"/>
      <c r="D405" s="113"/>
      <c r="E405" s="120" t="s">
        <v>313</v>
      </c>
      <c r="F405" s="113"/>
      <c r="G405" s="113"/>
      <c r="H405" s="113"/>
      <c r="I405" s="113"/>
      <c r="J405" s="113"/>
      <c r="K405" s="113"/>
      <c r="L405" s="113"/>
      <c r="M405" s="158"/>
      <c r="N405" s="113"/>
      <c r="O405" s="123"/>
      <c r="P405" s="169" t="str">
        <f>IF(AK14="","",AK14)</f>
        <v/>
      </c>
      <c r="Q405" s="169" t="str">
        <f>IF(AL14="","",AL14)</f>
        <v/>
      </c>
      <c r="R405" s="169" t="str">
        <f>IF(AH14="","",AH14)</f>
        <v/>
      </c>
      <c r="S405" s="169" t="str">
        <f>IF(AI14="","",AI14)</f>
        <v/>
      </c>
      <c r="T405" s="351" t="str">
        <f>IF(Sheet2!F8="","",Sheet2!F8)</f>
        <v/>
      </c>
      <c r="U405" s="170" t="str">
        <f>IF(Sheet2!G8="","",Sheet2!G8)</f>
        <v/>
      </c>
      <c r="V405" s="351" t="str">
        <f>IF(Sheet2!H8="","",Sheet2!H8)</f>
        <v/>
      </c>
      <c r="W405" s="388" t="str">
        <f t="shared" si="115"/>
        <v/>
      </c>
      <c r="X405" s="351" t="str">
        <f t="shared" si="116"/>
        <v/>
      </c>
      <c r="Y405" s="125"/>
    </row>
    <row r="406" spans="1:25" ht="16.2" thickBot="1">
      <c r="A406" s="109">
        <v>66</v>
      </c>
      <c r="B406" s="263"/>
      <c r="C406" s="135"/>
      <c r="D406" s="135"/>
      <c r="E406" s="135"/>
      <c r="F406" s="135"/>
      <c r="G406" s="135"/>
      <c r="H406" s="135"/>
      <c r="I406" s="135"/>
      <c r="J406" s="135"/>
      <c r="K406" s="135"/>
      <c r="L406" s="135"/>
      <c r="M406" s="264"/>
      <c r="N406" s="113"/>
      <c r="O406" s="123"/>
      <c r="P406" s="169" t="str">
        <f t="shared" ref="P406:Q410" si="117">IF(AK21="","",AK21)</f>
        <v/>
      </c>
      <c r="Q406" s="169" t="str">
        <f t="shared" si="117"/>
        <v/>
      </c>
      <c r="R406" s="169" t="str">
        <f t="shared" ref="R406:S410" si="118">IF(AH21="","",AH21)</f>
        <v/>
      </c>
      <c r="S406" s="169" t="str">
        <f t="shared" si="118"/>
        <v/>
      </c>
      <c r="T406" s="351" t="str">
        <f>IF(Sheet2!F15="","",Sheet2!F15)</f>
        <v/>
      </c>
      <c r="U406" s="170" t="str">
        <f>IF(Sheet2!G15="","",Sheet2!G15)</f>
        <v/>
      </c>
      <c r="V406" s="351" t="str">
        <f>IF(Sheet2!H15="","",Sheet2!H15)</f>
        <v/>
      </c>
      <c r="W406" s="388" t="str">
        <f t="shared" si="115"/>
        <v/>
      </c>
      <c r="X406" s="351" t="str">
        <f t="shared" si="116"/>
        <v/>
      </c>
      <c r="Y406" s="125"/>
    </row>
    <row r="407" spans="1:25">
      <c r="A407" s="109">
        <v>67</v>
      </c>
      <c r="B407" s="113"/>
      <c r="C407" s="203" t="s">
        <v>3</v>
      </c>
      <c r="D407" s="479" t="str">
        <f>IF($P$7="","",$P$7)</f>
        <v/>
      </c>
      <c r="E407" s="120"/>
      <c r="F407" s="120"/>
      <c r="G407" s="120"/>
      <c r="H407" s="120"/>
      <c r="I407" s="120"/>
      <c r="J407" s="120"/>
      <c r="K407" s="120"/>
      <c r="L407" s="203" t="s">
        <v>4</v>
      </c>
      <c r="M407" s="205" t="str">
        <f>IF($X$7="","",$X$7)</f>
        <v>Eugene Mah</v>
      </c>
      <c r="N407" s="113"/>
      <c r="O407" s="123"/>
      <c r="P407" s="169" t="str">
        <f t="shared" si="117"/>
        <v/>
      </c>
      <c r="Q407" s="169" t="str">
        <f t="shared" si="117"/>
        <v/>
      </c>
      <c r="R407" s="169" t="str">
        <f t="shared" si="118"/>
        <v/>
      </c>
      <c r="S407" s="169" t="str">
        <f t="shared" si="118"/>
        <v/>
      </c>
      <c r="T407" s="351" t="str">
        <f>IF(Sheet2!F16="","",Sheet2!F16)</f>
        <v/>
      </c>
      <c r="U407" s="170" t="str">
        <f>IF(Sheet2!G16="","",Sheet2!G16)</f>
        <v/>
      </c>
      <c r="V407" s="351" t="str">
        <f>IF(Sheet2!H16="","",Sheet2!H16)</f>
        <v/>
      </c>
      <c r="W407" s="388" t="str">
        <f t="shared" si="115"/>
        <v/>
      </c>
      <c r="X407" s="351" t="str">
        <f t="shared" si="116"/>
        <v/>
      </c>
      <c r="Y407" s="125"/>
    </row>
    <row r="408" spans="1:25">
      <c r="A408" s="109">
        <v>68</v>
      </c>
      <c r="B408" s="113"/>
      <c r="C408" s="203" t="s">
        <v>86</v>
      </c>
      <c r="D408" s="206" t="str">
        <f>IF($R$14="","",$R$14)</f>
        <v/>
      </c>
      <c r="E408" s="120"/>
      <c r="F408" s="120"/>
      <c r="G408" s="120"/>
      <c r="H408" s="120"/>
      <c r="I408" s="120"/>
      <c r="J408" s="120"/>
      <c r="K408" s="120"/>
      <c r="L408" s="203" t="s">
        <v>16</v>
      </c>
      <c r="M408" s="205" t="str">
        <f>IF($R$13="","",$R$13)</f>
        <v/>
      </c>
      <c r="N408" s="113"/>
      <c r="O408" s="123"/>
      <c r="P408" s="169" t="str">
        <f t="shared" si="117"/>
        <v/>
      </c>
      <c r="Q408" s="169" t="str">
        <f t="shared" si="117"/>
        <v/>
      </c>
      <c r="R408" s="169" t="str">
        <f t="shared" si="118"/>
        <v/>
      </c>
      <c r="S408" s="169" t="str">
        <f t="shared" si="118"/>
        <v/>
      </c>
      <c r="T408" s="351" t="str">
        <f>IF(Sheet2!F17="","",Sheet2!F17)</f>
        <v/>
      </c>
      <c r="U408" s="170" t="str">
        <f>IF(Sheet2!G17="","",Sheet2!G17)</f>
        <v/>
      </c>
      <c r="V408" s="351" t="str">
        <f>IF(Sheet2!H17="","",Sheet2!H17)</f>
        <v/>
      </c>
      <c r="W408" s="388" t="str">
        <f t="shared" si="115"/>
        <v/>
      </c>
      <c r="X408" s="351" t="str">
        <f t="shared" si="116"/>
        <v/>
      </c>
      <c r="Y408" s="125"/>
    </row>
    <row r="409" spans="1:25" ht="16.2">
      <c r="A409" s="109">
        <v>1</v>
      </c>
      <c r="B409" s="113"/>
      <c r="C409" s="113"/>
      <c r="D409" s="113"/>
      <c r="E409" s="113"/>
      <c r="F409" s="113"/>
      <c r="G409" s="113"/>
      <c r="H409" s="113"/>
      <c r="I409" s="113"/>
      <c r="J409" s="113"/>
      <c r="K409" s="113"/>
      <c r="L409" s="113"/>
      <c r="M409" s="207" t="str">
        <f>$H$2</f>
        <v>Medical University of South Carolina</v>
      </c>
      <c r="N409" s="113"/>
      <c r="O409" s="280"/>
      <c r="P409" s="169" t="str">
        <f t="shared" si="117"/>
        <v/>
      </c>
      <c r="Q409" s="169" t="str">
        <f t="shared" si="117"/>
        <v/>
      </c>
      <c r="R409" s="169" t="str">
        <f t="shared" si="118"/>
        <v/>
      </c>
      <c r="S409" s="169" t="str">
        <f t="shared" si="118"/>
        <v/>
      </c>
      <c r="T409" s="351" t="str">
        <f>IF(Sheet2!F18="","",Sheet2!F18)</f>
        <v/>
      </c>
      <c r="U409" s="170" t="str">
        <f>IF(Sheet2!G18="","",Sheet2!G18)</f>
        <v/>
      </c>
      <c r="V409" s="351" t="str">
        <f>IF(Sheet2!H18="","",Sheet2!H18)</f>
        <v/>
      </c>
      <c r="W409" s="388" t="str">
        <f>IF(V409="","",V409/S409)</f>
        <v/>
      </c>
      <c r="X409" s="351" t="str">
        <f>IF(OR(V409="",U409=""),"",V409/(U409/1000))</f>
        <v/>
      </c>
      <c r="Y409" s="125"/>
    </row>
    <row r="410" spans="1:25" ht="18" thickBot="1">
      <c r="A410" s="109">
        <v>2</v>
      </c>
      <c r="B410" s="113"/>
      <c r="C410" s="113"/>
      <c r="D410" s="113"/>
      <c r="E410" s="113"/>
      <c r="F410" s="113"/>
      <c r="G410" s="113"/>
      <c r="H410" s="144" t="s">
        <v>50</v>
      </c>
      <c r="I410" s="113"/>
      <c r="J410" s="113"/>
      <c r="K410" s="113"/>
      <c r="L410" s="113"/>
      <c r="M410" s="208" t="str">
        <f>$H$5</f>
        <v>Mammography System Compliance Inspection</v>
      </c>
      <c r="N410" s="113"/>
      <c r="O410" s="123"/>
      <c r="P410" s="169" t="str">
        <f t="shared" si="117"/>
        <v/>
      </c>
      <c r="Q410" s="169" t="str">
        <f t="shared" si="117"/>
        <v/>
      </c>
      <c r="R410" s="169" t="str">
        <f t="shared" si="118"/>
        <v/>
      </c>
      <c r="S410" s="169" t="str">
        <f t="shared" si="118"/>
        <v/>
      </c>
      <c r="T410" s="351" t="str">
        <f>IF(Sheet2!F19="","",Sheet2!F19)</f>
        <v/>
      </c>
      <c r="U410" s="170" t="str">
        <f>IF(Sheet2!G19="","",Sheet2!G19)</f>
        <v/>
      </c>
      <c r="V410" s="351" t="str">
        <f>IF(Sheet2!H19="","",Sheet2!H19)</f>
        <v/>
      </c>
      <c r="W410" s="388" t="str">
        <f t="shared" ref="W410" si="119">IF(V410="","",V410/S410)</f>
        <v/>
      </c>
      <c r="X410" s="351" t="str">
        <f t="shared" ref="X410" si="120">IF(OR(V410="",U410=""),"",V410/(U410/1000))</f>
        <v/>
      </c>
      <c r="Y410" s="125"/>
    </row>
    <row r="411" spans="1:25" ht="16.2" thickTop="1">
      <c r="A411" s="109">
        <v>3</v>
      </c>
      <c r="B411" s="148"/>
      <c r="C411" s="416" t="s">
        <v>296</v>
      </c>
      <c r="D411" s="496" t="str">
        <f>IF(P397="","",P397)</f>
        <v>Piranha</v>
      </c>
      <c r="E411" s="416"/>
      <c r="F411" s="417"/>
      <c r="G411" s="149"/>
      <c r="H411" s="416" t="s">
        <v>297</v>
      </c>
      <c r="I411" s="652" t="str">
        <f>IF(T397="","",T397)</f>
        <v/>
      </c>
      <c r="J411" s="652"/>
      <c r="K411" s="149"/>
      <c r="L411" s="149"/>
      <c r="M411" s="151"/>
      <c r="N411" s="113"/>
      <c r="O411" s="123"/>
      <c r="Y411" s="125"/>
    </row>
    <row r="412" spans="1:25">
      <c r="A412" s="109">
        <v>4</v>
      </c>
      <c r="B412" s="157"/>
      <c r="C412" s="129" t="s">
        <v>314</v>
      </c>
      <c r="D412" s="270" t="str">
        <f>IF(P398="","",P398)</f>
        <v/>
      </c>
      <c r="E412" s="173"/>
      <c r="F412" s="173"/>
      <c r="G412" s="173"/>
      <c r="H412" s="129" t="s">
        <v>299</v>
      </c>
      <c r="I412" s="653" t="str">
        <f>IF(T398="","",T398)</f>
        <v/>
      </c>
      <c r="J412" s="653"/>
      <c r="K412" s="173"/>
      <c r="L412" s="113"/>
      <c r="M412" s="158"/>
      <c r="N412" s="113"/>
      <c r="O412" s="123"/>
      <c r="P412" s="113"/>
      <c r="Q412" s="113"/>
      <c r="R412" s="113"/>
      <c r="S412" s="129"/>
      <c r="T412" s="128" t="s">
        <v>300</v>
      </c>
      <c r="U412" s="128"/>
      <c r="V412" s="128"/>
      <c r="W412" s="128"/>
      <c r="X412" s="128"/>
      <c r="Y412" s="125"/>
    </row>
    <row r="413" spans="1:25">
      <c r="A413" s="109">
        <v>5</v>
      </c>
      <c r="B413" s="157"/>
      <c r="C413" s="165" t="s">
        <v>315</v>
      </c>
      <c r="D413" s="113"/>
      <c r="E413" s="113"/>
      <c r="F413" s="113"/>
      <c r="G413" s="113"/>
      <c r="H413" s="113"/>
      <c r="I413" s="408"/>
      <c r="J413" s="408"/>
      <c r="K413" s="113"/>
      <c r="L413" s="113"/>
      <c r="M413" s="158"/>
      <c r="N413" s="113"/>
      <c r="O413" s="123"/>
      <c r="P413" s="128" t="s">
        <v>29</v>
      </c>
      <c r="Q413" s="128" t="s">
        <v>233</v>
      </c>
      <c r="R413" s="128" t="s">
        <v>234</v>
      </c>
      <c r="S413" s="128" t="s">
        <v>49</v>
      </c>
      <c r="T413" s="128" t="s">
        <v>48</v>
      </c>
      <c r="U413" s="128" t="s">
        <v>301</v>
      </c>
      <c r="V413" s="128" t="s">
        <v>302</v>
      </c>
      <c r="W413" s="128" t="s">
        <v>303</v>
      </c>
      <c r="X413" s="128" t="s">
        <v>304</v>
      </c>
      <c r="Y413" s="125"/>
    </row>
    <row r="414" spans="1:25">
      <c r="A414" s="109">
        <v>6</v>
      </c>
      <c r="B414" s="157"/>
      <c r="C414" s="129" t="s">
        <v>29</v>
      </c>
      <c r="D414" s="245" t="str">
        <f>IF(P402="","",P402)</f>
        <v/>
      </c>
      <c r="E414" s="201"/>
      <c r="F414" s="201"/>
      <c r="G414" s="129" t="s">
        <v>29</v>
      </c>
      <c r="H414" s="245" t="str">
        <f>IF(P414="","",P414)</f>
        <v/>
      </c>
      <c r="I414" s="201"/>
      <c r="J414" s="201"/>
      <c r="K414" s="129" t="s">
        <v>29</v>
      </c>
      <c r="L414" s="245" t="str">
        <f>IF(P424="","",P423)</f>
        <v/>
      </c>
      <c r="M414" s="202"/>
      <c r="N414" s="113"/>
      <c r="O414" s="123"/>
      <c r="P414" s="169" t="str">
        <f t="shared" ref="P414:Q419" si="121">IF(AK26="","",AK26)</f>
        <v/>
      </c>
      <c r="Q414" s="169" t="str">
        <f t="shared" si="121"/>
        <v/>
      </c>
      <c r="R414" s="169" t="str">
        <f t="shared" ref="R414:S419" si="122">IF(AH26="","",AH26)</f>
        <v/>
      </c>
      <c r="S414" s="169" t="str">
        <f t="shared" si="122"/>
        <v/>
      </c>
      <c r="T414" s="351" t="str">
        <f>IF(Sheet2!F20="","",Sheet2!F20)</f>
        <v/>
      </c>
      <c r="U414" s="170" t="str">
        <f>IF(Sheet2!G20="","",Sheet2!G20)</f>
        <v/>
      </c>
      <c r="V414" s="351" t="str">
        <f>IF(Sheet2!H20="","",Sheet2!H20)</f>
        <v/>
      </c>
      <c r="W414" s="388" t="str">
        <f t="shared" ref="W414:W418" si="123">IF(V414="","",V414/S414)</f>
        <v/>
      </c>
      <c r="X414" s="351" t="str">
        <f t="shared" ref="X414:X418" si="124">IF(OR(V414="",U414=""),"",V414/(U414/1000))</f>
        <v/>
      </c>
      <c r="Y414" s="125"/>
    </row>
    <row r="415" spans="1:25">
      <c r="A415" s="109">
        <v>7</v>
      </c>
      <c r="B415" s="157"/>
      <c r="C415" s="129" t="s">
        <v>31</v>
      </c>
      <c r="D415" s="489" t="str">
        <f>IF(Q402="","",Q402)</f>
        <v/>
      </c>
      <c r="E415" s="201"/>
      <c r="F415" s="113"/>
      <c r="G415" s="129" t="s">
        <v>31</v>
      </c>
      <c r="H415" s="489" t="str">
        <f>IF(Q414="","",Q414)</f>
        <v/>
      </c>
      <c r="I415" s="201"/>
      <c r="J415" s="201"/>
      <c r="K415" s="129" t="s">
        <v>31</v>
      </c>
      <c r="L415" s="489" t="str">
        <f>IF(Q423="","",Q423)</f>
        <v/>
      </c>
      <c r="M415" s="202"/>
      <c r="N415" s="113"/>
      <c r="O415" s="123"/>
      <c r="P415" s="169" t="str">
        <f t="shared" si="121"/>
        <v/>
      </c>
      <c r="Q415" s="169" t="str">
        <f t="shared" si="121"/>
        <v/>
      </c>
      <c r="R415" s="169" t="str">
        <f t="shared" si="122"/>
        <v/>
      </c>
      <c r="S415" s="169" t="str">
        <f t="shared" si="122"/>
        <v/>
      </c>
      <c r="T415" s="351" t="str">
        <f>IF(Sheet2!F21="","",Sheet2!F21)</f>
        <v/>
      </c>
      <c r="U415" s="170" t="str">
        <f>IF(Sheet2!G21="","",Sheet2!G21)</f>
        <v/>
      </c>
      <c r="V415" s="351" t="str">
        <f>IF(Sheet2!H21="","",Sheet2!H21)</f>
        <v/>
      </c>
      <c r="W415" s="388" t="str">
        <f t="shared" si="123"/>
        <v/>
      </c>
      <c r="X415" s="351" t="str">
        <f t="shared" si="124"/>
        <v/>
      </c>
      <c r="Y415" s="125"/>
    </row>
    <row r="416" spans="1:25">
      <c r="A416" s="109">
        <v>8</v>
      </c>
      <c r="B416" s="157"/>
      <c r="C416" s="129" t="s">
        <v>173</v>
      </c>
      <c r="D416" s="489" t="str">
        <f>IF(S402="","",S402)</f>
        <v/>
      </c>
      <c r="E416" s="113"/>
      <c r="F416" s="113"/>
      <c r="G416" s="129" t="s">
        <v>173</v>
      </c>
      <c r="H416" s="489" t="str">
        <f>IF(S414="","",S414)</f>
        <v/>
      </c>
      <c r="I416" s="113"/>
      <c r="J416" s="201"/>
      <c r="K416" s="129" t="s">
        <v>173</v>
      </c>
      <c r="L416" s="489" t="str">
        <f>IF(S423="","",S423)</f>
        <v/>
      </c>
      <c r="M416" s="158"/>
      <c r="N416" s="113"/>
      <c r="O416" s="123"/>
      <c r="P416" s="169" t="str">
        <f t="shared" si="121"/>
        <v/>
      </c>
      <c r="Q416" s="169" t="str">
        <f t="shared" si="121"/>
        <v/>
      </c>
      <c r="R416" s="169" t="str">
        <f t="shared" si="122"/>
        <v/>
      </c>
      <c r="S416" s="169" t="str">
        <f t="shared" si="122"/>
        <v/>
      </c>
      <c r="T416" s="351" t="str">
        <f>IF(Sheet2!F22="","",Sheet2!F22)</f>
        <v/>
      </c>
      <c r="U416" s="170" t="str">
        <f>IF(Sheet2!G22="","",Sheet2!G22)</f>
        <v/>
      </c>
      <c r="V416" s="351" t="str">
        <f>IF(Sheet2!H22="","",Sheet2!H22)</f>
        <v/>
      </c>
      <c r="W416" s="388" t="str">
        <f t="shared" si="123"/>
        <v/>
      </c>
      <c r="X416" s="351" t="str">
        <f t="shared" si="124"/>
        <v/>
      </c>
      <c r="Y416" s="125"/>
    </row>
    <row r="417" spans="1:25">
      <c r="A417" s="109">
        <v>9</v>
      </c>
      <c r="B417" s="157"/>
      <c r="C417" s="286" t="s">
        <v>152</v>
      </c>
      <c r="D417" s="286" t="s">
        <v>153</v>
      </c>
      <c r="E417" s="286"/>
      <c r="F417" s="113"/>
      <c r="G417" s="286" t="s">
        <v>152</v>
      </c>
      <c r="H417" s="286" t="s">
        <v>153</v>
      </c>
      <c r="I417" s="286"/>
      <c r="J417" s="201"/>
      <c r="K417" s="286" t="s">
        <v>152</v>
      </c>
      <c r="L417" s="286" t="s">
        <v>153</v>
      </c>
      <c r="M417" s="418"/>
      <c r="N417" s="113"/>
      <c r="O417" s="123"/>
      <c r="P417" s="169" t="str">
        <f t="shared" si="121"/>
        <v/>
      </c>
      <c r="Q417" s="169" t="str">
        <f t="shared" si="121"/>
        <v/>
      </c>
      <c r="R417" s="169" t="str">
        <f t="shared" si="122"/>
        <v/>
      </c>
      <c r="S417" s="169" t="str">
        <f t="shared" si="122"/>
        <v/>
      </c>
      <c r="T417" s="351" t="str">
        <f>IF(Sheet2!F23="","",Sheet2!F23)</f>
        <v/>
      </c>
      <c r="U417" s="170" t="str">
        <f>IF(Sheet2!G23="","",Sheet2!G23)</f>
        <v/>
      </c>
      <c r="V417" s="351" t="str">
        <f>IF(Sheet2!H23="","",Sheet2!H23)</f>
        <v/>
      </c>
      <c r="W417" s="388" t="str">
        <f t="shared" si="123"/>
        <v/>
      </c>
      <c r="X417" s="351" t="str">
        <f t="shared" si="124"/>
        <v/>
      </c>
      <c r="Y417" s="125"/>
    </row>
    <row r="418" spans="1:25" ht="16.2" thickBot="1">
      <c r="A418" s="109">
        <v>10</v>
      </c>
      <c r="B418" s="157"/>
      <c r="C418" s="419" t="s">
        <v>48</v>
      </c>
      <c r="D418" s="419" t="s">
        <v>48</v>
      </c>
      <c r="E418" s="419" t="s">
        <v>316</v>
      </c>
      <c r="F418" s="113"/>
      <c r="G418" s="419" t="s">
        <v>48</v>
      </c>
      <c r="H418" s="419" t="s">
        <v>48</v>
      </c>
      <c r="I418" s="419" t="s">
        <v>316</v>
      </c>
      <c r="J418" s="201"/>
      <c r="K418" s="419" t="s">
        <v>48</v>
      </c>
      <c r="L418" s="419" t="s">
        <v>48</v>
      </c>
      <c r="M418" s="420" t="s">
        <v>316</v>
      </c>
      <c r="N418" s="113"/>
      <c r="O418" s="123"/>
      <c r="P418" s="169" t="str">
        <f t="shared" si="121"/>
        <v/>
      </c>
      <c r="Q418" s="169" t="str">
        <f t="shared" si="121"/>
        <v/>
      </c>
      <c r="R418" s="169" t="str">
        <f t="shared" si="122"/>
        <v/>
      </c>
      <c r="S418" s="169" t="str">
        <f t="shared" si="122"/>
        <v/>
      </c>
      <c r="T418" s="351" t="str">
        <f>IF(Sheet2!F24="","",Sheet2!F24)</f>
        <v/>
      </c>
      <c r="U418" s="170" t="str">
        <f>IF(Sheet2!G24="","",Sheet2!G24)</f>
        <v/>
      </c>
      <c r="V418" s="351" t="str">
        <f>IF(Sheet2!H24="","",Sheet2!H24)</f>
        <v/>
      </c>
      <c r="W418" s="388" t="str">
        <f t="shared" si="123"/>
        <v/>
      </c>
      <c r="X418" s="351" t="str">
        <f t="shared" si="124"/>
        <v/>
      </c>
      <c r="Y418" s="125"/>
    </row>
    <row r="419" spans="1:25">
      <c r="A419" s="109">
        <v>11</v>
      </c>
      <c r="B419" s="157"/>
      <c r="C419" s="169" t="str">
        <f t="shared" ref="C419:C427" si="125">IF(R402="","",R402)</f>
        <v/>
      </c>
      <c r="D419" s="351" t="str">
        <f t="shared" ref="D419:D427" si="126">IF(T402="","",T402)</f>
        <v/>
      </c>
      <c r="E419" s="302" t="str">
        <f t="shared" ref="E419:E425" si="127">IF(OR(C419="",D419=""),"",IF(AND(C419&gt;0,D419&gt;0),(D419-C419)/C419,""))</f>
        <v/>
      </c>
      <c r="F419" s="113"/>
      <c r="G419" s="169" t="str">
        <f t="shared" ref="G419:G424" si="128">IF(R414="","",R414)</f>
        <v/>
      </c>
      <c r="H419" s="351" t="str">
        <f t="shared" ref="H419:H424" si="129">IF(T414="","",T414)</f>
        <v/>
      </c>
      <c r="I419" s="302" t="str">
        <f t="shared" ref="I419:I424" si="130">IF(OR(G419="",H419=""),"",IF(AND(G419&gt;0,H419&gt;0),(H419-G419)/G419,""))</f>
        <v/>
      </c>
      <c r="J419" s="201"/>
      <c r="K419" s="169" t="str">
        <f t="shared" ref="K419:K424" si="131">IF(R423="","",R423)</f>
        <v/>
      </c>
      <c r="L419" s="351" t="str">
        <f t="shared" ref="L419:L424" si="132">IF(T423="","",T423)</f>
        <v/>
      </c>
      <c r="M419" s="421" t="str">
        <f t="shared" ref="M419:M424" si="133">IF(OR(K419="",L419=""),"",IF(AND(K419&gt;0,L419&gt;0),(L419-K419)/K419,""))</f>
        <v/>
      </c>
      <c r="N419" s="113"/>
      <c r="O419" s="123"/>
      <c r="P419" s="169" t="str">
        <f t="shared" si="121"/>
        <v/>
      </c>
      <c r="Q419" s="169" t="str">
        <f t="shared" si="121"/>
        <v/>
      </c>
      <c r="R419" s="169" t="str">
        <f t="shared" si="122"/>
        <v/>
      </c>
      <c r="S419" s="169" t="str">
        <f t="shared" si="122"/>
        <v/>
      </c>
      <c r="T419" s="351" t="str">
        <f>IF(Sheet2!F25="","",Sheet2!F25)</f>
        <v/>
      </c>
      <c r="U419" s="170" t="str">
        <f>IF(Sheet2!G25="","",Sheet2!G25)</f>
        <v/>
      </c>
      <c r="V419" s="351" t="str">
        <f>IF(Sheet2!H25="","",Sheet2!H25)</f>
        <v/>
      </c>
      <c r="W419" s="388" t="str">
        <f>IF(V419="","",V419/S419)</f>
        <v/>
      </c>
      <c r="X419" s="351" t="str">
        <f>IF(OR(V419="",U419=""),"",V419/(U419/1000))</f>
        <v/>
      </c>
      <c r="Y419" s="125"/>
    </row>
    <row r="420" spans="1:25">
      <c r="A420" s="109">
        <v>12</v>
      </c>
      <c r="B420" s="157"/>
      <c r="C420" s="169" t="str">
        <f t="shared" si="125"/>
        <v/>
      </c>
      <c r="D420" s="351" t="str">
        <f t="shared" si="126"/>
        <v/>
      </c>
      <c r="E420" s="302" t="str">
        <f t="shared" si="127"/>
        <v/>
      </c>
      <c r="F420" s="113"/>
      <c r="G420" s="169" t="str">
        <f t="shared" si="128"/>
        <v/>
      </c>
      <c r="H420" s="351" t="str">
        <f t="shared" si="129"/>
        <v/>
      </c>
      <c r="I420" s="302" t="str">
        <f t="shared" si="130"/>
        <v/>
      </c>
      <c r="J420" s="201"/>
      <c r="K420" s="169" t="str">
        <f t="shared" si="131"/>
        <v/>
      </c>
      <c r="L420" s="351" t="str">
        <f t="shared" si="132"/>
        <v/>
      </c>
      <c r="M420" s="421" t="str">
        <f t="shared" si="133"/>
        <v/>
      </c>
      <c r="N420" s="113"/>
      <c r="O420" s="123"/>
      <c r="P420" s="201"/>
      <c r="Q420" s="201"/>
      <c r="R420" s="201"/>
      <c r="S420" s="201"/>
      <c r="T420" s="201"/>
      <c r="U420" s="201"/>
      <c r="V420" s="201"/>
      <c r="W420" s="201"/>
      <c r="X420" s="201"/>
      <c r="Y420" s="125"/>
    </row>
    <row r="421" spans="1:25">
      <c r="A421" s="109">
        <v>13</v>
      </c>
      <c r="B421" s="157"/>
      <c r="C421" s="169" t="str">
        <f t="shared" si="125"/>
        <v/>
      </c>
      <c r="D421" s="351" t="str">
        <f t="shared" si="126"/>
        <v/>
      </c>
      <c r="E421" s="302" t="str">
        <f t="shared" si="127"/>
        <v/>
      </c>
      <c r="F421" s="113"/>
      <c r="G421" s="169" t="str">
        <f t="shared" si="128"/>
        <v/>
      </c>
      <c r="H421" s="351" t="str">
        <f t="shared" si="129"/>
        <v/>
      </c>
      <c r="I421" s="302" t="str">
        <f t="shared" si="130"/>
        <v/>
      </c>
      <c r="J421" s="201"/>
      <c r="K421" s="169" t="str">
        <f t="shared" si="131"/>
        <v/>
      </c>
      <c r="L421" s="351" t="str">
        <f t="shared" si="132"/>
        <v/>
      </c>
      <c r="M421" s="421" t="str">
        <f t="shared" si="133"/>
        <v/>
      </c>
      <c r="N421" s="113"/>
      <c r="O421" s="123"/>
      <c r="P421" s="113"/>
      <c r="Q421" s="113"/>
      <c r="R421" s="113"/>
      <c r="S421" s="129"/>
      <c r="T421" s="128" t="s">
        <v>300</v>
      </c>
      <c r="U421" s="128"/>
      <c r="V421" s="128"/>
      <c r="W421" s="128"/>
      <c r="X421" s="128"/>
      <c r="Y421" s="125"/>
    </row>
    <row r="422" spans="1:25">
      <c r="A422" s="109">
        <v>14</v>
      </c>
      <c r="B422" s="157"/>
      <c r="C422" s="169" t="str">
        <f t="shared" si="125"/>
        <v/>
      </c>
      <c r="D422" s="351" t="str">
        <f t="shared" si="126"/>
        <v/>
      </c>
      <c r="E422" s="302" t="str">
        <f t="shared" si="127"/>
        <v/>
      </c>
      <c r="F422" s="113"/>
      <c r="G422" s="169" t="str">
        <f t="shared" si="128"/>
        <v/>
      </c>
      <c r="H422" s="351" t="str">
        <f t="shared" si="129"/>
        <v/>
      </c>
      <c r="I422" s="302" t="str">
        <f t="shared" si="130"/>
        <v/>
      </c>
      <c r="J422" s="201"/>
      <c r="K422" s="169" t="str">
        <f t="shared" si="131"/>
        <v/>
      </c>
      <c r="L422" s="351" t="str">
        <f t="shared" si="132"/>
        <v/>
      </c>
      <c r="M422" s="421" t="str">
        <f t="shared" si="133"/>
        <v/>
      </c>
      <c r="N422" s="113"/>
      <c r="O422" s="123"/>
      <c r="P422" s="128" t="s">
        <v>29</v>
      </c>
      <c r="Q422" s="128" t="s">
        <v>233</v>
      </c>
      <c r="R422" s="128" t="s">
        <v>234</v>
      </c>
      <c r="S422" s="128" t="s">
        <v>49</v>
      </c>
      <c r="T422" s="128" t="s">
        <v>48</v>
      </c>
      <c r="U422" s="128" t="s">
        <v>301</v>
      </c>
      <c r="V422" s="128" t="s">
        <v>302</v>
      </c>
      <c r="W422" s="128" t="s">
        <v>303</v>
      </c>
      <c r="X422" s="128" t="s">
        <v>304</v>
      </c>
      <c r="Y422" s="125"/>
    </row>
    <row r="423" spans="1:25">
      <c r="A423" s="109">
        <v>15</v>
      </c>
      <c r="B423" s="157"/>
      <c r="C423" s="169" t="str">
        <f t="shared" si="125"/>
        <v/>
      </c>
      <c r="D423" s="351" t="str">
        <f t="shared" si="126"/>
        <v/>
      </c>
      <c r="E423" s="302" t="str">
        <f t="shared" si="127"/>
        <v/>
      </c>
      <c r="F423" s="113"/>
      <c r="G423" s="169" t="str">
        <f t="shared" si="128"/>
        <v/>
      </c>
      <c r="H423" s="351" t="str">
        <f t="shared" si="129"/>
        <v/>
      </c>
      <c r="I423" s="302" t="str">
        <f t="shared" si="130"/>
        <v/>
      </c>
      <c r="J423" s="201"/>
      <c r="K423" s="169" t="str">
        <f t="shared" si="131"/>
        <v/>
      </c>
      <c r="L423" s="351" t="str">
        <f t="shared" si="132"/>
        <v/>
      </c>
      <c r="M423" s="421" t="str">
        <f t="shared" si="133"/>
        <v/>
      </c>
      <c r="N423" s="113"/>
      <c r="O423" s="123"/>
      <c r="P423" s="169" t="str">
        <f t="shared" ref="P423:Q428" si="134">IF(AK32="","",AK32)</f>
        <v/>
      </c>
      <c r="Q423" s="169" t="str">
        <f t="shared" si="134"/>
        <v/>
      </c>
      <c r="R423" s="169" t="str">
        <f t="shared" ref="R423:S428" si="135">IF(AH32="","",AH32)</f>
        <v/>
      </c>
      <c r="S423" s="169" t="str">
        <f t="shared" si="135"/>
        <v/>
      </c>
      <c r="T423" s="351" t="str">
        <f>IF(Sheet2!F26="","",Sheet2!F26)</f>
        <v/>
      </c>
      <c r="U423" s="170" t="str">
        <f>IF(Sheet2!G26="","",Sheet2!G26)</f>
        <v/>
      </c>
      <c r="V423" s="351" t="str">
        <f>IF(Sheet2!H26="","",Sheet2!H26)</f>
        <v/>
      </c>
      <c r="W423" s="388" t="str">
        <f t="shared" ref="W423:W428" si="136">IF(V423="","",V423/S423)</f>
        <v/>
      </c>
      <c r="X423" s="351" t="str">
        <f t="shared" ref="X423:X428" si="137">IF(OR(V423="",U423=""),"",V423/(U423/1000))</f>
        <v/>
      </c>
      <c r="Y423" s="125"/>
    </row>
    <row r="424" spans="1:25">
      <c r="A424" s="109">
        <v>16</v>
      </c>
      <c r="B424" s="157"/>
      <c r="C424" s="169" t="str">
        <f t="shared" si="125"/>
        <v/>
      </c>
      <c r="D424" s="351" t="str">
        <f t="shared" si="126"/>
        <v/>
      </c>
      <c r="E424" s="302" t="str">
        <f t="shared" si="127"/>
        <v/>
      </c>
      <c r="F424" s="113"/>
      <c r="G424" s="169" t="str">
        <f t="shared" si="128"/>
        <v/>
      </c>
      <c r="H424" s="351" t="str">
        <f t="shared" si="129"/>
        <v/>
      </c>
      <c r="I424" s="302" t="str">
        <f t="shared" si="130"/>
        <v/>
      </c>
      <c r="J424" s="201"/>
      <c r="K424" s="169" t="str">
        <f t="shared" si="131"/>
        <v/>
      </c>
      <c r="L424" s="351" t="str">
        <f t="shared" si="132"/>
        <v/>
      </c>
      <c r="M424" s="421" t="str">
        <f t="shared" si="133"/>
        <v/>
      </c>
      <c r="N424" s="113"/>
      <c r="O424" s="123"/>
      <c r="P424" s="169" t="str">
        <f t="shared" si="134"/>
        <v/>
      </c>
      <c r="Q424" s="169" t="str">
        <f t="shared" si="134"/>
        <v/>
      </c>
      <c r="R424" s="169" t="str">
        <f t="shared" si="135"/>
        <v/>
      </c>
      <c r="S424" s="169" t="str">
        <f t="shared" si="135"/>
        <v/>
      </c>
      <c r="T424" s="351" t="str">
        <f>IF(Sheet2!F27="","",Sheet2!F27)</f>
        <v/>
      </c>
      <c r="U424" s="170" t="str">
        <f>IF(Sheet2!G27="","",Sheet2!G27)</f>
        <v/>
      </c>
      <c r="V424" s="351" t="str">
        <f>IF(Sheet2!H27="","",Sheet2!H27)</f>
        <v/>
      </c>
      <c r="W424" s="388" t="str">
        <f t="shared" si="136"/>
        <v/>
      </c>
      <c r="X424" s="351" t="str">
        <f t="shared" si="137"/>
        <v/>
      </c>
      <c r="Y424" s="125"/>
    </row>
    <row r="425" spans="1:25" ht="16.2" thickBot="1">
      <c r="A425" s="109">
        <v>17</v>
      </c>
      <c r="B425" s="157"/>
      <c r="C425" s="169" t="str">
        <f t="shared" si="125"/>
        <v/>
      </c>
      <c r="D425" s="351" t="str">
        <f t="shared" si="126"/>
        <v/>
      </c>
      <c r="E425" s="302" t="str">
        <f t="shared" si="127"/>
        <v/>
      </c>
      <c r="F425" s="113"/>
      <c r="G425" s="113"/>
      <c r="H425" s="113"/>
      <c r="I425" s="113"/>
      <c r="J425" s="201"/>
      <c r="K425" s="201"/>
      <c r="L425" s="201"/>
      <c r="M425" s="202"/>
      <c r="N425" s="113"/>
      <c r="O425" s="123"/>
      <c r="P425" s="169" t="str">
        <f t="shared" si="134"/>
        <v/>
      </c>
      <c r="Q425" s="169" t="str">
        <f t="shared" si="134"/>
        <v/>
      </c>
      <c r="R425" s="169" t="str">
        <f t="shared" si="135"/>
        <v/>
      </c>
      <c r="S425" s="169" t="str">
        <f t="shared" si="135"/>
        <v/>
      </c>
      <c r="T425" s="351" t="str">
        <f>IF(Sheet2!F28="","",Sheet2!F28)</f>
        <v/>
      </c>
      <c r="U425" s="170" t="str">
        <f>IF(Sheet2!G28="","",Sheet2!G28)</f>
        <v/>
      </c>
      <c r="V425" s="351" t="str">
        <f>IF(Sheet2!H28="","",Sheet2!H28)</f>
        <v/>
      </c>
      <c r="W425" s="388" t="str">
        <f t="shared" si="136"/>
        <v/>
      </c>
      <c r="X425" s="351" t="str">
        <f t="shared" si="137"/>
        <v/>
      </c>
      <c r="Y425" s="125"/>
    </row>
    <row r="426" spans="1:25" ht="16.2" thickBot="1">
      <c r="A426" s="109">
        <v>18</v>
      </c>
      <c r="B426" s="157"/>
      <c r="C426" s="169" t="str">
        <f t="shared" si="125"/>
        <v/>
      </c>
      <c r="D426" s="351" t="str">
        <f t="shared" si="126"/>
        <v/>
      </c>
      <c r="E426" s="302" t="str">
        <f t="shared" ref="E426:E427" si="138">IF(OR(C426="",D426=""),"",IF(AND(C426&gt;0,D426&gt;0),(D426-C426)/C426,""))</f>
        <v/>
      </c>
      <c r="F426" s="113"/>
      <c r="G426" s="113"/>
      <c r="H426" s="422" t="s">
        <v>175</v>
      </c>
      <c r="I426" s="423" t="str">
        <f>IF(I419="","",IF(AND(ABS(MAX(I419:I424))&lt;=0.05,ABS(MIN(I419:I424))&lt;=0.05),"YES","NO"))</f>
        <v/>
      </c>
      <c r="J426" s="201"/>
      <c r="K426" s="113"/>
      <c r="L426" s="422" t="s">
        <v>175</v>
      </c>
      <c r="M426" s="424" t="str">
        <f>IF(M419="","",IF(AND(ABS(MAX(M419:M423))&lt;=0.05,ABS(MIN(M419:M423))&lt;=0.05),"YES","NO"))</f>
        <v/>
      </c>
      <c r="N426" s="113"/>
      <c r="O426" s="123"/>
      <c r="P426" s="169" t="str">
        <f t="shared" si="134"/>
        <v/>
      </c>
      <c r="Q426" s="169" t="str">
        <f t="shared" si="134"/>
        <v/>
      </c>
      <c r="R426" s="169" t="str">
        <f t="shared" si="135"/>
        <v/>
      </c>
      <c r="S426" s="169" t="str">
        <f t="shared" si="135"/>
        <v/>
      </c>
      <c r="T426" s="351" t="str">
        <f>IF(Sheet2!F29="","",Sheet2!F29)</f>
        <v/>
      </c>
      <c r="U426" s="170" t="str">
        <f>IF(Sheet2!G29="","",Sheet2!G29)</f>
        <v/>
      </c>
      <c r="V426" s="351" t="str">
        <f>IF(Sheet2!H29="","",Sheet2!H29)</f>
        <v/>
      </c>
      <c r="W426" s="388" t="str">
        <f t="shared" si="136"/>
        <v/>
      </c>
      <c r="X426" s="351" t="str">
        <f t="shared" si="137"/>
        <v/>
      </c>
      <c r="Y426" s="125"/>
    </row>
    <row r="427" spans="1:25" ht="16.2" thickBot="1">
      <c r="A427" s="109">
        <v>19</v>
      </c>
      <c r="B427" s="157"/>
      <c r="C427" s="169" t="str">
        <f t="shared" si="125"/>
        <v/>
      </c>
      <c r="D427" s="351" t="str">
        <f t="shared" si="126"/>
        <v/>
      </c>
      <c r="E427" s="302" t="str">
        <f t="shared" si="138"/>
        <v/>
      </c>
      <c r="F427" s="201"/>
      <c r="G427" s="201"/>
      <c r="H427" s="113"/>
      <c r="I427" s="173"/>
      <c r="J427" s="173"/>
      <c r="K427" s="113"/>
      <c r="L427" s="113"/>
      <c r="M427" s="158"/>
      <c r="N427" s="113"/>
      <c r="O427" s="123"/>
      <c r="P427" s="169" t="str">
        <f t="shared" si="134"/>
        <v/>
      </c>
      <c r="Q427" s="169" t="str">
        <f t="shared" si="134"/>
        <v/>
      </c>
      <c r="R427" s="169" t="str">
        <f t="shared" si="135"/>
        <v/>
      </c>
      <c r="S427" s="169" t="str">
        <f t="shared" si="135"/>
        <v/>
      </c>
      <c r="T427" s="351" t="str">
        <f>IF(Sheet2!F30="","",Sheet2!F30)</f>
        <v/>
      </c>
      <c r="U427" s="170" t="str">
        <f>IF(Sheet2!G30="","",Sheet2!G30)</f>
        <v/>
      </c>
      <c r="V427" s="351" t="str">
        <f>IF(Sheet2!H30="","",Sheet2!H30)</f>
        <v/>
      </c>
      <c r="W427" s="388" t="str">
        <f t="shared" si="136"/>
        <v/>
      </c>
      <c r="X427" s="351" t="str">
        <f t="shared" si="137"/>
        <v/>
      </c>
      <c r="Y427" s="125"/>
    </row>
    <row r="428" spans="1:25" ht="16.2" thickBot="1">
      <c r="A428" s="109">
        <v>20</v>
      </c>
      <c r="B428" s="157"/>
      <c r="C428" s="113"/>
      <c r="D428" s="422" t="s">
        <v>175</v>
      </c>
      <c r="E428" s="423" t="str">
        <f>IF(E421="","",IF(AND(ABS(MAX(E421:E425))&lt;=0.05,ABS(MIN(E421:E425))&lt;=0.05),"YES","NO"))</f>
        <v/>
      </c>
      <c r="F428" s="208" t="s">
        <v>158</v>
      </c>
      <c r="G428" s="120" t="s">
        <v>318</v>
      </c>
      <c r="H428" s="113"/>
      <c r="I428" s="113"/>
      <c r="J428" s="113"/>
      <c r="K428" s="113"/>
      <c r="L428" s="113"/>
      <c r="M428" s="158"/>
      <c r="N428" s="113"/>
      <c r="O428" s="123"/>
      <c r="P428" s="169" t="str">
        <f t="shared" si="134"/>
        <v/>
      </c>
      <c r="Q428" s="169" t="str">
        <f t="shared" si="134"/>
        <v/>
      </c>
      <c r="R428" s="169" t="str">
        <f t="shared" si="135"/>
        <v/>
      </c>
      <c r="S428" s="169" t="str">
        <f t="shared" si="135"/>
        <v/>
      </c>
      <c r="T428" s="351" t="str">
        <f>IF(Sheet2!F31="","",Sheet2!F31)</f>
        <v/>
      </c>
      <c r="U428" s="170" t="str">
        <f>IF(Sheet2!G31="","",Sheet2!G31)</f>
        <v/>
      </c>
      <c r="V428" s="351" t="str">
        <f>IF(Sheet2!H31="","",Sheet2!H31)</f>
        <v/>
      </c>
      <c r="W428" s="388" t="str">
        <f t="shared" si="136"/>
        <v/>
      </c>
      <c r="X428" s="351" t="str">
        <f t="shared" si="137"/>
        <v/>
      </c>
      <c r="Y428" s="125"/>
    </row>
    <row r="429" spans="1:25">
      <c r="A429" s="109">
        <v>21</v>
      </c>
      <c r="B429" s="157"/>
      <c r="C429" s="113"/>
      <c r="D429" s="173"/>
      <c r="E429" s="173"/>
      <c r="F429" s="113"/>
      <c r="G429" s="113"/>
      <c r="H429" s="113"/>
      <c r="I429" s="425"/>
      <c r="J429" s="425"/>
      <c r="K429" s="113"/>
      <c r="L429" s="113"/>
      <c r="M429" s="158"/>
      <c r="N429" s="113"/>
      <c r="O429" s="123"/>
      <c r="P429" s="201"/>
      <c r="Q429" s="201"/>
      <c r="R429" s="201"/>
      <c r="S429" s="201"/>
      <c r="T429" s="201"/>
      <c r="U429" s="201"/>
      <c r="V429" s="201"/>
      <c r="W429" s="201"/>
      <c r="X429" s="201"/>
      <c r="Y429" s="125"/>
    </row>
    <row r="430" spans="1:25">
      <c r="A430" s="109">
        <v>22</v>
      </c>
      <c r="B430" s="157"/>
      <c r="C430" s="165" t="s">
        <v>319</v>
      </c>
      <c r="D430" s="113"/>
      <c r="E430" s="113"/>
      <c r="F430" s="113"/>
      <c r="G430" s="113"/>
      <c r="H430" s="113"/>
      <c r="I430" s="165"/>
      <c r="J430" s="165"/>
      <c r="K430" s="113"/>
      <c r="L430" s="113"/>
      <c r="M430" s="158"/>
      <c r="N430" s="113"/>
      <c r="O430" s="123"/>
      <c r="P430" s="113"/>
      <c r="Q430" s="113"/>
      <c r="R430" s="113"/>
      <c r="S430" s="129"/>
      <c r="T430" s="128" t="s">
        <v>300</v>
      </c>
      <c r="U430" s="128"/>
      <c r="V430" s="128"/>
      <c r="W430" s="128"/>
      <c r="X430" s="128"/>
      <c r="Y430" s="125"/>
    </row>
    <row r="431" spans="1:25">
      <c r="A431" s="109">
        <v>23</v>
      </c>
      <c r="B431" s="157"/>
      <c r="C431" s="129" t="s">
        <v>29</v>
      </c>
      <c r="D431" s="245" t="str">
        <f>IF(P443="","",P443)</f>
        <v/>
      </c>
      <c r="E431" s="129" t="s">
        <v>31</v>
      </c>
      <c r="F431" s="245" t="str">
        <f>IF(Q443="","",Q443)</f>
        <v/>
      </c>
      <c r="G431" s="113"/>
      <c r="H431" s="113"/>
      <c r="I431" s="426"/>
      <c r="J431" s="426"/>
      <c r="K431" s="113"/>
      <c r="L431" s="113"/>
      <c r="M431" s="158"/>
      <c r="N431" s="113"/>
      <c r="O431" s="123"/>
      <c r="P431" s="128" t="s">
        <v>29</v>
      </c>
      <c r="Q431" s="128" t="s">
        <v>233</v>
      </c>
      <c r="R431" s="128" t="s">
        <v>234</v>
      </c>
      <c r="S431" s="128" t="s">
        <v>49</v>
      </c>
      <c r="T431" s="128" t="s">
        <v>48</v>
      </c>
      <c r="U431" s="128" t="s">
        <v>301</v>
      </c>
      <c r="V431" s="128" t="s">
        <v>302</v>
      </c>
      <c r="W431" s="128" t="s">
        <v>303</v>
      </c>
      <c r="X431" s="128" t="s">
        <v>304</v>
      </c>
      <c r="Y431" s="125"/>
    </row>
    <row r="432" spans="1:25">
      <c r="A432" s="109">
        <v>24</v>
      </c>
      <c r="B432" s="157"/>
      <c r="C432" s="129" t="s">
        <v>173</v>
      </c>
      <c r="D432" s="489" t="str">
        <f>IF(S443="","",S443)</f>
        <v/>
      </c>
      <c r="E432" s="113"/>
      <c r="F432" s="113"/>
      <c r="G432" s="113"/>
      <c r="H432" s="113"/>
      <c r="I432" s="426"/>
      <c r="J432" s="113"/>
      <c r="K432" s="113"/>
      <c r="L432" s="113"/>
      <c r="M432" s="158"/>
      <c r="N432" s="113"/>
      <c r="O432" s="123"/>
      <c r="P432" s="169" t="str">
        <f t="shared" ref="P432:Q437" si="139">IF(AK38="","",AK38)</f>
        <v/>
      </c>
      <c r="Q432" s="169" t="str">
        <f t="shared" si="139"/>
        <v/>
      </c>
      <c r="R432" s="169" t="str">
        <f t="shared" ref="R432:S437" si="140">IF(AH38="","",AH38)</f>
        <v/>
      </c>
      <c r="S432" s="169" t="str">
        <f t="shared" si="140"/>
        <v/>
      </c>
      <c r="T432" s="351" t="e">
        <f>IF(#REF!="","",#REF!)</f>
        <v>#REF!</v>
      </c>
      <c r="U432" s="170" t="e">
        <f>IF(#REF!="","",#REF!)</f>
        <v>#REF!</v>
      </c>
      <c r="V432" s="351" t="e">
        <f>IF(#REF!="","",#REF!)</f>
        <v>#REF!</v>
      </c>
      <c r="W432" s="388" t="e">
        <f>IF(V432="","",V432/S432)</f>
        <v>#REF!</v>
      </c>
      <c r="X432" s="351" t="e">
        <f>IF(OR(V432="",U432=""),"",V432/(U432/1000))</f>
        <v>#REF!</v>
      </c>
      <c r="Y432" s="125"/>
    </row>
    <row r="433" spans="1:25">
      <c r="A433" s="109">
        <v>25</v>
      </c>
      <c r="B433" s="157"/>
      <c r="C433" s="286" t="s">
        <v>152</v>
      </c>
      <c r="D433" s="286" t="s">
        <v>153</v>
      </c>
      <c r="E433" s="128"/>
      <c r="F433" s="128"/>
      <c r="G433" s="128"/>
      <c r="H433" s="113"/>
      <c r="I433" s="113"/>
      <c r="J433" s="113"/>
      <c r="K433" s="113"/>
      <c r="L433" s="113"/>
      <c r="M433" s="158"/>
      <c r="N433" s="113"/>
      <c r="O433" s="123"/>
      <c r="P433" s="169" t="str">
        <f t="shared" si="139"/>
        <v/>
      </c>
      <c r="Q433" s="169" t="str">
        <f t="shared" si="139"/>
        <v/>
      </c>
      <c r="R433" s="169" t="str">
        <f t="shared" si="140"/>
        <v/>
      </c>
      <c r="S433" s="169" t="str">
        <f t="shared" si="140"/>
        <v/>
      </c>
      <c r="T433" s="351" t="e">
        <f>IF(#REF!="","",#REF!)</f>
        <v>#REF!</v>
      </c>
      <c r="U433" s="170" t="e">
        <f>IF(#REF!="","",#REF!)</f>
        <v>#REF!</v>
      </c>
      <c r="V433" s="351" t="e">
        <f>IF(#REF!="","",#REF!)</f>
        <v>#REF!</v>
      </c>
      <c r="W433" s="388" t="e">
        <f t="shared" ref="W433:W437" si="141">IF(V433="","",V433/S433)</f>
        <v>#REF!</v>
      </c>
      <c r="X433" s="351" t="e">
        <f t="shared" ref="X433:X437" si="142">IF(OR(V433="",U433=""),"",V433/(U433/1000))</f>
        <v>#REF!</v>
      </c>
      <c r="Y433" s="125"/>
    </row>
    <row r="434" spans="1:25" ht="16.2" thickBot="1">
      <c r="A434" s="109">
        <v>26</v>
      </c>
      <c r="B434" s="157"/>
      <c r="C434" s="419" t="s">
        <v>48</v>
      </c>
      <c r="D434" s="419" t="s">
        <v>48</v>
      </c>
      <c r="E434" s="419" t="s">
        <v>321</v>
      </c>
      <c r="F434" s="419" t="s">
        <v>303</v>
      </c>
      <c r="G434" s="419" t="s">
        <v>304</v>
      </c>
      <c r="H434" s="113"/>
      <c r="I434" s="113"/>
      <c r="J434" s="113"/>
      <c r="K434" s="113"/>
      <c r="L434" s="113"/>
      <c r="M434" s="158"/>
      <c r="N434" s="113"/>
      <c r="O434" s="123"/>
      <c r="P434" s="169" t="str">
        <f t="shared" si="139"/>
        <v/>
      </c>
      <c r="Q434" s="169" t="str">
        <f t="shared" si="139"/>
        <v/>
      </c>
      <c r="R434" s="169" t="str">
        <f t="shared" si="140"/>
        <v/>
      </c>
      <c r="S434" s="169" t="str">
        <f t="shared" si="140"/>
        <v/>
      </c>
      <c r="T434" s="351" t="e">
        <f>IF(#REF!="","",#REF!)</f>
        <v>#REF!</v>
      </c>
      <c r="U434" s="170" t="e">
        <f>IF(#REF!="","",#REF!)</f>
        <v>#REF!</v>
      </c>
      <c r="V434" s="351" t="e">
        <f>IF(#REF!="","",#REF!)</f>
        <v>#REF!</v>
      </c>
      <c r="W434" s="388" t="e">
        <f t="shared" si="141"/>
        <v>#REF!</v>
      </c>
      <c r="X434" s="351" t="e">
        <f t="shared" si="142"/>
        <v>#REF!</v>
      </c>
      <c r="Y434" s="125"/>
    </row>
    <row r="435" spans="1:25">
      <c r="A435" s="109">
        <v>27</v>
      </c>
      <c r="B435" s="157"/>
      <c r="C435" s="169" t="str">
        <f>IF(R443="","",R443)</f>
        <v/>
      </c>
      <c r="D435" s="351" t="str">
        <f t="shared" ref="D435:D441" si="143">IF(T443="","",T443)</f>
        <v/>
      </c>
      <c r="E435" s="351" t="str">
        <f t="shared" ref="E435:G441" si="144">IF(V443="","",V443)</f>
        <v/>
      </c>
      <c r="F435" s="388" t="str">
        <f t="shared" si="144"/>
        <v/>
      </c>
      <c r="G435" s="351" t="str">
        <f t="shared" si="144"/>
        <v/>
      </c>
      <c r="H435" s="113"/>
      <c r="I435" s="173"/>
      <c r="J435" s="173"/>
      <c r="K435" s="113"/>
      <c r="L435" s="113"/>
      <c r="M435" s="158"/>
      <c r="N435" s="113"/>
      <c r="O435" s="123"/>
      <c r="P435" s="169" t="str">
        <f t="shared" si="139"/>
        <v/>
      </c>
      <c r="Q435" s="169" t="str">
        <f t="shared" si="139"/>
        <v/>
      </c>
      <c r="R435" s="169" t="str">
        <f t="shared" si="140"/>
        <v/>
      </c>
      <c r="S435" s="169" t="str">
        <f t="shared" si="140"/>
        <v/>
      </c>
      <c r="T435" s="351" t="e">
        <f>IF(#REF!="","",#REF!)</f>
        <v>#REF!</v>
      </c>
      <c r="U435" s="170" t="e">
        <f>IF(#REF!="","",#REF!)</f>
        <v>#REF!</v>
      </c>
      <c r="V435" s="351" t="e">
        <f>IF(#REF!="","",#REF!)</f>
        <v>#REF!</v>
      </c>
      <c r="W435" s="388" t="e">
        <f t="shared" si="141"/>
        <v>#REF!</v>
      </c>
      <c r="X435" s="351" t="e">
        <f t="shared" si="142"/>
        <v>#REF!</v>
      </c>
      <c r="Y435" s="125"/>
    </row>
    <row r="436" spans="1:25">
      <c r="A436" s="109">
        <v>28</v>
      </c>
      <c r="B436" s="157"/>
      <c r="C436" s="113"/>
      <c r="D436" s="351" t="str">
        <f t="shared" si="143"/>
        <v/>
      </c>
      <c r="E436" s="351" t="str">
        <f t="shared" si="144"/>
        <v/>
      </c>
      <c r="F436" s="388" t="str">
        <f t="shared" si="144"/>
        <v/>
      </c>
      <c r="G436" s="351" t="str">
        <f t="shared" si="144"/>
        <v/>
      </c>
      <c r="H436" s="113"/>
      <c r="I436" s="173"/>
      <c r="J436" s="173"/>
      <c r="K436" s="113"/>
      <c r="L436" s="113"/>
      <c r="M436" s="158"/>
      <c r="N436" s="113"/>
      <c r="O436" s="123"/>
      <c r="P436" s="169" t="str">
        <f t="shared" si="139"/>
        <v/>
      </c>
      <c r="Q436" s="169" t="str">
        <f t="shared" si="139"/>
        <v/>
      </c>
      <c r="R436" s="169" t="str">
        <f t="shared" si="140"/>
        <v/>
      </c>
      <c r="S436" s="169" t="str">
        <f t="shared" si="140"/>
        <v/>
      </c>
      <c r="T436" s="351" t="e">
        <f>IF(#REF!="","",#REF!)</f>
        <v>#REF!</v>
      </c>
      <c r="U436" s="170" t="e">
        <f>IF(#REF!="","",#REF!)</f>
        <v>#REF!</v>
      </c>
      <c r="V436" s="351" t="e">
        <f>IF(#REF!="","",#REF!)</f>
        <v>#REF!</v>
      </c>
      <c r="W436" s="388" t="e">
        <f t="shared" si="141"/>
        <v>#REF!</v>
      </c>
      <c r="X436" s="351" t="e">
        <f t="shared" si="142"/>
        <v>#REF!</v>
      </c>
      <c r="Y436" s="125"/>
    </row>
    <row r="437" spans="1:25">
      <c r="A437" s="109">
        <v>29</v>
      </c>
      <c r="B437" s="157"/>
      <c r="C437" s="113"/>
      <c r="D437" s="351" t="str">
        <f t="shared" si="143"/>
        <v/>
      </c>
      <c r="E437" s="351" t="str">
        <f t="shared" si="144"/>
        <v/>
      </c>
      <c r="F437" s="388" t="str">
        <f t="shared" si="144"/>
        <v/>
      </c>
      <c r="G437" s="351" t="str">
        <f t="shared" si="144"/>
        <v/>
      </c>
      <c r="H437" s="113"/>
      <c r="I437" s="173"/>
      <c r="J437" s="173"/>
      <c r="K437" s="113"/>
      <c r="L437" s="113"/>
      <c r="M437" s="158"/>
      <c r="N437" s="113"/>
      <c r="O437" s="123"/>
      <c r="P437" s="169" t="str">
        <f t="shared" si="139"/>
        <v/>
      </c>
      <c r="Q437" s="169" t="str">
        <f t="shared" si="139"/>
        <v/>
      </c>
      <c r="R437" s="169" t="str">
        <f t="shared" si="140"/>
        <v/>
      </c>
      <c r="S437" s="169" t="str">
        <f t="shared" si="140"/>
        <v/>
      </c>
      <c r="T437" s="351" t="e">
        <f>IF(#REF!="","",#REF!)</f>
        <v>#REF!</v>
      </c>
      <c r="U437" s="170" t="e">
        <f>IF(#REF!="","",#REF!)</f>
        <v>#REF!</v>
      </c>
      <c r="V437" s="351" t="e">
        <f>IF(#REF!="","",#REF!)</f>
        <v>#REF!</v>
      </c>
      <c r="W437" s="388" t="e">
        <f t="shared" si="141"/>
        <v>#REF!</v>
      </c>
      <c r="X437" s="351" t="e">
        <f t="shared" si="142"/>
        <v>#REF!</v>
      </c>
      <c r="Y437" s="125"/>
    </row>
    <row r="438" spans="1:25" ht="16.2" thickBot="1">
      <c r="A438" s="109">
        <v>30</v>
      </c>
      <c r="B438" s="157"/>
      <c r="C438" s="113"/>
      <c r="D438" s="351" t="str">
        <f t="shared" si="143"/>
        <v/>
      </c>
      <c r="E438" s="351" t="str">
        <f t="shared" si="144"/>
        <v/>
      </c>
      <c r="F438" s="388" t="str">
        <f t="shared" si="144"/>
        <v/>
      </c>
      <c r="G438" s="351" t="str">
        <f t="shared" si="144"/>
        <v/>
      </c>
      <c r="H438" s="113"/>
      <c r="I438" s="113"/>
      <c r="J438" s="113"/>
      <c r="K438" s="113"/>
      <c r="L438" s="113"/>
      <c r="M438" s="158"/>
      <c r="N438" s="113"/>
      <c r="O438" s="134"/>
      <c r="P438" s="208" t="s">
        <v>158</v>
      </c>
      <c r="Q438" s="120" t="s">
        <v>310</v>
      </c>
      <c r="R438" s="135"/>
      <c r="S438" s="135"/>
      <c r="T438" s="135"/>
      <c r="U438" s="135"/>
      <c r="V438" s="135"/>
      <c r="W438" s="135"/>
      <c r="X438" s="135"/>
      <c r="Y438" s="136"/>
    </row>
    <row r="439" spans="1:25">
      <c r="A439" s="109">
        <v>31</v>
      </c>
      <c r="B439" s="157"/>
      <c r="C439" s="129" t="s">
        <v>164</v>
      </c>
      <c r="D439" s="351" t="str">
        <f t="shared" si="143"/>
        <v/>
      </c>
      <c r="E439" s="351" t="str">
        <f t="shared" si="144"/>
        <v/>
      </c>
      <c r="F439" s="388" t="str">
        <f t="shared" si="144"/>
        <v/>
      </c>
      <c r="G439" s="351" t="str">
        <f t="shared" si="144"/>
        <v/>
      </c>
      <c r="H439" s="113"/>
      <c r="I439" s="113"/>
      <c r="J439" s="113"/>
      <c r="K439" s="113"/>
      <c r="L439" s="113"/>
      <c r="M439" s="158"/>
      <c r="N439" s="113"/>
      <c r="O439" s="241" t="s">
        <v>317</v>
      </c>
      <c r="P439" s="115"/>
      <c r="Q439" s="115"/>
      <c r="R439" s="115"/>
      <c r="S439" s="115"/>
      <c r="T439" s="115"/>
      <c r="U439" s="115"/>
      <c r="V439" s="115"/>
      <c r="W439" s="115"/>
      <c r="X439" s="115"/>
      <c r="Y439" s="116"/>
    </row>
    <row r="440" spans="1:25">
      <c r="A440" s="109">
        <v>32</v>
      </c>
      <c r="B440" s="157"/>
      <c r="C440" s="129" t="s">
        <v>320</v>
      </c>
      <c r="D440" s="351" t="str">
        <f t="shared" si="143"/>
        <v/>
      </c>
      <c r="E440" s="351" t="str">
        <f t="shared" si="144"/>
        <v/>
      </c>
      <c r="F440" s="388" t="str">
        <f t="shared" si="144"/>
        <v/>
      </c>
      <c r="G440" s="351" t="str">
        <f t="shared" si="144"/>
        <v/>
      </c>
      <c r="H440" s="113"/>
      <c r="I440" s="113"/>
      <c r="J440" s="113"/>
      <c r="K440" s="113"/>
      <c r="L440" s="113"/>
      <c r="M440" s="158"/>
      <c r="N440" s="113"/>
      <c r="O440" s="123"/>
      <c r="P440" s="113"/>
      <c r="Q440" s="113"/>
      <c r="R440" s="113"/>
      <c r="S440" s="129"/>
      <c r="T440" s="113"/>
      <c r="U440" s="113"/>
      <c r="V440" s="113"/>
      <c r="W440" s="113"/>
      <c r="X440" s="113"/>
      <c r="Y440" s="125"/>
    </row>
    <row r="441" spans="1:25" ht="16.2" thickBot="1">
      <c r="A441" s="109">
        <v>33</v>
      </c>
      <c r="B441" s="157"/>
      <c r="C441" s="129" t="s">
        <v>283</v>
      </c>
      <c r="D441" s="302" t="str">
        <f t="shared" si="143"/>
        <v/>
      </c>
      <c r="E441" s="302" t="str">
        <f t="shared" si="144"/>
        <v/>
      </c>
      <c r="F441" s="302" t="str">
        <f t="shared" si="144"/>
        <v/>
      </c>
      <c r="G441" s="302" t="str">
        <f t="shared" si="144"/>
        <v/>
      </c>
      <c r="H441" s="113"/>
      <c r="I441" s="113"/>
      <c r="J441" s="113"/>
      <c r="K441" s="113"/>
      <c r="L441" s="113"/>
      <c r="M441" s="158"/>
      <c r="N441" s="113"/>
      <c r="O441" s="123"/>
      <c r="P441" s="113"/>
      <c r="Q441" s="113"/>
      <c r="R441" s="113"/>
      <c r="S441" s="129"/>
      <c r="T441" s="128" t="s">
        <v>300</v>
      </c>
      <c r="U441" s="128"/>
      <c r="V441" s="128"/>
      <c r="W441" s="128"/>
      <c r="X441" s="128"/>
      <c r="Y441" s="125"/>
    </row>
    <row r="442" spans="1:25" ht="16.2" thickBot="1">
      <c r="A442" s="109">
        <v>34</v>
      </c>
      <c r="B442" s="157"/>
      <c r="C442" s="129" t="s">
        <v>175</v>
      </c>
      <c r="D442" s="257" t="str">
        <f>IF(D441="","",IF(ABS(D441)&lt;=0.02,"YES","NO"))</f>
        <v/>
      </c>
      <c r="E442" s="257" t="str">
        <f>IF(E441="","",IF(ABS(E441)&lt;=0.02,"YES","NO"))</f>
        <v/>
      </c>
      <c r="F442" s="257" t="str">
        <f>IF(F441="","",IF(ABS(F441)&lt;=0.02,"YES","NO"))</f>
        <v/>
      </c>
      <c r="G442" s="428" t="str">
        <f>IF(D431="","",IF(D431="Mo",IF(AND(ABS(G441)&lt;=0.02,G439&gt;=7),"YES","NO"),IF(D431="W",IF(AND(ABS(G441)&lt;=0.02,G439&gt;=2),"YES","NO"))))</f>
        <v/>
      </c>
      <c r="H442" s="113"/>
      <c r="I442" s="113"/>
      <c r="J442" s="113"/>
      <c r="K442" s="113"/>
      <c r="L442" s="113"/>
      <c r="M442" s="158"/>
      <c r="N442" s="113"/>
      <c r="O442" s="123"/>
      <c r="P442" s="128" t="s">
        <v>29</v>
      </c>
      <c r="Q442" s="128" t="s">
        <v>233</v>
      </c>
      <c r="R442" s="128" t="s">
        <v>234</v>
      </c>
      <c r="S442" s="128" t="s">
        <v>49</v>
      </c>
      <c r="T442" s="128" t="s">
        <v>48</v>
      </c>
      <c r="U442" s="128" t="s">
        <v>301</v>
      </c>
      <c r="V442" s="128" t="s">
        <v>302</v>
      </c>
      <c r="W442" s="128" t="s">
        <v>303</v>
      </c>
      <c r="X442" s="128" t="s">
        <v>304</v>
      </c>
      <c r="Y442" s="125"/>
    </row>
    <row r="443" spans="1:25">
      <c r="A443" s="109">
        <v>35</v>
      </c>
      <c r="B443" s="157"/>
      <c r="C443" s="113"/>
      <c r="D443" s="208" t="s">
        <v>158</v>
      </c>
      <c r="E443" s="120" t="s">
        <v>322</v>
      </c>
      <c r="F443" s="113"/>
      <c r="G443" s="113"/>
      <c r="H443" s="113"/>
      <c r="I443" s="113"/>
      <c r="J443" s="113"/>
      <c r="K443" s="113"/>
      <c r="L443" s="113"/>
      <c r="M443" s="158"/>
      <c r="N443" s="113"/>
      <c r="O443" s="123"/>
      <c r="P443" s="169" t="str">
        <f>IF($AK$14="","",$AK$14)</f>
        <v/>
      </c>
      <c r="Q443" s="169" t="str">
        <f>IF($AL$14="","",$AL$14)</f>
        <v/>
      </c>
      <c r="R443" s="169" t="str">
        <f t="shared" ref="R443:S446" si="145">IF(AH14="","",AH14)</f>
        <v/>
      </c>
      <c r="S443" s="169" t="str">
        <f t="shared" si="145"/>
        <v/>
      </c>
      <c r="T443" s="351" t="str">
        <f>IF(Sheet2!F8="","",Sheet2!F8)</f>
        <v/>
      </c>
      <c r="U443" s="170" t="str">
        <f>IF(Sheet2!G8="","",Sheet2!G8)</f>
        <v/>
      </c>
      <c r="V443" s="351" t="str">
        <f>IF(Sheet2!H8="","",Sheet2!H8)</f>
        <v/>
      </c>
      <c r="W443" s="388" t="str">
        <f>IF(V443="","",V443/S443)</f>
        <v/>
      </c>
      <c r="X443" s="351" t="str">
        <f>IF(OR(V443="",U443=""),"",V443/(U443/1000))</f>
        <v/>
      </c>
      <c r="Y443" s="125"/>
    </row>
    <row r="444" spans="1:25">
      <c r="A444" s="109">
        <v>36</v>
      </c>
      <c r="B444" s="157"/>
      <c r="C444" s="113"/>
      <c r="D444" s="113"/>
      <c r="E444" s="120" t="s">
        <v>323</v>
      </c>
      <c r="F444" s="113"/>
      <c r="G444" s="113"/>
      <c r="H444" s="113"/>
      <c r="I444" s="113"/>
      <c r="J444" s="113"/>
      <c r="K444" s="113"/>
      <c r="L444" s="113"/>
      <c r="M444" s="158"/>
      <c r="N444" s="113"/>
      <c r="O444" s="123"/>
      <c r="P444" s="169" t="str">
        <f>IF($AK$14="","",$AK$14)</f>
        <v/>
      </c>
      <c r="Q444" s="169" t="str">
        <f>IF($AL$14="","",$AL$14)</f>
        <v/>
      </c>
      <c r="R444" s="169" t="str">
        <f t="shared" si="145"/>
        <v/>
      </c>
      <c r="S444" s="169" t="str">
        <f t="shared" si="145"/>
        <v/>
      </c>
      <c r="T444" s="351" t="str">
        <f>IF(Sheet2!F9="","",Sheet2!F9)</f>
        <v/>
      </c>
      <c r="U444" s="170" t="str">
        <f>IF(Sheet2!G9="","",Sheet2!G9)</f>
        <v/>
      </c>
      <c r="V444" s="351" t="str">
        <f>IF(Sheet2!H9="","",Sheet2!H9)</f>
        <v/>
      </c>
      <c r="W444" s="388" t="str">
        <f>IF(V444="","",V444/S444)</f>
        <v/>
      </c>
      <c r="X444" s="351" t="str">
        <f>IF(OR(V444="",U444=""),"",V444/(U444/1000))</f>
        <v/>
      </c>
      <c r="Y444" s="125"/>
    </row>
    <row r="445" spans="1:25">
      <c r="A445" s="109">
        <v>37</v>
      </c>
      <c r="B445" s="157"/>
      <c r="C445" s="113"/>
      <c r="D445" s="113"/>
      <c r="E445" s="120" t="s">
        <v>324</v>
      </c>
      <c r="F445" s="113"/>
      <c r="G445" s="113"/>
      <c r="H445" s="113"/>
      <c r="I445" s="113"/>
      <c r="J445" s="113"/>
      <c r="K445" s="113"/>
      <c r="L445" s="113"/>
      <c r="M445" s="158"/>
      <c r="N445" s="113"/>
      <c r="O445" s="123"/>
      <c r="P445" s="169" t="str">
        <f>IF($AK$14="","",$AK$14)</f>
        <v/>
      </c>
      <c r="Q445" s="169" t="str">
        <f>IF($AL$14="","",$AL$14)</f>
        <v/>
      </c>
      <c r="R445" s="169" t="str">
        <f t="shared" si="145"/>
        <v/>
      </c>
      <c r="S445" s="169" t="str">
        <f t="shared" si="145"/>
        <v/>
      </c>
      <c r="T445" s="351" t="str">
        <f>IF(Sheet2!F10="","",Sheet2!F10)</f>
        <v/>
      </c>
      <c r="U445" s="170" t="str">
        <f>IF(Sheet2!G10="","",Sheet2!G10)</f>
        <v/>
      </c>
      <c r="V445" s="351" t="str">
        <f>IF(Sheet2!H10="","",Sheet2!H10)</f>
        <v/>
      </c>
      <c r="W445" s="388" t="str">
        <f>IF(V445="","",V445/S445)</f>
        <v/>
      </c>
      <c r="X445" s="351" t="str">
        <f>IF(OR(V445="",U445=""),"",V445/(U445/1000))</f>
        <v/>
      </c>
      <c r="Y445" s="125"/>
    </row>
    <row r="446" spans="1:25">
      <c r="A446" s="109">
        <v>38</v>
      </c>
      <c r="B446" s="157"/>
      <c r="C446" s="173"/>
      <c r="D446" s="173"/>
      <c r="E446" s="173"/>
      <c r="F446" s="173"/>
      <c r="G446" s="173"/>
      <c r="H446" s="113"/>
      <c r="I446" s="113"/>
      <c r="J446" s="113"/>
      <c r="K446" s="113"/>
      <c r="L446" s="113"/>
      <c r="M446" s="158"/>
      <c r="N446" s="113"/>
      <c r="O446" s="123"/>
      <c r="P446" s="169" t="str">
        <f>IF($AK$14="","",$AK$14)</f>
        <v/>
      </c>
      <c r="Q446" s="169" t="str">
        <f>IF($AL$14="","",$AL$14)</f>
        <v/>
      </c>
      <c r="R446" s="169" t="str">
        <f t="shared" si="145"/>
        <v/>
      </c>
      <c r="S446" s="169" t="str">
        <f t="shared" si="145"/>
        <v/>
      </c>
      <c r="T446" s="429" t="str">
        <f>IF(Sheet2!F11="","",Sheet2!F11)</f>
        <v/>
      </c>
      <c r="U446" s="430" t="str">
        <f>IF(Sheet2!G11="","",Sheet2!G11)</f>
        <v/>
      </c>
      <c r="V446" s="429" t="str">
        <f>IF(Sheet2!H11="","",Sheet2!H11)</f>
        <v/>
      </c>
      <c r="W446" s="431" t="str">
        <f>IF(V446="","",V446/S446)</f>
        <v/>
      </c>
      <c r="X446" s="429" t="str">
        <f>IF(OR(V446="",U446=""),"",V446/(U446/1000))</f>
        <v/>
      </c>
      <c r="Y446" s="125"/>
    </row>
    <row r="447" spans="1:25">
      <c r="A447" s="109">
        <v>39</v>
      </c>
      <c r="B447" s="157"/>
      <c r="C447" s="165" t="s">
        <v>325</v>
      </c>
      <c r="D447" s="113"/>
      <c r="E447" s="113"/>
      <c r="F447" s="113"/>
      <c r="G447" s="113"/>
      <c r="H447" s="113"/>
      <c r="I447" s="113"/>
      <c r="J447" s="113"/>
      <c r="K447" s="113"/>
      <c r="L447" s="113"/>
      <c r="M447" s="158"/>
      <c r="N447" s="113"/>
      <c r="O447" s="123"/>
      <c r="P447" s="113"/>
      <c r="Q447" s="113"/>
      <c r="R447" s="113"/>
      <c r="S447" s="129" t="s">
        <v>164</v>
      </c>
      <c r="T447" s="351" t="str">
        <f>IF(OR(T443="",T444="",T445="",T446=""),"",AVERAGE(T443:T446))</f>
        <v/>
      </c>
      <c r="U447" s="170" t="str">
        <f>IF(OR(U443="",U444="",U445="",U446=""),"",AVERAGE(U443:U446))</f>
        <v/>
      </c>
      <c r="V447" s="351" t="str">
        <f>IF(OR(V443="",V444="",V445="",V446=""),"",AVERAGE(V443:V446))</f>
        <v/>
      </c>
      <c r="W447" s="388" t="str">
        <f>IF(OR(W443="",W444="",W445="",W446=""),"",AVERAGE(W443:W446))</f>
        <v/>
      </c>
      <c r="X447" s="351" t="str">
        <f>IF(OR(X443="",X444="",X445="",X446=""),"",AVERAGE(X443:X446))</f>
        <v/>
      </c>
      <c r="Y447" s="125"/>
    </row>
    <row r="448" spans="1:25">
      <c r="A448" s="109">
        <v>40</v>
      </c>
      <c r="B448" s="157"/>
      <c r="C448" s="129" t="s">
        <v>29</v>
      </c>
      <c r="D448" s="245" t="str">
        <f>IF(P457="","",P457)</f>
        <v/>
      </c>
      <c r="E448" s="129" t="s">
        <v>31</v>
      </c>
      <c r="F448" s="245" t="str">
        <f>IF(Q457="","",Q457)</f>
        <v/>
      </c>
      <c r="G448" s="113"/>
      <c r="H448" s="113"/>
      <c r="I448" s="113"/>
      <c r="J448" s="113"/>
      <c r="K448" s="113"/>
      <c r="L448" s="113"/>
      <c r="M448" s="158"/>
      <c r="N448" s="113"/>
      <c r="O448" s="243"/>
      <c r="P448" s="113"/>
      <c r="Q448" s="113"/>
      <c r="R448" s="113"/>
      <c r="S448" s="129" t="s">
        <v>320</v>
      </c>
      <c r="T448" s="351" t="str">
        <f>IF(OR(T443="",T444="",T445="",T446=""),"",STDEV(T443:T446))</f>
        <v/>
      </c>
      <c r="U448" s="351" t="str">
        <f>IF(OR(U443="",U444="",U445="",U446=""),"",STDEV(U443:U446))</f>
        <v/>
      </c>
      <c r="V448" s="351" t="str">
        <f>IF(OR(V443="",V444="",V445="",V446=""),"",STDEV(V443:V446))</f>
        <v/>
      </c>
      <c r="W448" s="351" t="str">
        <f>IF(OR(W443="",W444="",W445="",W446=""),"",STDEV(W443:W446))</f>
        <v/>
      </c>
      <c r="X448" s="351" t="str">
        <f>IF(OR(X443="",X444="",X445="",X446=""),"",STDEV(X443:X446))</f>
        <v/>
      </c>
      <c r="Y448" s="125"/>
    </row>
    <row r="449" spans="1:25" ht="16.2" thickBot="1">
      <c r="A449" s="109">
        <v>41</v>
      </c>
      <c r="B449" s="157"/>
      <c r="C449" s="419" t="s">
        <v>331</v>
      </c>
      <c r="D449" s="419" t="s">
        <v>48</v>
      </c>
      <c r="E449" s="419" t="s">
        <v>321</v>
      </c>
      <c r="F449" s="419" t="s">
        <v>303</v>
      </c>
      <c r="G449" s="419" t="s">
        <v>304</v>
      </c>
      <c r="H449" s="113"/>
      <c r="I449" s="113"/>
      <c r="J449" s="113"/>
      <c r="K449" s="113"/>
      <c r="L449" s="113"/>
      <c r="M449" s="158"/>
      <c r="N449" s="113"/>
      <c r="O449" s="123"/>
      <c r="P449" s="113"/>
      <c r="Q449" s="113"/>
      <c r="R449" s="113"/>
      <c r="S449" s="129" t="s">
        <v>283</v>
      </c>
      <c r="T449" s="302" t="str">
        <f>IF(OR(T447="",T448=""),"",T448/T447)</f>
        <v/>
      </c>
      <c r="U449" s="302" t="str">
        <f>IF(OR(U447="",U448=""),"",U448/U447)</f>
        <v/>
      </c>
      <c r="V449" s="302" t="str">
        <f>IF(OR(V447="",V448=""),"",V448/V447)</f>
        <v/>
      </c>
      <c r="W449" s="302" t="str">
        <f>IF(OR(W447="",W448=""),"",W448/W447)</f>
        <v/>
      </c>
      <c r="X449" s="302" t="str">
        <f>IF(OR(X447="",X448=""),"",X448/X447)</f>
        <v/>
      </c>
      <c r="Y449" s="125"/>
    </row>
    <row r="450" spans="1:25">
      <c r="A450" s="109">
        <v>42</v>
      </c>
      <c r="B450" s="157"/>
      <c r="C450" s="169" t="str">
        <f t="shared" ref="C450:D454" si="146">IF(S457="","",S457)</f>
        <v/>
      </c>
      <c r="D450" s="351" t="str">
        <f t="shared" si="146"/>
        <v/>
      </c>
      <c r="E450" s="351" t="str">
        <f t="shared" ref="E450:G454" si="147">IF(V457="","",V457)</f>
        <v/>
      </c>
      <c r="F450" s="388" t="str">
        <f t="shared" si="147"/>
        <v/>
      </c>
      <c r="G450" s="351" t="str">
        <f t="shared" si="147"/>
        <v/>
      </c>
      <c r="H450" s="113"/>
      <c r="I450" s="113"/>
      <c r="J450" s="113"/>
      <c r="K450" s="113"/>
      <c r="L450" s="113"/>
      <c r="M450" s="158"/>
      <c r="N450" s="113"/>
      <c r="O450" s="123"/>
      <c r="P450" s="113"/>
      <c r="Q450" s="113"/>
      <c r="R450" s="113"/>
      <c r="S450" s="129" t="s">
        <v>238</v>
      </c>
      <c r="T450" s="427"/>
      <c r="U450" s="427"/>
      <c r="V450" s="432"/>
      <c r="W450" s="433" t="str">
        <f>IF(AB88="","",AB88)</f>
        <v/>
      </c>
      <c r="X450" s="434" t="str">
        <f>IF(AB89="","",AB89)</f>
        <v/>
      </c>
      <c r="Y450" s="125"/>
    </row>
    <row r="451" spans="1:25">
      <c r="A451" s="109">
        <v>43</v>
      </c>
      <c r="B451" s="157"/>
      <c r="C451" s="169" t="str">
        <f t="shared" si="146"/>
        <v/>
      </c>
      <c r="D451" s="351" t="str">
        <f t="shared" si="146"/>
        <v/>
      </c>
      <c r="E451" s="351" t="str">
        <f t="shared" si="147"/>
        <v/>
      </c>
      <c r="F451" s="388" t="str">
        <f t="shared" si="147"/>
        <v/>
      </c>
      <c r="G451" s="351" t="str">
        <f t="shared" si="147"/>
        <v/>
      </c>
      <c r="H451" s="113"/>
      <c r="I451" s="113"/>
      <c r="J451" s="113"/>
      <c r="K451" s="113"/>
      <c r="L451" s="113"/>
      <c r="M451" s="158"/>
      <c r="N451" s="113"/>
      <c r="O451" s="123"/>
      <c r="P451" s="208" t="s">
        <v>158</v>
      </c>
      <c r="Q451" s="120" t="s">
        <v>322</v>
      </c>
      <c r="R451" s="113"/>
      <c r="S451" s="113"/>
      <c r="T451" s="113"/>
      <c r="U451" s="113"/>
      <c r="V451" s="113"/>
      <c r="W451" s="113"/>
      <c r="X451" s="113"/>
      <c r="Y451" s="125"/>
    </row>
    <row r="452" spans="1:25">
      <c r="A452" s="109">
        <v>44</v>
      </c>
      <c r="B452" s="157"/>
      <c r="C452" s="169" t="str">
        <f t="shared" si="146"/>
        <v/>
      </c>
      <c r="D452" s="351" t="str">
        <f t="shared" si="146"/>
        <v/>
      </c>
      <c r="E452" s="351" t="str">
        <f t="shared" si="147"/>
        <v/>
      </c>
      <c r="F452" s="388" t="str">
        <f t="shared" si="147"/>
        <v/>
      </c>
      <c r="G452" s="351" t="str">
        <f t="shared" si="147"/>
        <v/>
      </c>
      <c r="H452" s="113"/>
      <c r="I452" s="113"/>
      <c r="J452" s="113"/>
      <c r="K452" s="113"/>
      <c r="L452" s="113"/>
      <c r="M452" s="158"/>
      <c r="N452" s="113"/>
      <c r="O452" s="123"/>
      <c r="P452" s="113"/>
      <c r="Q452" s="120" t="s">
        <v>323</v>
      </c>
      <c r="R452" s="113"/>
      <c r="S452" s="113"/>
      <c r="T452" s="113"/>
      <c r="U452" s="113"/>
      <c r="V452" s="113"/>
      <c r="W452" s="113"/>
      <c r="X452" s="113"/>
      <c r="Y452" s="125"/>
    </row>
    <row r="453" spans="1:25" ht="16.2" thickBot="1">
      <c r="A453" s="109">
        <v>45</v>
      </c>
      <c r="B453" s="157"/>
      <c r="C453" s="169" t="str">
        <f t="shared" si="146"/>
        <v/>
      </c>
      <c r="D453" s="351" t="str">
        <f t="shared" si="146"/>
        <v/>
      </c>
      <c r="E453" s="351" t="str">
        <f t="shared" si="147"/>
        <v/>
      </c>
      <c r="F453" s="388" t="str">
        <f t="shared" si="147"/>
        <v/>
      </c>
      <c r="G453" s="351" t="str">
        <f t="shared" si="147"/>
        <v/>
      </c>
      <c r="H453" s="113"/>
      <c r="I453" s="113"/>
      <c r="J453" s="113"/>
      <c r="K453" s="113"/>
      <c r="L453" s="113"/>
      <c r="M453" s="158"/>
      <c r="N453" s="113"/>
      <c r="O453" s="134"/>
      <c r="P453" s="135"/>
      <c r="Q453" s="340" t="s">
        <v>324</v>
      </c>
      <c r="R453" s="135"/>
      <c r="S453" s="135"/>
      <c r="T453" s="135"/>
      <c r="U453" s="135"/>
      <c r="V453" s="135"/>
      <c r="W453" s="135"/>
      <c r="X453" s="135"/>
      <c r="Y453" s="136"/>
    </row>
    <row r="454" spans="1:25" ht="16.2" thickBot="1">
      <c r="A454" s="109">
        <v>46</v>
      </c>
      <c r="B454" s="157"/>
      <c r="C454" s="169" t="str">
        <f t="shared" si="146"/>
        <v/>
      </c>
      <c r="D454" s="351" t="str">
        <f t="shared" si="146"/>
        <v/>
      </c>
      <c r="E454" s="351" t="str">
        <f t="shared" si="147"/>
        <v/>
      </c>
      <c r="F454" s="388" t="str">
        <f t="shared" si="147"/>
        <v/>
      </c>
      <c r="G454" s="351" t="str">
        <f t="shared" si="147"/>
        <v/>
      </c>
      <c r="H454" s="113"/>
      <c r="I454" s="113"/>
      <c r="J454" s="113"/>
      <c r="K454" s="113"/>
      <c r="L454" s="113"/>
      <c r="M454" s="158"/>
      <c r="N454" s="113"/>
      <c r="O454" s="241" t="s">
        <v>325</v>
      </c>
      <c r="P454" s="115"/>
      <c r="Q454" s="115"/>
      <c r="R454" s="115"/>
      <c r="S454" s="115"/>
      <c r="T454" s="115"/>
      <c r="U454" s="115"/>
      <c r="V454" s="115"/>
      <c r="W454" s="115"/>
      <c r="X454" s="115"/>
      <c r="Y454" s="116"/>
    </row>
    <row r="455" spans="1:25" ht="16.2" thickBot="1">
      <c r="A455" s="109">
        <v>47</v>
      </c>
      <c r="B455" s="157"/>
      <c r="C455" s="113"/>
      <c r="D455" s="113"/>
      <c r="E455" s="129" t="s">
        <v>327</v>
      </c>
      <c r="F455" s="435" t="str">
        <f>IF(W462="","",W462)</f>
        <v/>
      </c>
      <c r="G455" s="113"/>
      <c r="H455" s="113"/>
      <c r="I455" s="113"/>
      <c r="J455" s="113"/>
      <c r="K455" s="113"/>
      <c r="L455" s="113"/>
      <c r="M455" s="158"/>
      <c r="N455" s="113"/>
      <c r="O455" s="123"/>
      <c r="P455" s="113"/>
      <c r="Q455" s="113"/>
      <c r="R455" s="113"/>
      <c r="S455" s="113"/>
      <c r="T455" s="128" t="s">
        <v>300</v>
      </c>
      <c r="U455" s="128"/>
      <c r="V455" s="128"/>
      <c r="W455" s="128"/>
      <c r="X455" s="128"/>
      <c r="Y455" s="125"/>
    </row>
    <row r="456" spans="1:25">
      <c r="A456" s="109">
        <v>48</v>
      </c>
      <c r="B456" s="157"/>
      <c r="C456" s="113"/>
      <c r="D456" s="208" t="s">
        <v>158</v>
      </c>
      <c r="E456" s="120" t="s">
        <v>326</v>
      </c>
      <c r="F456" s="113"/>
      <c r="G456" s="113"/>
      <c r="H456" s="113"/>
      <c r="I456" s="113"/>
      <c r="J456" s="113"/>
      <c r="K456" s="113"/>
      <c r="L456" s="113"/>
      <c r="M456" s="158"/>
      <c r="N456" s="113"/>
      <c r="O456" s="123"/>
      <c r="P456" s="128" t="s">
        <v>29</v>
      </c>
      <c r="Q456" s="128" t="s">
        <v>233</v>
      </c>
      <c r="R456" s="128" t="s">
        <v>234</v>
      </c>
      <c r="S456" s="128" t="s">
        <v>49</v>
      </c>
      <c r="T456" s="128" t="s">
        <v>48</v>
      </c>
      <c r="U456" s="128" t="s">
        <v>301</v>
      </c>
      <c r="V456" s="128" t="s">
        <v>302</v>
      </c>
      <c r="W456" s="128" t="s">
        <v>303</v>
      </c>
      <c r="X456" s="128" t="s">
        <v>304</v>
      </c>
      <c r="Y456" s="125"/>
    </row>
    <row r="457" spans="1:25">
      <c r="A457" s="109">
        <v>49</v>
      </c>
      <c r="B457" s="157"/>
      <c r="H457" s="113"/>
      <c r="I457" s="113"/>
      <c r="J457" s="113"/>
      <c r="K457" s="113"/>
      <c r="L457" s="113"/>
      <c r="M457" s="158"/>
      <c r="N457" s="113"/>
      <c r="O457" s="123"/>
      <c r="P457" s="169" t="str">
        <f>IF(AK13="","",AK13)</f>
        <v/>
      </c>
      <c r="Q457" s="169" t="str">
        <f>IF(AL13="","",AL13)</f>
        <v/>
      </c>
      <c r="R457" s="169" t="str">
        <f>IF(AH13="","",AH13)</f>
        <v/>
      </c>
      <c r="S457" s="169" t="str">
        <f>IF(AI13="","",AI13)</f>
        <v/>
      </c>
      <c r="T457" s="351" t="str">
        <f>IF(Sheet2!F7="","",Sheet2!F7)</f>
        <v/>
      </c>
      <c r="U457" s="170" t="str">
        <f>IF(Sheet2!G7="","",Sheet2!G7)</f>
        <v/>
      </c>
      <c r="V457" s="351" t="str">
        <f>IF(Sheet2!H7="","",Sheet2!H7)</f>
        <v/>
      </c>
      <c r="W457" s="388" t="str">
        <f>IF(V457="","",V457/S457)</f>
        <v/>
      </c>
      <c r="X457" s="351" t="str">
        <f>IF(OR(V457="",U457=""),"",V457/(U457/1000))</f>
        <v/>
      </c>
      <c r="Y457" s="125"/>
    </row>
    <row r="458" spans="1:25">
      <c r="A458" s="109">
        <v>50</v>
      </c>
      <c r="B458" s="157"/>
      <c r="C458" s="165" t="s">
        <v>338</v>
      </c>
      <c r="D458" s="113"/>
      <c r="E458" s="113"/>
      <c r="F458" s="113"/>
      <c r="G458" s="113"/>
      <c r="H458" s="113"/>
      <c r="I458" s="113"/>
      <c r="J458" s="113"/>
      <c r="K458" s="113"/>
      <c r="L458" s="113"/>
      <c r="M458" s="158"/>
      <c r="N458" s="113"/>
      <c r="O458" s="123"/>
      <c r="P458" s="169" t="str">
        <f>IF(AK14="","",AK14)</f>
        <v/>
      </c>
      <c r="Q458" s="169" t="str">
        <f>IF(AL14="","",AL14)</f>
        <v/>
      </c>
      <c r="R458" s="169" t="str">
        <f>IF(AH14="","",AH14)</f>
        <v/>
      </c>
      <c r="S458" s="169" t="str">
        <f>IF(AI14="","",AI14)</f>
        <v/>
      </c>
      <c r="T458" s="351" t="str">
        <f>IF(Sheet2!F8="","",Sheet2!F8)</f>
        <v/>
      </c>
      <c r="U458" s="170" t="str">
        <f>IF(Sheet2!G8="","",Sheet2!G8)</f>
        <v/>
      </c>
      <c r="V458" s="351" t="str">
        <f>IF(Sheet2!H8="","",Sheet2!H8)</f>
        <v/>
      </c>
      <c r="W458" s="388" t="str">
        <f>W447</f>
        <v/>
      </c>
      <c r="X458" s="351" t="str">
        <f>X447</f>
        <v/>
      </c>
      <c r="Y458" s="125"/>
    </row>
    <row r="459" spans="1:25">
      <c r="A459" s="109">
        <v>51</v>
      </c>
      <c r="B459" s="157"/>
      <c r="C459" s="436" t="s">
        <v>47</v>
      </c>
      <c r="D459" s="436" t="str">
        <f>$P$402&amp;"/"&amp;$Q$402</f>
        <v>/</v>
      </c>
      <c r="E459" s="436" t="str">
        <f>$P$402&amp;"/"&amp;$Q$402</f>
        <v>/</v>
      </c>
      <c r="F459" s="436" t="str">
        <f>$P$402&amp;"/"&amp;$Q$402</f>
        <v>/</v>
      </c>
      <c r="G459" s="436" t="str">
        <f>$P$402&amp;"/"&amp;$Q$402</f>
        <v>/</v>
      </c>
      <c r="H459" s="436" t="str">
        <f>$P$414&amp;"/"&amp;$Q$414</f>
        <v>/</v>
      </c>
      <c r="I459" s="436" t="str">
        <f>$P$414&amp;"/"&amp;$Q$414</f>
        <v>/</v>
      </c>
      <c r="J459" s="436" t="str">
        <f>$P$414&amp;"/"&amp;$Q$414</f>
        <v>/</v>
      </c>
      <c r="K459" s="436" t="str">
        <f>$P$414&amp;"/"&amp;$Q$414</f>
        <v>/</v>
      </c>
      <c r="L459" s="113"/>
      <c r="M459" s="158"/>
      <c r="N459" s="113"/>
      <c r="O459" s="123"/>
      <c r="P459" s="169" t="str">
        <f t="shared" ref="P459:Q461" si="148">IF(AK18="","",AK18)</f>
        <v/>
      </c>
      <c r="Q459" s="169" t="str">
        <f t="shared" si="148"/>
        <v/>
      </c>
      <c r="R459" s="169" t="str">
        <f t="shared" ref="R459:S461" si="149">IF(AH18="","",AH18)</f>
        <v/>
      </c>
      <c r="S459" s="169" t="str">
        <f t="shared" si="149"/>
        <v/>
      </c>
      <c r="T459" s="351" t="str">
        <f>IF(Sheet2!F12="","",Sheet2!F12)</f>
        <v/>
      </c>
      <c r="U459" s="170" t="str">
        <f>IF(Sheet2!G12="","",Sheet2!G12)</f>
        <v/>
      </c>
      <c r="V459" s="351" t="str">
        <f>IF(Sheet2!H12="","",Sheet2!H12)</f>
        <v/>
      </c>
      <c r="W459" s="388" t="str">
        <f>IF(V459="","",V459/S459)</f>
        <v/>
      </c>
      <c r="X459" s="351" t="str">
        <f>IF(OR(V459="",U459=""),"",V459/(U459/1000))</f>
        <v/>
      </c>
      <c r="Y459" s="125"/>
    </row>
    <row r="460" spans="1:25" ht="16.2" thickBot="1">
      <c r="A460" s="109">
        <v>52</v>
      </c>
      <c r="B460" s="157"/>
      <c r="C460" s="191" t="s">
        <v>234</v>
      </c>
      <c r="D460" s="191">
        <f t="shared" ref="D460:K460" si="150">Q467</f>
        <v>0</v>
      </c>
      <c r="E460" s="191">
        <f t="shared" si="150"/>
        <v>0</v>
      </c>
      <c r="F460" s="191">
        <f t="shared" si="150"/>
        <v>0</v>
      </c>
      <c r="G460" s="191">
        <f t="shared" si="150"/>
        <v>0</v>
      </c>
      <c r="H460" s="191">
        <f t="shared" si="150"/>
        <v>0</v>
      </c>
      <c r="I460" s="191">
        <f t="shared" si="150"/>
        <v>0</v>
      </c>
      <c r="J460" s="191">
        <f t="shared" si="150"/>
        <v>0</v>
      </c>
      <c r="K460" s="191">
        <f t="shared" si="150"/>
        <v>0</v>
      </c>
      <c r="L460" s="113"/>
      <c r="M460" s="158"/>
      <c r="N460" s="113"/>
      <c r="O460" s="123"/>
      <c r="P460" s="169" t="str">
        <f t="shared" si="148"/>
        <v/>
      </c>
      <c r="Q460" s="169" t="str">
        <f t="shared" si="148"/>
        <v/>
      </c>
      <c r="R460" s="169" t="str">
        <f t="shared" si="149"/>
        <v/>
      </c>
      <c r="S460" s="169" t="str">
        <f t="shared" si="149"/>
        <v/>
      </c>
      <c r="T460" s="351" t="str">
        <f>IF(Sheet2!F13="","",Sheet2!F13)</f>
        <v/>
      </c>
      <c r="U460" s="170" t="str">
        <f>IF(Sheet2!G13="","",Sheet2!G13)</f>
        <v/>
      </c>
      <c r="V460" s="351" t="str">
        <f>IF(Sheet2!H13="","",Sheet2!H13)</f>
        <v/>
      </c>
      <c r="W460" s="388" t="str">
        <f>IF(V460="","",V460/S460)</f>
        <v/>
      </c>
      <c r="X460" s="351" t="str">
        <f>IF(OR(V460="",U460=""),"",V460/(U460/1000))</f>
        <v/>
      </c>
      <c r="Y460" s="125"/>
    </row>
    <row r="461" spans="1:25">
      <c r="A461" s="109">
        <v>53</v>
      </c>
      <c r="B461" s="157"/>
      <c r="C461" s="437" t="s">
        <v>334</v>
      </c>
      <c r="D461" s="438" t="str">
        <f>IF(Q470="","",Q470)</f>
        <v/>
      </c>
      <c r="E461" s="438" t="str">
        <f>IF(R470="","",R470)</f>
        <v/>
      </c>
      <c r="F461" s="438" t="str">
        <f>IF(S470="","",S470)</f>
        <v/>
      </c>
      <c r="G461" s="438" t="str">
        <f>IF(T470="","",T470)</f>
        <v/>
      </c>
      <c r="H461" s="438" t="str">
        <f>IF(U470="","",U470)</f>
        <v/>
      </c>
      <c r="I461" s="438" t="str">
        <f>IF(V470="","",V470)</f>
        <v/>
      </c>
      <c r="J461" s="438" t="str">
        <f>IF(W470="","",W470)</f>
        <v/>
      </c>
      <c r="K461" s="161" t="str">
        <f>IF(X470="","",X470)</f>
        <v/>
      </c>
      <c r="L461" s="113"/>
      <c r="M461" s="158"/>
      <c r="N461" s="113"/>
      <c r="O461" s="123"/>
      <c r="P461" s="169" t="str">
        <f t="shared" si="148"/>
        <v/>
      </c>
      <c r="Q461" s="169" t="str">
        <f t="shared" si="148"/>
        <v/>
      </c>
      <c r="R461" s="169" t="str">
        <f t="shared" si="149"/>
        <v/>
      </c>
      <c r="S461" s="169" t="str">
        <f t="shared" si="149"/>
        <v/>
      </c>
      <c r="T461" s="351" t="str">
        <f>IF(Sheet2!F14="","",Sheet2!F14)</f>
        <v/>
      </c>
      <c r="U461" s="170" t="str">
        <f>IF(Sheet2!G14="","",Sheet2!G14)</f>
        <v/>
      </c>
      <c r="V461" s="351" t="str">
        <f>IF(Sheet2!H14="","",Sheet2!H14)</f>
        <v/>
      </c>
      <c r="W461" s="388" t="str">
        <f>IF(V461="","",V461/S461)</f>
        <v/>
      </c>
      <c r="X461" s="351" t="str">
        <f>IF(OR(V461="",U461=""),"",V461/(U461/1000))</f>
        <v/>
      </c>
      <c r="Y461" s="125"/>
    </row>
    <row r="462" spans="1:25" ht="16.2" thickBot="1">
      <c r="A462" s="109">
        <v>54</v>
      </c>
      <c r="B462" s="157"/>
      <c r="C462" s="440" t="s">
        <v>335</v>
      </c>
      <c r="D462" s="317" t="e">
        <f>IF(#REF!="","",#REF!)</f>
        <v>#REF!</v>
      </c>
      <c r="E462" s="317" t="e">
        <f>IF(#REF!="","",#REF!)</f>
        <v>#REF!</v>
      </c>
      <c r="F462" s="317" t="e">
        <f>IF(#REF!="","",#REF!)</f>
        <v>#REF!</v>
      </c>
      <c r="G462" s="317" t="e">
        <f>IF(#REF!="","",#REF!)</f>
        <v>#REF!</v>
      </c>
      <c r="H462" s="317"/>
      <c r="I462" s="317"/>
      <c r="J462" s="317"/>
      <c r="K462" s="319"/>
      <c r="L462" s="113"/>
      <c r="M462" s="158"/>
      <c r="N462" s="113"/>
      <c r="O462" s="123"/>
      <c r="P462" s="208" t="s">
        <v>158</v>
      </c>
      <c r="Q462" s="120" t="s">
        <v>326</v>
      </c>
      <c r="R462" s="113"/>
      <c r="S462" s="113"/>
      <c r="T462" s="113"/>
      <c r="U462" s="113"/>
      <c r="V462" s="129" t="s">
        <v>327</v>
      </c>
      <c r="W462" s="439" t="str">
        <f>IF(OR(W457="",W458=""),"",(MAX(W457:W461)-MIN(W457:W461))/(MAX(W457:W461)+MIN(W457:W461)))</f>
        <v/>
      </c>
      <c r="X462" s="113"/>
      <c r="Y462" s="125"/>
    </row>
    <row r="463" spans="1:25">
      <c r="A463" s="109">
        <v>55</v>
      </c>
      <c r="B463" s="157"/>
      <c r="C463" s="437" t="s">
        <v>336</v>
      </c>
      <c r="D463" s="438">
        <f>Q471</f>
        <v>0.03</v>
      </c>
      <c r="E463" s="438">
        <f>R471</f>
        <v>0.03</v>
      </c>
      <c r="F463" s="438">
        <f>S471</f>
        <v>0.03</v>
      </c>
      <c r="G463" s="438">
        <f>T471</f>
        <v>0.03</v>
      </c>
      <c r="H463" s="438">
        <f>U471</f>
        <v>0.03</v>
      </c>
      <c r="I463" s="438">
        <f>V471</f>
        <v>0.03</v>
      </c>
      <c r="J463" s="438">
        <f>W471</f>
        <v>0.03</v>
      </c>
      <c r="K463" s="161">
        <f>X471</f>
        <v>0.03</v>
      </c>
      <c r="L463" s="113"/>
      <c r="M463" s="158"/>
      <c r="N463" s="113"/>
      <c r="O463" s="200" t="str">
        <f>IF(U460="","",IF(U460/1000&gt;=3,1,2))</f>
        <v/>
      </c>
      <c r="P463" s="113" t="s">
        <v>328</v>
      </c>
      <c r="Q463" s="113"/>
      <c r="R463" s="113"/>
      <c r="S463" s="113"/>
      <c r="T463" s="113"/>
      <c r="U463" s="113"/>
      <c r="V463" s="113"/>
      <c r="W463" s="113"/>
      <c r="X463" s="113"/>
      <c r="Y463" s="125"/>
    </row>
    <row r="464" spans="1:25" ht="16.2" thickBot="1">
      <c r="A464" s="109">
        <v>56</v>
      </c>
      <c r="B464" s="157"/>
      <c r="C464" s="440" t="s">
        <v>337</v>
      </c>
      <c r="D464" s="362">
        <f>Q472</f>
        <v>0.12</v>
      </c>
      <c r="E464" s="362">
        <f>R472</f>
        <v>0.12</v>
      </c>
      <c r="F464" s="362">
        <f>S472</f>
        <v>0.12</v>
      </c>
      <c r="G464" s="362">
        <f>T472</f>
        <v>0.12</v>
      </c>
      <c r="H464" s="362">
        <f>U472</f>
        <v>0.19</v>
      </c>
      <c r="I464" s="362">
        <f>V472</f>
        <v>0.19</v>
      </c>
      <c r="J464" s="362">
        <f>W472</f>
        <v>0.19</v>
      </c>
      <c r="K464" s="215">
        <f>X472</f>
        <v>0.19</v>
      </c>
      <c r="L464" s="113"/>
      <c r="M464" s="158"/>
      <c r="N464" s="113"/>
      <c r="O464" s="134"/>
      <c r="P464" s="135"/>
      <c r="Q464" s="135"/>
      <c r="R464" s="135"/>
      <c r="S464" s="135"/>
      <c r="T464" s="135"/>
      <c r="U464" s="135"/>
      <c r="V464" s="135"/>
      <c r="W464" s="135"/>
      <c r="X464" s="135"/>
      <c r="Y464" s="136"/>
    </row>
    <row r="465" spans="1:25" ht="16.2" thickBot="1">
      <c r="A465" s="109">
        <v>57</v>
      </c>
      <c r="B465" s="157"/>
      <c r="C465" s="129" t="s">
        <v>175</v>
      </c>
      <c r="D465" s="323" t="str">
        <f>Q473</f>
        <v/>
      </c>
      <c r="E465" s="324" t="str">
        <f>R473</f>
        <v/>
      </c>
      <c r="F465" s="324" t="str">
        <f>S473</f>
        <v/>
      </c>
      <c r="G465" s="324" t="str">
        <f>T473</f>
        <v/>
      </c>
      <c r="H465" s="324" t="str">
        <f>U473</f>
        <v/>
      </c>
      <c r="I465" s="324" t="str">
        <f>V473</f>
        <v/>
      </c>
      <c r="J465" s="324" t="str">
        <f>W473</f>
        <v/>
      </c>
      <c r="K465" s="326" t="str">
        <f>X473</f>
        <v/>
      </c>
      <c r="L465" s="113"/>
      <c r="M465" s="158"/>
      <c r="N465" s="113"/>
      <c r="O465" s="241" t="s">
        <v>329</v>
      </c>
      <c r="P465" s="115"/>
      <c r="Q465" s="244">
        <v>1</v>
      </c>
      <c r="R465" s="115" t="s">
        <v>330</v>
      </c>
      <c r="S465" s="115"/>
      <c r="T465" s="115"/>
      <c r="U465" s="115"/>
      <c r="V465" s="115"/>
      <c r="W465" s="115"/>
      <c r="X465" s="115"/>
      <c r="Y465" s="116"/>
    </row>
    <row r="466" spans="1:25">
      <c r="A466" s="109">
        <v>58</v>
      </c>
      <c r="B466" s="157"/>
      <c r="C466" s="113"/>
      <c r="D466" s="201"/>
      <c r="E466" s="201"/>
      <c r="F466" s="113"/>
      <c r="G466" s="113"/>
      <c r="H466" s="113"/>
      <c r="I466" s="113"/>
      <c r="J466" s="113"/>
      <c r="K466" s="113"/>
      <c r="L466" s="113"/>
      <c r="M466" s="158"/>
      <c r="O466" s="123"/>
      <c r="P466" s="436" t="s">
        <v>47</v>
      </c>
      <c r="Q466" s="436" t="str">
        <f>$P$402&amp;"/"&amp;$Q$402</f>
        <v>/</v>
      </c>
      <c r="R466" s="436" t="str">
        <f>$P$402&amp;"/"&amp;$Q$402</f>
        <v>/</v>
      </c>
      <c r="S466" s="436" t="str">
        <f>$P$402&amp;"/"&amp;$Q$402</f>
        <v>/</v>
      </c>
      <c r="T466" s="436" t="str">
        <f>$P$402&amp;"/"&amp;$Q$402</f>
        <v>/</v>
      </c>
      <c r="U466" s="436" t="str">
        <f>$P$414&amp;"/"&amp;$Q$414</f>
        <v>/</v>
      </c>
      <c r="V466" s="436" t="str">
        <f>$P$414&amp;"/"&amp;$Q$414</f>
        <v>/</v>
      </c>
      <c r="W466" s="436" t="str">
        <f>$P$414&amp;"/"&amp;$Q$414</f>
        <v>/</v>
      </c>
      <c r="X466" s="436" t="str">
        <f>$P$414&amp;"/"&amp;$Q$414</f>
        <v>/</v>
      </c>
      <c r="Y466" s="125"/>
    </row>
    <row r="467" spans="1:25">
      <c r="A467" s="109">
        <v>59</v>
      </c>
      <c r="B467" s="157"/>
      <c r="C467" s="436" t="s">
        <v>47</v>
      </c>
      <c r="D467" s="436" t="str">
        <f>$P$423&amp;"/"&amp;$Q$423</f>
        <v>/</v>
      </c>
      <c r="E467" s="436" t="str">
        <f>$P$423&amp;"/"&amp;$Q$423</f>
        <v>/</v>
      </c>
      <c r="F467" s="436" t="str">
        <f>$P$423&amp;"/"&amp;$Q$423</f>
        <v>/</v>
      </c>
      <c r="G467" s="436" t="str">
        <f>$P$423&amp;"/"&amp;$Q$423</f>
        <v>/</v>
      </c>
      <c r="H467" s="436" t="str">
        <f>$P$423&amp;"/"&amp;$Q$423</f>
        <v>/</v>
      </c>
      <c r="I467" s="113"/>
      <c r="J467" s="113"/>
      <c r="K467" s="113"/>
      <c r="L467" s="113"/>
      <c r="M467" s="158"/>
      <c r="O467" s="123"/>
      <c r="P467" s="191" t="s">
        <v>234</v>
      </c>
      <c r="Q467" s="191">
        <f>AH10</f>
        <v>0</v>
      </c>
      <c r="R467" s="191">
        <f>AH11</f>
        <v>0</v>
      </c>
      <c r="S467" s="191">
        <f>AH13</f>
        <v>0</v>
      </c>
      <c r="T467" s="191">
        <f>AH22</f>
        <v>0</v>
      </c>
      <c r="U467" s="191">
        <f>AH26</f>
        <v>0</v>
      </c>
      <c r="V467" s="191">
        <f>AH27</f>
        <v>0</v>
      </c>
      <c r="W467" s="191">
        <f>AH28</f>
        <v>0</v>
      </c>
      <c r="X467" s="191">
        <f>AH29</f>
        <v>0</v>
      </c>
      <c r="Y467" s="125"/>
    </row>
    <row r="468" spans="1:25" ht="16.2" thickBot="1">
      <c r="A468" s="109">
        <v>60</v>
      </c>
      <c r="B468" s="157"/>
      <c r="C468" s="191" t="s">
        <v>234</v>
      </c>
      <c r="D468" s="191">
        <f>Q479</f>
        <v>0</v>
      </c>
      <c r="E468" s="191">
        <f>R479</f>
        <v>0</v>
      </c>
      <c r="F468" s="191">
        <f>S479</f>
        <v>0</v>
      </c>
      <c r="G468" s="191">
        <f>T479</f>
        <v>0</v>
      </c>
      <c r="H468" s="191">
        <f>U479</f>
        <v>0</v>
      </c>
      <c r="I468" s="113"/>
      <c r="J468" s="113"/>
      <c r="K468" s="113"/>
      <c r="L468" s="113"/>
      <c r="M468" s="158"/>
      <c r="O468" s="123"/>
      <c r="P468" s="501" t="s">
        <v>332</v>
      </c>
      <c r="Q468" s="666" t="s">
        <v>333</v>
      </c>
      <c r="R468" s="666"/>
      <c r="S468" s="666"/>
      <c r="T468" s="666"/>
      <c r="U468" s="666"/>
      <c r="V468" s="666"/>
      <c r="W468" s="666"/>
      <c r="X468" s="666"/>
      <c r="Y468" s="125"/>
    </row>
    <row r="469" spans="1:25" ht="16.2" thickBot="1">
      <c r="A469" s="109">
        <v>61</v>
      </c>
      <c r="B469" s="157"/>
      <c r="C469" s="437" t="s">
        <v>334</v>
      </c>
      <c r="D469" s="438" t="str">
        <f t="shared" ref="D469:H471" si="151">IF(Q482="","",Q482)</f>
        <v/>
      </c>
      <c r="E469" s="438" t="str">
        <f t="shared" si="151"/>
        <v/>
      </c>
      <c r="F469" s="438" t="str">
        <f t="shared" si="151"/>
        <v/>
      </c>
      <c r="G469" s="438" t="str">
        <f t="shared" si="151"/>
        <v/>
      </c>
      <c r="H469" s="438" t="str">
        <f t="shared" si="151"/>
        <v/>
      </c>
      <c r="I469" s="113"/>
      <c r="J469" s="113"/>
      <c r="K469" s="113"/>
      <c r="L469" s="113"/>
      <c r="M469" s="158"/>
      <c r="O469" s="123"/>
      <c r="P469" s="442">
        <v>0</v>
      </c>
      <c r="Q469" s="443" t="str">
        <f>IF(Sheet2!H4="","",Sheet2!H4)</f>
        <v/>
      </c>
      <c r="R469" s="443" t="str">
        <f>IF(Sheet2!H5="","",Sheet2!H5)</f>
        <v/>
      </c>
      <c r="S469" s="443" t="str">
        <f>IF(Sheet2!H7="","",AVERAGE(Sheet2!H7:H14))</f>
        <v/>
      </c>
      <c r="T469" s="443" t="str">
        <f>IF(Sheet2!H16="","",Sheet2!H16)</f>
        <v/>
      </c>
      <c r="U469" s="443" t="str">
        <f>IF(Sheet2!H20="","",Sheet2!H20)</f>
        <v/>
      </c>
      <c r="V469" s="443" t="str">
        <f>IF(Sheet2!H21="","",Sheet2!H21)</f>
        <v/>
      </c>
      <c r="W469" s="443" t="str">
        <f>IF(Sheet2!H22="","",Sheet2!H22)</f>
        <v/>
      </c>
      <c r="X469" s="444" t="str">
        <f>IF(Sheet2!H23="","",Sheet2!H23)</f>
        <v/>
      </c>
      <c r="Y469" s="125"/>
    </row>
    <row r="470" spans="1:25" ht="16.2" thickBot="1">
      <c r="A470" s="109">
        <v>62</v>
      </c>
      <c r="B470" s="157"/>
      <c r="C470" s="437" t="s">
        <v>336</v>
      </c>
      <c r="D470" s="438">
        <f t="shared" si="151"/>
        <v>0.03</v>
      </c>
      <c r="E470" s="438">
        <f t="shared" si="151"/>
        <v>0.03</v>
      </c>
      <c r="F470" s="438">
        <f t="shared" si="151"/>
        <v>0.03</v>
      </c>
      <c r="G470" s="438">
        <f t="shared" si="151"/>
        <v>0.03</v>
      </c>
      <c r="H470" s="438">
        <f t="shared" si="151"/>
        <v>0.03</v>
      </c>
      <c r="I470" s="113"/>
      <c r="J470" s="113"/>
      <c r="K470" s="113"/>
      <c r="L470" s="113"/>
      <c r="M470" s="158"/>
      <c r="O470" s="123"/>
      <c r="P470" s="437" t="s">
        <v>334</v>
      </c>
      <c r="Q470" s="445" t="str">
        <f>IF(Sheet2!J4="","",Sheet2!J4)</f>
        <v/>
      </c>
      <c r="R470" s="445" t="str">
        <f>IF(Sheet2!J5="","",Sheet2!J5)</f>
        <v/>
      </c>
      <c r="S470" s="445" t="str">
        <f>IF(Sheet2!J7="","",AVERAGE(Sheet2!J7:J14))</f>
        <v/>
      </c>
      <c r="T470" s="445" t="str">
        <f>IF(Sheet2!J16="","",Sheet2!J16)</f>
        <v/>
      </c>
      <c r="U470" s="445" t="str">
        <f>IF(Sheet2!J20="","",Sheet2!J20)</f>
        <v/>
      </c>
      <c r="V470" s="445" t="str">
        <f>IF(Sheet2!J21="","",Sheet2!J21)</f>
        <v/>
      </c>
      <c r="W470" s="445" t="str">
        <f>IF(Sheet2!J22="","",Sheet2!J22)</f>
        <v/>
      </c>
      <c r="X470" s="446" t="str">
        <f>IF(Sheet2!J23="","",Sheet2!J23)</f>
        <v/>
      </c>
      <c r="Y470" s="125"/>
    </row>
    <row r="471" spans="1:25" ht="16.2" thickBot="1">
      <c r="A471" s="109">
        <v>63</v>
      </c>
      <c r="B471" s="157"/>
      <c r="C471" s="440" t="s">
        <v>337</v>
      </c>
      <c r="D471" s="362">
        <f t="shared" si="151"/>
        <v>0.12</v>
      </c>
      <c r="E471" s="362">
        <f t="shared" si="151"/>
        <v>0.12</v>
      </c>
      <c r="F471" s="362">
        <f t="shared" si="151"/>
        <v>0.12</v>
      </c>
      <c r="G471" s="362">
        <f t="shared" si="151"/>
        <v>0.12</v>
      </c>
      <c r="H471" s="362">
        <f t="shared" si="151"/>
        <v>0.19</v>
      </c>
      <c r="I471" s="113"/>
      <c r="J471" s="113"/>
      <c r="K471" s="113"/>
      <c r="L471" s="113"/>
      <c r="M471" s="158"/>
      <c r="O471" s="123"/>
      <c r="P471" s="437" t="s">
        <v>336</v>
      </c>
      <c r="Q471" s="447">
        <f>IF($Q$465=1,Q467/100+0.03,Q467/100)</f>
        <v>0.03</v>
      </c>
      <c r="R471" s="447">
        <f>IF($Q$465=1,R467/100+0.03,R467/100)</f>
        <v>0.03</v>
      </c>
      <c r="S471" s="447">
        <f>IF($Q$465=1,S467/100+0.03,S467/100)</f>
        <v>0.03</v>
      </c>
      <c r="T471" s="447">
        <f>IF($Q$465=1,T467/100+0.03,T467/100)</f>
        <v>0.03</v>
      </c>
      <c r="U471" s="447">
        <f>IF($Q$465=1,U467/100+0.03,U467/100)</f>
        <v>0.03</v>
      </c>
      <c r="V471" s="447">
        <f>IF($Q$465=1,V467/100+0.03,V467/100)</f>
        <v>0.03</v>
      </c>
      <c r="W471" s="447">
        <f>IF($Q$465=1,W467/100+0.03,W467/100)</f>
        <v>0.03</v>
      </c>
      <c r="X471" s="448">
        <f>IF($Q$465=1,X467/100+0.03,X467/100)</f>
        <v>0.03</v>
      </c>
      <c r="Y471" s="125"/>
    </row>
    <row r="472" spans="1:25" ht="16.2" thickBot="1">
      <c r="A472" s="109">
        <v>64</v>
      </c>
      <c r="B472" s="157"/>
      <c r="C472" s="129" t="s">
        <v>175</v>
      </c>
      <c r="D472" s="323" t="str">
        <f>IF($O$34=2,"NA",IF(Q485="","",Q485))</f>
        <v/>
      </c>
      <c r="E472" s="324" t="str">
        <f>IF($O$34=2,"NA",IF(R485="","",R485))</f>
        <v/>
      </c>
      <c r="F472" s="324" t="str">
        <f>IF($O$34=2,"NA",IF(S485="","",S485))</f>
        <v/>
      </c>
      <c r="G472" s="324" t="str">
        <f>IF($O$34=2,"NA",IF(T485="","",T485))</f>
        <v/>
      </c>
      <c r="H472" s="324" t="str">
        <f>IF($O$34=2,"NA",IF(U485="","",U485))</f>
        <v/>
      </c>
      <c r="I472" s="113"/>
      <c r="J472" s="113"/>
      <c r="K472" s="113"/>
      <c r="L472" s="113"/>
      <c r="M472" s="158"/>
      <c r="O472" s="123"/>
      <c r="P472" s="449" t="s">
        <v>337</v>
      </c>
      <c r="Q472" s="450">
        <f>Q467/100+0.12</f>
        <v>0.12</v>
      </c>
      <c r="R472" s="450">
        <f>R467/100+0.12</f>
        <v>0.12</v>
      </c>
      <c r="S472" s="450">
        <f>S467/100+0.12</f>
        <v>0.12</v>
      </c>
      <c r="T472" s="450">
        <f>T467/100+0.12</f>
        <v>0.12</v>
      </c>
      <c r="U472" s="450">
        <f>U467/100+0.19</f>
        <v>0.19</v>
      </c>
      <c r="V472" s="450">
        <f>V467/100+0.19</f>
        <v>0.19</v>
      </c>
      <c r="W472" s="450">
        <f>W467/100+0.19</f>
        <v>0.19</v>
      </c>
      <c r="X472" s="451">
        <f>X467/100+0.19</f>
        <v>0.19</v>
      </c>
      <c r="Y472" s="125"/>
    </row>
    <row r="473" spans="1:25" ht="16.2" thickBot="1">
      <c r="A473" s="109">
        <v>65</v>
      </c>
      <c r="B473" s="157"/>
      <c r="C473" s="113"/>
      <c r="D473" s="208" t="s">
        <v>158</v>
      </c>
      <c r="E473" s="120" t="e">
        <f>IF(V21="W",#REF!,Q486)</f>
        <v>#REF!</v>
      </c>
      <c r="F473" s="113"/>
      <c r="G473" s="113"/>
      <c r="H473" s="113"/>
      <c r="I473" s="113"/>
      <c r="J473" s="113"/>
      <c r="K473" s="113"/>
      <c r="L473" s="113"/>
      <c r="M473" s="158"/>
      <c r="O473" s="123"/>
      <c r="P473" s="452"/>
      <c r="Q473" s="453" t="str">
        <f>IF(Q470="","",IF($P$402="Mo",IF(AND(Q470&gt;Q471,Q470&lt;Q472),"Pass","Fail"),IF($P$402="W",IF(Q470&gt;Q471,"Pass","Fail"),"")))</f>
        <v/>
      </c>
      <c r="R473" s="453" t="str">
        <f>IF(R470="","",IF($P$402="Mo",IF(AND(R470&gt;R471,R470&lt;R472),"Pass","Fail"),IF($P$402="W",IF(R470&gt;R471,"Pass","Fail"),"")))</f>
        <v/>
      </c>
      <c r="S473" s="453" t="str">
        <f>IF(S470="","",IF($P$402="Mo",IF(AND(S470&gt;S471,S470&lt;S472),"Pass","Fail"),IF($P$402="W",IF(S470&gt;S471,"Pass","Fail"),"")))</f>
        <v/>
      </c>
      <c r="T473" s="453" t="str">
        <f>IF(T470="","",IF($P$402="Mo",IF(AND(T470&gt;T471,T470&lt;T472),"Pass","Fail"),IF($P$402="W",IF(T470&gt;T471,"Pass","Fail"),"")))</f>
        <v/>
      </c>
      <c r="U473" s="453" t="str">
        <f>IF(U470="","",IF($P$414="Mo",IF(AND(U470&gt;U471,U470&lt;U472),"Pass","Fail"),IF($P$414="W",IF(U470&gt;U471,"Pass","Fail"),"")))</f>
        <v/>
      </c>
      <c r="V473" s="453" t="str">
        <f>IF(V470="","",IF($P$414="Mo",IF(AND(V470&gt;V471,V470&lt;V472),"Pass","Fail"),IF($P$414="W",IF(V470&gt;V471,"Pass","Fail"),"")))</f>
        <v/>
      </c>
      <c r="W473" s="453" t="str">
        <f>IF(W470="","",IF($P$414="Mo",IF(AND(W470&gt;W471,W470&lt;W472),"Pass","Fail"),IF($P$414="W",IF(W470&gt;W471,"Pass","Fail"),"")))</f>
        <v/>
      </c>
      <c r="X473" s="453" t="str">
        <f>IF(X470="","",IF($P$414="Mo",IF(AND(X470&gt;X471,X470&lt;X472),"Pass","Fail"),IF($P$414="W",IF(X470&gt;X471,"Pass","Fail"),"")))</f>
        <v/>
      </c>
      <c r="Y473" s="125"/>
    </row>
    <row r="474" spans="1:25" ht="16.2" thickBot="1">
      <c r="A474" s="109">
        <v>66</v>
      </c>
      <c r="B474" s="174"/>
      <c r="C474" s="515"/>
      <c r="D474" s="515"/>
      <c r="E474" s="515"/>
      <c r="F474" s="515"/>
      <c r="G474" s="515"/>
      <c r="H474" s="515"/>
      <c r="I474" s="175"/>
      <c r="J474" s="175"/>
      <c r="K474" s="175"/>
      <c r="L474" s="175"/>
      <c r="M474" s="176"/>
      <c r="O474" s="123"/>
      <c r="Y474" s="125"/>
    </row>
    <row r="475" spans="1:25" ht="16.2" thickTop="1">
      <c r="A475" s="109">
        <v>67</v>
      </c>
      <c r="C475" s="203" t="s">
        <v>3</v>
      </c>
      <c r="D475" s="204" t="str">
        <f>IF($P$7="","",$P$7)</f>
        <v/>
      </c>
      <c r="E475" s="120"/>
      <c r="F475" s="120"/>
      <c r="G475" s="120"/>
      <c r="H475" s="120"/>
      <c r="I475" s="120"/>
      <c r="J475" s="120"/>
      <c r="K475" s="120"/>
      <c r="L475" s="203" t="s">
        <v>4</v>
      </c>
      <c r="M475" s="205" t="str">
        <f>IF($X$7="","",$X$7)</f>
        <v>Eugene Mah</v>
      </c>
      <c r="O475" s="123"/>
      <c r="U475" s="117" t="s">
        <v>815</v>
      </c>
      <c r="Y475" s="125"/>
    </row>
    <row r="476" spans="1:25">
      <c r="A476" s="109">
        <v>68</v>
      </c>
      <c r="C476" s="203" t="s">
        <v>86</v>
      </c>
      <c r="D476" s="206" t="str">
        <f>IF($R$14="","",$R$14)</f>
        <v/>
      </c>
      <c r="E476" s="120"/>
      <c r="F476" s="120"/>
      <c r="G476" s="120"/>
      <c r="H476" s="120"/>
      <c r="I476" s="120"/>
      <c r="J476" s="120"/>
      <c r="K476" s="120"/>
      <c r="L476" s="203" t="s">
        <v>16</v>
      </c>
      <c r="M476" s="205" t="str">
        <f>IF($R$13="","",$R$13)</f>
        <v/>
      </c>
      <c r="O476" s="123"/>
      <c r="P476" s="208"/>
      <c r="Q476" s="173"/>
      <c r="R476" s="201"/>
      <c r="S476" s="201"/>
      <c r="T476" s="201"/>
      <c r="U476" s="201"/>
      <c r="V476" s="201"/>
      <c r="W476" s="201"/>
      <c r="X476" s="201"/>
      <c r="Y476" s="125"/>
    </row>
    <row r="477" spans="1:25">
      <c r="O477" s="243" t="s">
        <v>339</v>
      </c>
      <c r="P477" s="201"/>
      <c r="Q477" s="201"/>
      <c r="R477" s="201"/>
      <c r="S477" s="201"/>
      <c r="T477" s="201"/>
      <c r="U477" s="201"/>
      <c r="V477" s="201"/>
      <c r="W477" s="201"/>
      <c r="X477" s="201"/>
      <c r="Y477" s="125"/>
    </row>
    <row r="478" spans="1:25">
      <c r="O478" s="123"/>
      <c r="P478" s="436" t="s">
        <v>47</v>
      </c>
      <c r="Q478" s="436" t="str">
        <f t="shared" ref="Q478:V478" si="152">$P$423&amp;"/"&amp;$Q$423</f>
        <v>/</v>
      </c>
      <c r="R478" s="436" t="str">
        <f t="shared" si="152"/>
        <v>/</v>
      </c>
      <c r="S478" s="436" t="str">
        <f t="shared" si="152"/>
        <v>/</v>
      </c>
      <c r="T478" s="436" t="str">
        <f t="shared" si="152"/>
        <v>/</v>
      </c>
      <c r="U478" s="436" t="str">
        <f t="shared" si="152"/>
        <v>/</v>
      </c>
      <c r="V478" s="436" t="str">
        <f t="shared" si="152"/>
        <v>/</v>
      </c>
      <c r="W478" s="201"/>
      <c r="X478" s="201"/>
      <c r="Y478" s="125"/>
    </row>
    <row r="479" spans="1:25">
      <c r="O479" s="123"/>
      <c r="P479" s="191" t="s">
        <v>234</v>
      </c>
      <c r="Q479" s="191">
        <f>AH32</f>
        <v>0</v>
      </c>
      <c r="R479" s="191">
        <f>AH33</f>
        <v>0</v>
      </c>
      <c r="S479" s="191">
        <f>AH34</f>
        <v>0</v>
      </c>
      <c r="T479" s="191">
        <f>AH35</f>
        <v>0</v>
      </c>
      <c r="U479" s="191">
        <f>AH36</f>
        <v>0</v>
      </c>
      <c r="V479" s="191">
        <f>AH37</f>
        <v>0</v>
      </c>
      <c r="W479" s="173"/>
      <c r="X479" s="173"/>
      <c r="Y479" s="454"/>
    </row>
    <row r="480" spans="1:25" ht="16.2" thickBot="1">
      <c r="O480" s="123"/>
      <c r="P480" s="501" t="s">
        <v>332</v>
      </c>
      <c r="Q480" s="666" t="s">
        <v>333</v>
      </c>
      <c r="R480" s="666"/>
      <c r="S480" s="666"/>
      <c r="T480" s="666"/>
      <c r="U480" s="666"/>
      <c r="V480" s="666"/>
      <c r="W480" s="201"/>
      <c r="X480" s="201"/>
      <c r="Y480" s="454"/>
    </row>
    <row r="481" spans="15:25" ht="16.2" thickBot="1">
      <c r="O481" s="123"/>
      <c r="P481" s="442">
        <v>0</v>
      </c>
      <c r="Q481" s="443" t="str">
        <f>IF(Sheet2!H26="","",Sheet2!H26)</f>
        <v/>
      </c>
      <c r="R481" s="443" t="str">
        <f>IF(Sheet2!H27="","",Sheet2!H27)</f>
        <v/>
      </c>
      <c r="S481" s="443" t="str">
        <f>IF(Sheet2!H28="","",Sheet2!H28)</f>
        <v/>
      </c>
      <c r="T481" s="443" t="str">
        <f>IF(Sheet2!H29="","",Sheet2!H29)</f>
        <v/>
      </c>
      <c r="U481" s="443" t="str">
        <f>IF(Sheet2!H30="","",Sheet2!H30)</f>
        <v/>
      </c>
      <c r="V481" s="443" t="str">
        <f>IF(Sheet2!H31="","",Sheet2!H31)</f>
        <v/>
      </c>
      <c r="W481" s="501"/>
      <c r="X481" s="501"/>
      <c r="Y481" s="125"/>
    </row>
    <row r="482" spans="15:25" ht="16.2" thickBot="1">
      <c r="O482" s="123"/>
      <c r="P482" s="437" t="s">
        <v>334</v>
      </c>
      <c r="Q482" s="445" t="str">
        <f>IF(Sheet2!J26="","",Sheet2!J26)</f>
        <v/>
      </c>
      <c r="R482" s="445" t="str">
        <f>IF(Sheet2!J27="","",Sheet2!J27)</f>
        <v/>
      </c>
      <c r="S482" s="445" t="str">
        <f>IF(Sheet2!J28="","",Sheet2!J28)</f>
        <v/>
      </c>
      <c r="T482" s="445" t="str">
        <f>IF(Sheet2!J29="","",Sheet2!J29)</f>
        <v/>
      </c>
      <c r="U482" s="445" t="str">
        <f>IF(Sheet2!J30="","",Sheet2!J30)</f>
        <v/>
      </c>
      <c r="V482" s="445" t="str">
        <f>IF(Sheet2!J31="","",Sheet2!J31)</f>
        <v/>
      </c>
      <c r="W482" s="501"/>
      <c r="X482" s="501"/>
      <c r="Y482" s="125"/>
    </row>
    <row r="483" spans="15:25">
      <c r="O483" s="123"/>
      <c r="P483" s="437" t="s">
        <v>336</v>
      </c>
      <c r="Q483" s="447">
        <f t="shared" ref="Q483:U483" si="153">IF($Q$465=1,Q479/100+0.03,Q479/100)</f>
        <v>0.03</v>
      </c>
      <c r="R483" s="447">
        <f t="shared" si="153"/>
        <v>0.03</v>
      </c>
      <c r="S483" s="447">
        <f t="shared" si="153"/>
        <v>0.03</v>
      </c>
      <c r="T483" s="447">
        <f t="shared" si="153"/>
        <v>0.03</v>
      </c>
      <c r="U483" s="447">
        <f t="shared" si="153"/>
        <v>0.03</v>
      </c>
      <c r="V483" s="447">
        <f>IF($Q$465=1,V479/100+0.03,V479/100)</f>
        <v>0.03</v>
      </c>
      <c r="W483" s="452"/>
      <c r="X483" s="452"/>
      <c r="Y483" s="125"/>
    </row>
    <row r="484" spans="15:25" ht="16.2" thickBot="1">
      <c r="O484" s="123"/>
      <c r="P484" s="449" t="s">
        <v>337</v>
      </c>
      <c r="Q484" s="450">
        <f>Q479/100+0.12</f>
        <v>0.12</v>
      </c>
      <c r="R484" s="450">
        <f>R479/100+0.12</f>
        <v>0.12</v>
      </c>
      <c r="S484" s="450">
        <f>S479/100+0.12</f>
        <v>0.12</v>
      </c>
      <c r="T484" s="450">
        <f>T479/100+0.12</f>
        <v>0.12</v>
      </c>
      <c r="U484" s="450">
        <f>U479/100+0.19</f>
        <v>0.19</v>
      </c>
      <c r="V484" s="450">
        <f>V479/100+0.19</f>
        <v>0.19</v>
      </c>
      <c r="W484" s="455"/>
      <c r="X484" s="455"/>
      <c r="Y484" s="125"/>
    </row>
    <row r="485" spans="15:25" ht="16.2" thickBot="1">
      <c r="O485" s="123"/>
      <c r="P485" s="452"/>
      <c r="Q485" s="453" t="str">
        <f>IF(Q482="","",IF($P$402="Mo",IF(AND(Q482&gt;Q483,Q482&lt;Q484),"Pass","Fail"),IF($P$402="W",IF(Q482&gt;Q483,"Pass","Fail"),"")))</f>
        <v/>
      </c>
      <c r="R485" s="453" t="str">
        <f>IF(R482="","",IF($P$402="Mo",IF(AND(R482&gt;R483,R482&lt;R484),"Pass","Fail"),IF($P$402="W",IF(R482&gt;R483,"Pass","Fail"),"")))</f>
        <v/>
      </c>
      <c r="S485" s="453" t="str">
        <f>IF(S482="","",IF($P$402="Mo",IF(AND(S482&gt;S483,S482&lt;S484),"Pass","Fail"),IF($P$402="W",IF(S482&gt;S483,"Pass","Fail"),"")))</f>
        <v/>
      </c>
      <c r="T485" s="453" t="str">
        <f>IF(T482="","",IF($P$402="Mo",IF(AND(T482&gt;T483,T482&lt;T484),"Pass","Fail"),IF($P$402="W",IF(T482&gt;T483,"Pass","Fail"),"")))</f>
        <v/>
      </c>
      <c r="U485" s="453" t="str">
        <f>IF(U482="","",IF($P$414="Mo",IF(AND(U482&gt;U483,U482&lt;U484),"Pass","Fail"),IF($P$414="W",IF(U482&gt;U483,"Pass","Fail"),"")))</f>
        <v/>
      </c>
      <c r="V485" s="453" t="str">
        <f>IF(V482="","",IF($P$414="Mo",IF(AND(V482&gt;V483,V482&lt;V484),"Pass","Fail"),IF($P$414="W",IF(V482&gt;V483,"Pass","Fail"),"")))</f>
        <v/>
      </c>
      <c r="W485" s="456"/>
      <c r="X485" s="456"/>
      <c r="Y485" s="125"/>
    </row>
    <row r="486" spans="15:25">
      <c r="O486" s="123"/>
      <c r="P486" s="208"/>
      <c r="Q486" s="173"/>
      <c r="V486" s="456"/>
      <c r="W486" s="456"/>
      <c r="X486" s="456"/>
      <c r="Y486" s="125"/>
    </row>
    <row r="487" spans="15:25">
      <c r="O487" s="243" t="s">
        <v>795</v>
      </c>
      <c r="P487" s="201"/>
      <c r="Q487" s="201"/>
      <c r="R487" s="201"/>
      <c r="S487" s="201"/>
      <c r="T487" s="201"/>
      <c r="U487" s="201"/>
      <c r="Y487" s="454"/>
    </row>
    <row r="488" spans="15:25">
      <c r="O488" s="123"/>
      <c r="P488" s="436" t="s">
        <v>47</v>
      </c>
      <c r="Q488" s="436" t="str">
        <f>$P$432&amp;"/"&amp;$Q$432</f>
        <v>/</v>
      </c>
      <c r="R488" s="436" t="str">
        <f t="shared" ref="R488:V488" si="154">$P$432&amp;"/"&amp;$Q$432</f>
        <v>/</v>
      </c>
      <c r="S488" s="436" t="str">
        <f t="shared" si="154"/>
        <v>/</v>
      </c>
      <c r="T488" s="436" t="str">
        <f t="shared" si="154"/>
        <v>/</v>
      </c>
      <c r="U488" s="436" t="str">
        <f t="shared" si="154"/>
        <v>/</v>
      </c>
      <c r="V488" s="436" t="str">
        <f t="shared" si="154"/>
        <v>/</v>
      </c>
      <c r="Y488" s="454"/>
    </row>
    <row r="489" spans="15:25">
      <c r="O489" s="123"/>
      <c r="P489" s="191" t="s">
        <v>234</v>
      </c>
      <c r="Q489" s="191">
        <f>AH38</f>
        <v>0</v>
      </c>
      <c r="R489" s="191">
        <f>AH39</f>
        <v>0</v>
      </c>
      <c r="S489" s="191">
        <f>AH40</f>
        <v>0</v>
      </c>
      <c r="T489" s="191">
        <f>AH41</f>
        <v>0</v>
      </c>
      <c r="U489" s="191">
        <f>AH42</f>
        <v>0</v>
      </c>
      <c r="V489" s="191">
        <f>AH43</f>
        <v>0</v>
      </c>
      <c r="Y489" s="454"/>
    </row>
    <row r="490" spans="15:25" ht="16.2" thickBot="1">
      <c r="O490" s="123"/>
      <c r="P490" s="501" t="s">
        <v>332</v>
      </c>
      <c r="Q490" s="441" t="s">
        <v>333</v>
      </c>
      <c r="R490" s="441"/>
      <c r="S490" s="441"/>
      <c r="T490" s="441"/>
      <c r="U490" s="441"/>
      <c r="V490" s="441"/>
      <c r="Y490" s="454"/>
    </row>
    <row r="491" spans="15:25" ht="16.2" thickBot="1">
      <c r="O491" s="123"/>
      <c r="P491" s="442">
        <v>0</v>
      </c>
      <c r="Q491" s="443" t="e">
        <f>IF(#REF!="","",#REF!)</f>
        <v>#REF!</v>
      </c>
      <c r="R491" s="443" t="e">
        <f>IF(#REF!="","",#REF!)</f>
        <v>#REF!</v>
      </c>
      <c r="S491" s="443" t="e">
        <f>IF(#REF!="","",#REF!)</f>
        <v>#REF!</v>
      </c>
      <c r="T491" s="443" t="e">
        <f>IF(#REF!="","",#REF!)</f>
        <v>#REF!</v>
      </c>
      <c r="U491" s="443" t="e">
        <f>IF(#REF!="","",#REF!)</f>
        <v>#REF!</v>
      </c>
      <c r="V491" s="443" t="e">
        <f>IF(#REF!="","",#REF!)</f>
        <v>#REF!</v>
      </c>
      <c r="Y491" s="454"/>
    </row>
    <row r="492" spans="15:25" ht="16.2" thickBot="1">
      <c r="O492" s="123"/>
      <c r="P492" s="437" t="s">
        <v>334</v>
      </c>
      <c r="Q492" s="445" t="e">
        <f>IF(#REF!="","",#REF!)</f>
        <v>#REF!</v>
      </c>
      <c r="R492" s="445" t="e">
        <f>IF(#REF!="","",#REF!)</f>
        <v>#REF!</v>
      </c>
      <c r="S492" s="445" t="e">
        <f>IF(#REF!="","",#REF!)</f>
        <v>#REF!</v>
      </c>
      <c r="T492" s="445" t="e">
        <f>IF(#REF!="","",#REF!)</f>
        <v>#REF!</v>
      </c>
      <c r="U492" s="445" t="e">
        <f>IF(#REF!="","",#REF!)</f>
        <v>#REF!</v>
      </c>
      <c r="V492" s="445" t="e">
        <f>IF(#REF!="","",#REF!)</f>
        <v>#REF!</v>
      </c>
      <c r="Y492" s="454"/>
    </row>
    <row r="493" spans="15:25">
      <c r="O493" s="123"/>
      <c r="P493" s="437" t="s">
        <v>336</v>
      </c>
      <c r="Q493" s="447">
        <f t="shared" ref="Q493:V493" si="155">IF($Q$465=1,Q489/100+0.03,Q489/100)</f>
        <v>0.03</v>
      </c>
      <c r="R493" s="447">
        <f t="shared" si="155"/>
        <v>0.03</v>
      </c>
      <c r="S493" s="447">
        <f t="shared" si="155"/>
        <v>0.03</v>
      </c>
      <c r="T493" s="447">
        <f t="shared" si="155"/>
        <v>0.03</v>
      </c>
      <c r="U493" s="447">
        <f t="shared" si="155"/>
        <v>0.03</v>
      </c>
      <c r="V493" s="447">
        <f t="shared" si="155"/>
        <v>0.03</v>
      </c>
      <c r="Y493" s="454"/>
    </row>
    <row r="494" spans="15:25" ht="16.2" thickBot="1">
      <c r="O494" s="123"/>
      <c r="P494" s="449" t="s">
        <v>337</v>
      </c>
      <c r="Q494" s="450">
        <f>Q489/100+0.12</f>
        <v>0.12</v>
      </c>
      <c r="R494" s="450">
        <f>R489/100+0.12</f>
        <v>0.12</v>
      </c>
      <c r="S494" s="450">
        <f>S489/100+0.12</f>
        <v>0.12</v>
      </c>
      <c r="T494" s="450">
        <f>T489/100+0.12</f>
        <v>0.12</v>
      </c>
      <c r="U494" s="450">
        <f>U489/100+0.19</f>
        <v>0.19</v>
      </c>
      <c r="V494" s="450">
        <f>V489/100+0.19</f>
        <v>0.19</v>
      </c>
      <c r="Y494" s="454"/>
    </row>
    <row r="495" spans="15:25" ht="16.2" thickBot="1">
      <c r="O495" s="123"/>
      <c r="P495" s="452"/>
      <c r="Q495" s="453" t="e">
        <f>IF(Q492="","",IF($P$402="Mo",IF(AND(Q492&gt;Q493,Q492&lt;Q494),"Pass","Fail"),IF($P$402="W",IF(Q492&gt;Q493,"Pass","Fail"),"")))</f>
        <v>#REF!</v>
      </c>
      <c r="R495" s="453" t="e">
        <f>IF(R492="","",IF($P$402="Mo",IF(AND(R492&gt;R493,R492&lt;R494),"Pass","Fail"),IF($P$402="W",IF(R492&gt;R493,"Pass","Fail"),"")))</f>
        <v>#REF!</v>
      </c>
      <c r="S495" s="453" t="e">
        <f>IF(S492="","",IF($P$402="Mo",IF(AND(S492&gt;S493,S492&lt;S494),"Pass","Fail"),IF($P$402="W",IF(S492&gt;S493,"Pass","Fail"),"")))</f>
        <v>#REF!</v>
      </c>
      <c r="T495" s="453" t="e">
        <f>IF(T492="","",IF($P$402="Mo",IF(AND(T492&gt;T493,T492&lt;T494),"Pass","Fail"),IF($P$402="W",IF(T492&gt;T493,"Pass","Fail"),"")))</f>
        <v>#REF!</v>
      </c>
      <c r="U495" s="453" t="e">
        <f>IF(U492="","",IF($P$414="Mo",IF(AND(U492&gt;U493,U492&lt;U494),"Pass","Fail"),IF($P$414="W",IF(U492&gt;U493,"Pass","Fail"),"")))</f>
        <v>#REF!</v>
      </c>
      <c r="V495" s="453" t="e">
        <f>IF(V492="","",IF($P$414="Mo",IF(AND(V492&gt;V493,V492&lt;V494),"Pass","Fail"),IF($P$414="W",IF(V492&gt;V493,"Pass","Fail"),"")))</f>
        <v>#REF!</v>
      </c>
      <c r="Y495" s="454"/>
    </row>
    <row r="496" spans="15:25">
      <c r="O496" s="123"/>
      <c r="Y496" s="454"/>
    </row>
    <row r="497" spans="15:25">
      <c r="O497" s="123"/>
      <c r="P497" s="208" t="s">
        <v>158</v>
      </c>
      <c r="Q497" s="173" t="s">
        <v>340</v>
      </c>
      <c r="Y497" s="454"/>
    </row>
    <row r="498" spans="15:25">
      <c r="O498" s="123"/>
      <c r="P498" s="201"/>
      <c r="Q498" s="201" t="s">
        <v>796</v>
      </c>
      <c r="Y498" s="454"/>
    </row>
    <row r="499" spans="15:25" ht="16.2" thickBot="1">
      <c r="O499" s="134"/>
      <c r="R499" s="201"/>
      <c r="S499" s="201"/>
      <c r="T499" s="201"/>
      <c r="U499" s="201"/>
      <c r="V499" s="135"/>
      <c r="W499" s="135"/>
      <c r="X499" s="135"/>
      <c r="Y499" s="136"/>
    </row>
    <row r="500" spans="15:25">
      <c r="O500" s="241" t="s">
        <v>254</v>
      </c>
      <c r="P500" s="115"/>
      <c r="Q500" s="115"/>
      <c r="R500" s="115"/>
      <c r="S500" s="115"/>
      <c r="T500" s="115"/>
      <c r="U500" s="115"/>
      <c r="V500" s="115"/>
      <c r="W500" s="115"/>
      <c r="X500" s="115"/>
      <c r="Y500" s="116"/>
    </row>
    <row r="501" spans="15:25">
      <c r="O501" s="457" t="s">
        <v>255</v>
      </c>
      <c r="P501" s="129" t="s">
        <v>23</v>
      </c>
      <c r="Q501" s="458"/>
      <c r="R501" s="129" t="s">
        <v>314</v>
      </c>
      <c r="S501" s="244"/>
      <c r="T501" s="113"/>
      <c r="U501" s="129" t="s">
        <v>341</v>
      </c>
      <c r="V501" s="459"/>
      <c r="W501" s="113"/>
      <c r="X501" s="113"/>
      <c r="Y501" s="125"/>
    </row>
    <row r="502" spans="15:25">
      <c r="O502" s="123"/>
      <c r="P502" s="113"/>
      <c r="Q502" s="113"/>
      <c r="R502" s="113"/>
      <c r="S502" s="113"/>
      <c r="T502" s="113"/>
      <c r="U502" s="113"/>
      <c r="V502" s="113"/>
      <c r="W502" s="113"/>
      <c r="X502" s="113"/>
      <c r="Y502" s="125"/>
    </row>
    <row r="503" spans="15:25">
      <c r="O503" s="123"/>
      <c r="P503" s="129"/>
      <c r="Q503" s="113"/>
      <c r="R503" s="113" t="s">
        <v>308</v>
      </c>
      <c r="S503" s="113"/>
      <c r="T503" s="113"/>
      <c r="U503" s="113"/>
      <c r="V503" s="113" t="s">
        <v>308</v>
      </c>
      <c r="W503" s="113"/>
      <c r="X503" s="113"/>
      <c r="Y503" s="125"/>
    </row>
    <row r="504" spans="15:25">
      <c r="O504" s="123"/>
      <c r="P504" s="129" t="s">
        <v>172</v>
      </c>
      <c r="Q504" s="169">
        <f>T291</f>
        <v>0</v>
      </c>
      <c r="R504" s="341" t="str">
        <f t="shared" ref="R504:R509" si="156">IF(AB103="","",AB103)</f>
        <v/>
      </c>
      <c r="S504" s="113"/>
      <c r="T504" s="129" t="s">
        <v>266</v>
      </c>
      <c r="U504" s="242"/>
      <c r="V504" s="341" t="str">
        <f>IF(AB109="","",AB109)</f>
        <v/>
      </c>
      <c r="W504" s="113"/>
      <c r="X504" s="113"/>
      <c r="Y504" s="125"/>
    </row>
    <row r="505" spans="15:25">
      <c r="O505" s="123"/>
      <c r="P505" s="129" t="s">
        <v>173</v>
      </c>
      <c r="Q505" s="169">
        <f>Q298</f>
        <v>0</v>
      </c>
      <c r="R505" s="341" t="str">
        <f t="shared" si="156"/>
        <v/>
      </c>
      <c r="S505" s="113"/>
      <c r="T505" s="129" t="s">
        <v>269</v>
      </c>
      <c r="U505" s="242"/>
      <c r="V505" s="341" t="str">
        <f>IF(AB110="","",AB110)</f>
        <v/>
      </c>
      <c r="W505" s="113"/>
      <c r="X505" s="113"/>
      <c r="Y505" s="125"/>
    </row>
    <row r="506" spans="15:25" ht="16.2" thickBot="1">
      <c r="O506" s="123"/>
      <c r="P506" s="129" t="s">
        <v>265</v>
      </c>
      <c r="Q506" s="242"/>
      <c r="R506" s="341" t="str">
        <f t="shared" si="156"/>
        <v/>
      </c>
      <c r="S506" s="113"/>
      <c r="T506" s="129" t="s">
        <v>274</v>
      </c>
      <c r="U506" s="242"/>
      <c r="V506" s="341" t="str">
        <f>IF(AB111="","",AB111)</f>
        <v/>
      </c>
      <c r="W506" s="113"/>
      <c r="X506" s="113"/>
      <c r="Y506" s="125"/>
    </row>
    <row r="507" spans="15:25" ht="16.2" thickBot="1">
      <c r="O507" s="123"/>
      <c r="P507" s="129" t="s">
        <v>268</v>
      </c>
      <c r="Q507" s="242"/>
      <c r="R507" s="341" t="str">
        <f t="shared" si="156"/>
        <v/>
      </c>
      <c r="S507" s="113"/>
      <c r="T507" s="129" t="s">
        <v>175</v>
      </c>
      <c r="U507" s="257" t="str">
        <f>IF(OR(U504="",U505="",U506=""),"",IF(AND(U504&gt;=5,U505&gt;=4,U506&gt;=4),"Pass","Fail"))</f>
        <v/>
      </c>
      <c r="V507" s="113"/>
      <c r="W507" s="113"/>
      <c r="X507" s="113"/>
      <c r="Y507" s="125"/>
    </row>
    <row r="508" spans="15:25">
      <c r="O508" s="123"/>
      <c r="P508" s="129" t="s">
        <v>273</v>
      </c>
      <c r="Q508" s="242"/>
      <c r="R508" s="341" t="str">
        <f t="shared" si="156"/>
        <v/>
      </c>
      <c r="S508" s="113"/>
      <c r="T508" s="201"/>
      <c r="U508" s="201"/>
      <c r="V508" s="113"/>
      <c r="W508" s="113"/>
      <c r="X508" s="113"/>
      <c r="Y508" s="125"/>
    </row>
    <row r="509" spans="15:25">
      <c r="O509" s="123"/>
      <c r="P509" s="129" t="s">
        <v>276</v>
      </c>
      <c r="Q509" s="169" t="str">
        <f>IF(OR(Q507="",Q508=""),"",Q508-Q507)</f>
        <v/>
      </c>
      <c r="R509" s="341" t="str">
        <f t="shared" si="156"/>
        <v/>
      </c>
      <c r="S509" s="113"/>
      <c r="T509" s="113"/>
      <c r="U509" s="113"/>
      <c r="V509" s="113"/>
      <c r="W509" s="113"/>
      <c r="X509" s="113"/>
      <c r="Y509" s="125"/>
    </row>
    <row r="510" spans="15:25">
      <c r="O510" s="123"/>
      <c r="P510" s="113"/>
      <c r="Q510" s="113"/>
      <c r="R510" s="113"/>
      <c r="S510" s="113"/>
      <c r="T510" s="113"/>
      <c r="U510" s="113"/>
      <c r="V510" s="113"/>
      <c r="W510" s="113"/>
      <c r="X510" s="113"/>
      <c r="Y510" s="125"/>
    </row>
    <row r="511" spans="15:25">
      <c r="O511" s="457" t="s">
        <v>342</v>
      </c>
      <c r="P511" s="113"/>
      <c r="Q511" s="113"/>
      <c r="R511" s="113"/>
      <c r="S511" s="113"/>
      <c r="T511" s="113"/>
      <c r="U511" s="113"/>
      <c r="V511" s="113"/>
      <c r="W511" s="113"/>
      <c r="X511" s="113"/>
      <c r="Y511" s="125"/>
    </row>
    <row r="512" spans="15:25">
      <c r="O512" s="123"/>
      <c r="P512" s="113"/>
      <c r="Q512" s="129" t="s">
        <v>263</v>
      </c>
      <c r="R512" s="459"/>
      <c r="S512" s="113"/>
      <c r="T512" s="113"/>
      <c r="U512" s="129" t="s">
        <v>263</v>
      </c>
      <c r="V512" s="459"/>
      <c r="W512" s="113"/>
      <c r="X512" s="113"/>
      <c r="Y512" s="125"/>
    </row>
    <row r="513" spans="15:25">
      <c r="O513" s="123"/>
      <c r="P513" s="113"/>
      <c r="Q513" s="128" t="s">
        <v>194</v>
      </c>
      <c r="R513" s="128" t="s">
        <v>196</v>
      </c>
      <c r="S513" s="113"/>
      <c r="T513" s="113"/>
      <c r="U513" s="128" t="s">
        <v>194</v>
      </c>
      <c r="V513" s="128" t="s">
        <v>196</v>
      </c>
      <c r="W513" s="113"/>
      <c r="X513" s="113"/>
      <c r="Y513" s="125"/>
    </row>
    <row r="514" spans="15:25">
      <c r="O514" s="280"/>
      <c r="P514" s="129" t="s">
        <v>266</v>
      </c>
      <c r="Q514" s="242"/>
      <c r="R514" s="242"/>
      <c r="S514" s="113"/>
      <c r="T514" s="129" t="s">
        <v>266</v>
      </c>
      <c r="U514" s="242"/>
      <c r="V514" s="242"/>
      <c r="W514" s="113"/>
      <c r="X514" s="113"/>
      <c r="Y514" s="125"/>
    </row>
    <row r="515" spans="15:25">
      <c r="O515" s="280"/>
      <c r="P515" s="129" t="s">
        <v>269</v>
      </c>
      <c r="Q515" s="242"/>
      <c r="R515" s="242"/>
      <c r="S515" s="113"/>
      <c r="T515" s="129" t="s">
        <v>269</v>
      </c>
      <c r="U515" s="242"/>
      <c r="V515" s="242"/>
      <c r="W515" s="113"/>
      <c r="X515" s="113"/>
      <c r="Y515" s="125"/>
    </row>
    <row r="516" spans="15:25">
      <c r="O516" s="280"/>
      <c r="P516" s="129" t="s">
        <v>274</v>
      </c>
      <c r="Q516" s="242"/>
      <c r="R516" s="242"/>
      <c r="S516" s="113"/>
      <c r="T516" s="129" t="s">
        <v>274</v>
      </c>
      <c r="U516" s="242"/>
      <c r="V516" s="242"/>
      <c r="W516" s="113"/>
      <c r="X516" s="113"/>
      <c r="Y516" s="125"/>
    </row>
    <row r="517" spans="15:25">
      <c r="O517" s="123"/>
      <c r="P517" s="113"/>
      <c r="Q517" s="113"/>
      <c r="R517" s="113"/>
      <c r="S517" s="113"/>
      <c r="T517" s="113"/>
      <c r="U517" s="113"/>
      <c r="V517" s="113"/>
      <c r="W517" s="113"/>
      <c r="X517" s="113"/>
      <c r="Y517" s="125"/>
    </row>
    <row r="518" spans="15:25" ht="16.2" thickBot="1">
      <c r="O518" s="457" t="s">
        <v>343</v>
      </c>
      <c r="P518" s="113"/>
      <c r="Q518" s="113"/>
      <c r="R518" s="113"/>
      <c r="S518" s="113"/>
      <c r="T518" s="113"/>
      <c r="U518" s="113"/>
      <c r="V518" s="113"/>
      <c r="W518" s="113"/>
      <c r="X518" s="113"/>
      <c r="Y518" s="125"/>
    </row>
    <row r="519" spans="15:25">
      <c r="O519" s="300"/>
      <c r="P519" s="460" t="s">
        <v>344</v>
      </c>
      <c r="Q519" s="369" t="s">
        <v>308</v>
      </c>
      <c r="R519" s="460" t="s">
        <v>260</v>
      </c>
      <c r="S519" s="369" t="s">
        <v>308</v>
      </c>
      <c r="T519" s="460" t="s">
        <v>345</v>
      </c>
      <c r="U519" s="369" t="s">
        <v>308</v>
      </c>
      <c r="V519" s="460" t="s">
        <v>699</v>
      </c>
      <c r="W519" s="369" t="s">
        <v>308</v>
      </c>
      <c r="X519" s="460" t="s">
        <v>700</v>
      </c>
      <c r="Y519" s="369" t="s">
        <v>308</v>
      </c>
    </row>
    <row r="520" spans="15:25">
      <c r="O520" s="280" t="s">
        <v>172</v>
      </c>
      <c r="P520" s="168">
        <f>T291</f>
        <v>0</v>
      </c>
      <c r="Q520" s="461" t="str">
        <f t="shared" ref="Q520:Q525" si="157">IF(AB113="","",AB113)</f>
        <v/>
      </c>
      <c r="R520" s="348"/>
      <c r="S520" s="461" t="str">
        <f t="shared" ref="S520:S525" si="158">IF(AB119="","",AB119)</f>
        <v/>
      </c>
      <c r="T520" s="348"/>
      <c r="U520" s="461" t="str">
        <f t="shared" ref="U520:U525" si="159">IF(AB125="","",AB125)</f>
        <v/>
      </c>
      <c r="V520" s="348"/>
      <c r="W520" s="461" t="str">
        <f t="shared" ref="W520:W525" si="160">IF(AB131="","",AB131)</f>
        <v/>
      </c>
      <c r="X520" s="348"/>
      <c r="Y520" s="461" t="str">
        <f t="shared" ref="Y520:Y525" si="161">IF(AB137="","",AB137)</f>
        <v/>
      </c>
    </row>
    <row r="521" spans="15:25">
      <c r="O521" s="280" t="s">
        <v>173</v>
      </c>
      <c r="P521" s="168">
        <f>Q298</f>
        <v>0</v>
      </c>
      <c r="Q521" s="461" t="str">
        <f t="shared" si="157"/>
        <v/>
      </c>
      <c r="R521" s="348"/>
      <c r="S521" s="461" t="str">
        <f t="shared" si="158"/>
        <v/>
      </c>
      <c r="T521" s="348"/>
      <c r="U521" s="461" t="str">
        <f t="shared" si="159"/>
        <v/>
      </c>
      <c r="V521" s="348"/>
      <c r="W521" s="461" t="str">
        <f t="shared" si="160"/>
        <v/>
      </c>
      <c r="X521" s="348"/>
      <c r="Y521" s="461" t="str">
        <f t="shared" si="161"/>
        <v/>
      </c>
    </row>
    <row r="522" spans="15:25">
      <c r="O522" s="280" t="s">
        <v>174</v>
      </c>
      <c r="P522" s="168">
        <f>R298</f>
        <v>0</v>
      </c>
      <c r="Q522" s="461" t="str">
        <f t="shared" si="157"/>
        <v/>
      </c>
      <c r="R522" s="348"/>
      <c r="S522" s="461" t="str">
        <f t="shared" si="158"/>
        <v/>
      </c>
      <c r="T522" s="348"/>
      <c r="U522" s="461" t="str">
        <f t="shared" si="159"/>
        <v/>
      </c>
      <c r="V522" s="348"/>
      <c r="W522" s="461" t="str">
        <f t="shared" si="160"/>
        <v/>
      </c>
      <c r="X522" s="348"/>
      <c r="Y522" s="461" t="str">
        <f t="shared" si="161"/>
        <v/>
      </c>
    </row>
    <row r="523" spans="15:25">
      <c r="O523" s="280" t="s">
        <v>266</v>
      </c>
      <c r="P523" s="348"/>
      <c r="Q523" s="461" t="str">
        <f t="shared" si="157"/>
        <v/>
      </c>
      <c r="R523" s="348"/>
      <c r="S523" s="461" t="str">
        <f t="shared" si="158"/>
        <v/>
      </c>
      <c r="T523" s="348"/>
      <c r="U523" s="461" t="str">
        <f t="shared" si="159"/>
        <v/>
      </c>
      <c r="V523" s="348"/>
      <c r="W523" s="461" t="str">
        <f t="shared" si="160"/>
        <v/>
      </c>
      <c r="X523" s="348"/>
      <c r="Y523" s="461" t="str">
        <f t="shared" si="161"/>
        <v/>
      </c>
    </row>
    <row r="524" spans="15:25">
      <c r="O524" s="280" t="s">
        <v>269</v>
      </c>
      <c r="P524" s="348"/>
      <c r="Q524" s="461" t="str">
        <f t="shared" si="157"/>
        <v/>
      </c>
      <c r="R524" s="348"/>
      <c r="S524" s="461" t="str">
        <f t="shared" si="158"/>
        <v/>
      </c>
      <c r="T524" s="348"/>
      <c r="U524" s="461" t="str">
        <f t="shared" si="159"/>
        <v/>
      </c>
      <c r="V524" s="348"/>
      <c r="W524" s="461" t="str">
        <f t="shared" si="160"/>
        <v/>
      </c>
      <c r="X524" s="348"/>
      <c r="Y524" s="461" t="str">
        <f t="shared" si="161"/>
        <v/>
      </c>
    </row>
    <row r="525" spans="15:25" ht="16.2" thickBot="1">
      <c r="O525" s="280" t="s">
        <v>274</v>
      </c>
      <c r="P525" s="357"/>
      <c r="Q525" s="462" t="str">
        <f t="shared" si="157"/>
        <v/>
      </c>
      <c r="R525" s="357"/>
      <c r="S525" s="462" t="str">
        <f t="shared" si="158"/>
        <v/>
      </c>
      <c r="T525" s="357"/>
      <c r="U525" s="462" t="str">
        <f t="shared" si="159"/>
        <v/>
      </c>
      <c r="V525" s="357"/>
      <c r="W525" s="462" t="str">
        <f t="shared" si="160"/>
        <v/>
      </c>
      <c r="X525" s="357"/>
      <c r="Y525" s="462" t="str">
        <f t="shared" si="161"/>
        <v/>
      </c>
    </row>
    <row r="526" spans="15:25">
      <c r="O526" s="300"/>
      <c r="P526" s="208" t="s">
        <v>158</v>
      </c>
      <c r="Q526" s="120" t="s">
        <v>280</v>
      </c>
      <c r="R526" s="201"/>
      <c r="S526" s="201"/>
      <c r="T526" s="201"/>
      <c r="U526" s="201"/>
      <c r="V526" s="201"/>
      <c r="W526" s="201"/>
      <c r="X526" s="201"/>
      <c r="Y526" s="281"/>
    </row>
    <row r="527" spans="15:25">
      <c r="O527" s="300"/>
      <c r="P527" s="113"/>
      <c r="Q527" s="120" t="s">
        <v>282</v>
      </c>
      <c r="Y527" s="281"/>
    </row>
    <row r="528" spans="15:25">
      <c r="O528" s="300"/>
      <c r="P528" s="208"/>
      <c r="Q528" s="120" t="s">
        <v>703</v>
      </c>
      <c r="R528" s="201"/>
      <c r="S528" s="201"/>
      <c r="T528" s="201"/>
      <c r="U528" s="201"/>
      <c r="V528" s="201"/>
      <c r="W528" s="201"/>
      <c r="X528" s="201"/>
      <c r="Y528" s="281"/>
    </row>
    <row r="529" spans="15:25" ht="16.2" thickBot="1">
      <c r="O529" s="134"/>
      <c r="P529" s="135"/>
      <c r="Q529" s="340" t="s">
        <v>704</v>
      </c>
      <c r="R529" s="135"/>
      <c r="S529" s="135"/>
      <c r="T529" s="135"/>
      <c r="U529" s="135"/>
      <c r="V529" s="135"/>
      <c r="W529" s="135"/>
      <c r="X529" s="135"/>
      <c r="Y529" s="136"/>
    </row>
    <row r="530" spans="15:25">
      <c r="O530" s="243" t="s">
        <v>346</v>
      </c>
      <c r="P530" s="113"/>
      <c r="Q530" s="113"/>
      <c r="R530" s="113"/>
      <c r="S530" s="113"/>
      <c r="T530" s="113"/>
      <c r="U530" s="113"/>
      <c r="V530" s="113"/>
      <c r="W530" s="113"/>
      <c r="X530" s="113"/>
      <c r="Y530" s="125"/>
    </row>
    <row r="531" spans="15:25">
      <c r="O531" s="123"/>
      <c r="P531" s="113"/>
      <c r="Q531" s="113"/>
      <c r="R531" s="113"/>
      <c r="S531" s="113"/>
      <c r="T531" s="113" t="s">
        <v>347</v>
      </c>
      <c r="U531" s="113" t="s">
        <v>348</v>
      </c>
      <c r="V531" s="113"/>
      <c r="W531" s="113"/>
      <c r="X531" s="113"/>
      <c r="Y531" s="125"/>
    </row>
    <row r="532" spans="15:25">
      <c r="O532" s="123"/>
      <c r="P532" s="129" t="s">
        <v>172</v>
      </c>
      <c r="Q532" s="245">
        <f>T291</f>
        <v>0</v>
      </c>
      <c r="R532" s="129"/>
      <c r="S532" s="129" t="s">
        <v>349</v>
      </c>
      <c r="T532" s="376" t="e">
        <f>AVERAGE(AC295:AC298)</f>
        <v>#DIV/0!</v>
      </c>
      <c r="U532" s="376" t="e">
        <f>AVERAGE(AD295:AD298)</f>
        <v>#DIV/0!</v>
      </c>
      <c r="V532" s="113"/>
      <c r="W532" s="113"/>
      <c r="X532" s="113"/>
      <c r="Y532" s="125"/>
    </row>
    <row r="533" spans="15:25">
      <c r="O533" s="123"/>
      <c r="P533" s="129" t="s">
        <v>173</v>
      </c>
      <c r="Q533" s="245">
        <f>Q298</f>
        <v>0</v>
      </c>
      <c r="R533" s="129"/>
      <c r="S533" s="129" t="s">
        <v>350</v>
      </c>
      <c r="T533" s="376" t="e">
        <f>AVERAGE(AA295:AA298)</f>
        <v>#DIV/0!</v>
      </c>
      <c r="U533" s="376" t="e">
        <f>AVERAGE(AB295:AB298)</f>
        <v>#DIV/0!</v>
      </c>
      <c r="V533" s="113"/>
      <c r="W533" s="113"/>
      <c r="X533" s="113"/>
      <c r="Y533" s="125"/>
    </row>
    <row r="534" spans="15:25">
      <c r="O534" s="123"/>
      <c r="P534" s="129" t="s">
        <v>29</v>
      </c>
      <c r="Q534" s="458"/>
      <c r="R534" s="113"/>
      <c r="S534" s="113"/>
      <c r="T534" s="113"/>
      <c r="U534" s="113"/>
      <c r="V534" s="113"/>
      <c r="W534" s="113"/>
      <c r="X534" s="113"/>
      <c r="Y534" s="125"/>
    </row>
    <row r="535" spans="15:25" ht="16.2" thickBot="1">
      <c r="O535" s="123"/>
      <c r="P535" s="129" t="s">
        <v>31</v>
      </c>
      <c r="Q535" s="458"/>
      <c r="R535" s="113"/>
      <c r="S535" s="113"/>
      <c r="T535" s="128" t="s">
        <v>307</v>
      </c>
      <c r="U535" s="128" t="s">
        <v>308</v>
      </c>
      <c r="V535" s="128" t="s">
        <v>249</v>
      </c>
      <c r="W535" s="113" t="s">
        <v>250</v>
      </c>
      <c r="X535" s="113"/>
      <c r="Y535" s="125"/>
    </row>
    <row r="536" spans="15:25" ht="16.2" thickBot="1">
      <c r="O536" s="123"/>
      <c r="P536" s="113"/>
      <c r="Q536" s="113"/>
      <c r="R536" s="113"/>
      <c r="S536" s="129" t="s">
        <v>309</v>
      </c>
      <c r="T536" s="410" t="e">
        <f>IF(OR(T533="",U533=""),"",(T533-50)/U533)</f>
        <v>#DIV/0!</v>
      </c>
      <c r="U536" s="463" t="str">
        <f>IF(AB144="","",AB144)</f>
        <v/>
      </c>
      <c r="V536" s="302" t="e">
        <f>IF(OR(T536="",U536=""),"",(T536-U536)/U536)</f>
        <v>#DIV/0!</v>
      </c>
      <c r="W536" s="411" t="e">
        <f>IF(T536&gt;=40,"Pass","Fail")</f>
        <v>#DIV/0!</v>
      </c>
      <c r="X536" s="113"/>
      <c r="Y536" s="125"/>
    </row>
    <row r="537" spans="15:25" ht="16.2" thickBot="1">
      <c r="O537" s="123"/>
      <c r="P537" s="113"/>
      <c r="Q537" s="113"/>
      <c r="R537" s="113"/>
      <c r="S537" s="129" t="s">
        <v>311</v>
      </c>
      <c r="T537" s="410" t="e">
        <f>IF(OR(T533="",T532=""),"",(T533-T532)/U533)</f>
        <v>#DIV/0!</v>
      </c>
      <c r="U537" s="463" t="str">
        <f>IF(AB145="","",AB145)</f>
        <v/>
      </c>
      <c r="V537" s="302" t="e">
        <f>IF(OR(T537="",U537=""),"",(T537-U537)/U537)</f>
        <v>#DIV/0!</v>
      </c>
      <c r="W537" s="169" t="str">
        <f>IF(U537="","NA",IF(V537&lt;=0.15,"Pass","Fail"))</f>
        <v>NA</v>
      </c>
      <c r="X537" s="113"/>
      <c r="Y537" s="125"/>
    </row>
    <row r="538" spans="15:25">
      <c r="O538" s="123"/>
      <c r="P538" s="208" t="s">
        <v>158</v>
      </c>
      <c r="Q538" s="120" t="s">
        <v>312</v>
      </c>
      <c r="R538" s="113"/>
      <c r="S538" s="113"/>
      <c r="T538" s="113"/>
      <c r="U538" s="113"/>
      <c r="V538" s="113"/>
      <c r="W538" s="113"/>
      <c r="X538" s="113"/>
      <c r="Y538" s="125"/>
    </row>
    <row r="539" spans="15:25">
      <c r="O539" s="123"/>
      <c r="P539" s="113"/>
      <c r="Q539" s="120" t="s">
        <v>313</v>
      </c>
      <c r="R539" s="113"/>
      <c r="S539" s="113"/>
      <c r="T539" s="113"/>
      <c r="U539" s="113"/>
      <c r="V539" s="113"/>
      <c r="W539" s="113"/>
      <c r="X539" s="113"/>
      <c r="Y539" s="125"/>
    </row>
    <row r="540" spans="15:25" ht="16.2" thickBot="1">
      <c r="O540" s="134"/>
      <c r="P540" s="135"/>
      <c r="Q540" s="135"/>
      <c r="R540" s="135"/>
      <c r="S540" s="135"/>
      <c r="T540" s="135"/>
      <c r="U540" s="135"/>
      <c r="V540" s="135"/>
      <c r="W540" s="135"/>
      <c r="X540" s="135"/>
      <c r="Y540" s="136"/>
    </row>
    <row r="541" spans="15:25">
      <c r="O541" s="464"/>
      <c r="P541" s="465"/>
      <c r="Q541" s="465"/>
      <c r="R541" s="465"/>
      <c r="S541" s="466" t="s">
        <v>351</v>
      </c>
      <c r="T541" s="465"/>
      <c r="U541" s="465"/>
      <c r="V541" s="465"/>
      <c r="W541" s="465"/>
      <c r="X541" s="465"/>
      <c r="Y541" s="467"/>
    </row>
    <row r="542" spans="15:25">
      <c r="O542" s="386"/>
      <c r="P542" s="203" t="s">
        <v>176</v>
      </c>
      <c r="Q542" s="468"/>
      <c r="R542" s="469"/>
      <c r="S542" s="470" t="str">
        <f>IF(AB147="","",AB147)</f>
        <v/>
      </c>
      <c r="T542" s="471"/>
      <c r="U542" s="471"/>
      <c r="V542" s="173"/>
      <c r="W542" s="120"/>
      <c r="X542" s="471"/>
      <c r="Y542" s="454"/>
    </row>
    <row r="543" spans="15:25">
      <c r="O543" s="386"/>
      <c r="P543" s="472" t="s">
        <v>177</v>
      </c>
      <c r="Q543" s="473"/>
      <c r="R543" s="474">
        <f>LEN(Q542)</f>
        <v>0</v>
      </c>
      <c r="S543" s="475"/>
      <c r="T543" s="475"/>
      <c r="U543" s="476" t="s">
        <v>352</v>
      </c>
      <c r="V543" s="475"/>
      <c r="W543" s="475"/>
      <c r="X543" s="475"/>
      <c r="Y543" s="454"/>
    </row>
    <row r="544" spans="15:25">
      <c r="O544" s="386"/>
      <c r="P544" s="203" t="s">
        <v>353</v>
      </c>
      <c r="Q544" s="468"/>
      <c r="R544" s="469"/>
      <c r="S544" s="470" t="str">
        <f>IF(AB149="","",AB149)</f>
        <v/>
      </c>
      <c r="T544" s="471"/>
      <c r="U544" s="471"/>
      <c r="V544" s="173"/>
      <c r="W544" s="120"/>
      <c r="X544" s="471"/>
      <c r="Y544" s="454"/>
    </row>
    <row r="545" spans="15:25">
      <c r="O545" s="386"/>
      <c r="P545" s="472" t="s">
        <v>177</v>
      </c>
      <c r="Q545" s="473"/>
      <c r="R545" s="474">
        <f>LEN(Q544)</f>
        <v>0</v>
      </c>
      <c r="S545" s="475"/>
      <c r="T545" s="475"/>
      <c r="U545" s="476" t="s">
        <v>354</v>
      </c>
      <c r="V545" s="475"/>
      <c r="W545" s="475"/>
      <c r="X545" s="475"/>
      <c r="Y545" s="454"/>
    </row>
    <row r="546" spans="15:25">
      <c r="O546" s="386"/>
      <c r="P546" s="203" t="s">
        <v>353</v>
      </c>
      <c r="Q546" s="468"/>
      <c r="R546" s="469"/>
      <c r="S546" s="470" t="str">
        <f>IF(AB151="","",AB151)</f>
        <v/>
      </c>
      <c r="T546" s="471"/>
      <c r="U546" s="471"/>
      <c r="V546" s="173"/>
      <c r="W546" s="120"/>
      <c r="X546" s="471"/>
      <c r="Y546" s="454"/>
    </row>
    <row r="547" spans="15:25">
      <c r="O547" s="386"/>
      <c r="P547" s="472" t="s">
        <v>177</v>
      </c>
      <c r="Q547" s="473"/>
      <c r="R547" s="474">
        <f>LEN(Q546)</f>
        <v>0</v>
      </c>
      <c r="S547" s="475"/>
      <c r="T547" s="475"/>
      <c r="U547" s="476" t="s">
        <v>355</v>
      </c>
      <c r="V547" s="475"/>
      <c r="W547" s="475"/>
      <c r="X547" s="475"/>
      <c r="Y547" s="454"/>
    </row>
    <row r="548" spans="15:25">
      <c r="O548" s="386"/>
      <c r="P548" s="203" t="s">
        <v>353</v>
      </c>
      <c r="Q548" s="468"/>
      <c r="R548" s="469"/>
      <c r="S548" s="470" t="str">
        <f>IF(AB153="","",AB153)</f>
        <v/>
      </c>
      <c r="T548" s="471"/>
      <c r="U548" s="471"/>
      <c r="V548" s="173"/>
      <c r="W548" s="120"/>
      <c r="X548" s="471"/>
      <c r="Y548" s="454"/>
    </row>
    <row r="549" spans="15:25">
      <c r="O549" s="386"/>
      <c r="P549" s="472" t="s">
        <v>177</v>
      </c>
      <c r="Q549" s="473"/>
      <c r="R549" s="474">
        <f>LEN(Q548)</f>
        <v>0</v>
      </c>
      <c r="S549" s="475"/>
      <c r="T549" s="475"/>
      <c r="U549" s="476" t="s">
        <v>356</v>
      </c>
      <c r="V549" s="475"/>
      <c r="W549" s="475"/>
      <c r="X549" s="475"/>
      <c r="Y549" s="454"/>
    </row>
    <row r="550" spans="15:25">
      <c r="O550" s="386"/>
      <c r="P550" s="203" t="s">
        <v>353</v>
      </c>
      <c r="Q550" s="468"/>
      <c r="R550" s="469"/>
      <c r="S550" s="470" t="str">
        <f>IF(AB155="","",AB155)</f>
        <v/>
      </c>
      <c r="T550" s="471"/>
      <c r="U550" s="471"/>
      <c r="V550" s="173"/>
      <c r="W550" s="120"/>
      <c r="X550" s="471"/>
      <c r="Y550" s="454"/>
    </row>
    <row r="551" spans="15:25">
      <c r="O551" s="386"/>
      <c r="P551" s="472" t="s">
        <v>177</v>
      </c>
      <c r="Q551" s="473"/>
      <c r="R551" s="474">
        <f>LEN(Q550)</f>
        <v>0</v>
      </c>
      <c r="S551" s="475"/>
      <c r="T551" s="475"/>
      <c r="U551" s="476" t="s">
        <v>357</v>
      </c>
      <c r="V551" s="475"/>
      <c r="W551" s="475"/>
      <c r="X551" s="475"/>
      <c r="Y551" s="454"/>
    </row>
    <row r="552" spans="15:25">
      <c r="O552" s="386"/>
      <c r="P552" s="203" t="s">
        <v>353</v>
      </c>
      <c r="Q552" s="468"/>
      <c r="R552" s="469"/>
      <c r="S552" s="470" t="str">
        <f>IF(AB157="","",AB157)</f>
        <v/>
      </c>
      <c r="T552" s="471"/>
      <c r="U552" s="471"/>
      <c r="V552" s="173"/>
      <c r="W552" s="120"/>
      <c r="X552" s="471"/>
      <c r="Y552" s="454"/>
    </row>
    <row r="553" spans="15:25">
      <c r="O553" s="386"/>
      <c r="P553" s="472" t="s">
        <v>177</v>
      </c>
      <c r="Q553" s="473"/>
      <c r="R553" s="474">
        <f>LEN(Q552)</f>
        <v>0</v>
      </c>
      <c r="S553" s="475"/>
      <c r="T553" s="475"/>
      <c r="U553" s="475"/>
      <c r="V553" s="475"/>
      <c r="W553" s="475"/>
      <c r="X553" s="475"/>
      <c r="Y553" s="454"/>
    </row>
    <row r="554" spans="15:25">
      <c r="O554" s="386"/>
      <c r="P554" s="203" t="s">
        <v>353</v>
      </c>
      <c r="Q554" s="468"/>
      <c r="R554" s="469"/>
      <c r="S554" s="470" t="str">
        <f>IF(AB159="","",AB159)</f>
        <v/>
      </c>
      <c r="T554" s="471"/>
      <c r="U554" s="471"/>
      <c r="V554" s="173"/>
      <c r="W554" s="120"/>
      <c r="X554" s="471"/>
      <c r="Y554" s="454"/>
    </row>
    <row r="555" spans="15:25">
      <c r="O555" s="386"/>
      <c r="P555" s="472" t="s">
        <v>177</v>
      </c>
      <c r="Q555" s="473"/>
      <c r="R555" s="474">
        <f>LEN(Q554)</f>
        <v>0</v>
      </c>
      <c r="S555" s="475"/>
      <c r="T555" s="475"/>
      <c r="U555" s="475"/>
      <c r="V555" s="475"/>
      <c r="W555" s="475"/>
      <c r="X555" s="475"/>
      <c r="Y555" s="454"/>
    </row>
    <row r="556" spans="15:25">
      <c r="O556" s="386"/>
      <c r="P556" s="203" t="s">
        <v>353</v>
      </c>
      <c r="Q556" s="468"/>
      <c r="R556" s="469"/>
      <c r="S556" s="470" t="str">
        <f>IF(AB161="","",AB161)</f>
        <v/>
      </c>
      <c r="T556" s="471"/>
      <c r="U556" s="471"/>
      <c r="V556" s="173"/>
      <c r="W556" s="120"/>
      <c r="X556" s="471"/>
      <c r="Y556" s="454"/>
    </row>
    <row r="557" spans="15:25">
      <c r="O557" s="386"/>
      <c r="P557" s="472" t="s">
        <v>177</v>
      </c>
      <c r="Q557" s="473"/>
      <c r="R557" s="474">
        <f>LEN(Q556)</f>
        <v>0</v>
      </c>
      <c r="S557" s="475"/>
      <c r="T557" s="475"/>
      <c r="U557" s="475"/>
      <c r="V557" s="475"/>
      <c r="W557" s="475"/>
      <c r="X557" s="475"/>
      <c r="Y557" s="454"/>
    </row>
    <row r="558" spans="15:25">
      <c r="O558" s="386"/>
      <c r="P558" s="203" t="s">
        <v>353</v>
      </c>
      <c r="Q558" s="468"/>
      <c r="R558" s="469"/>
      <c r="S558" s="470" t="str">
        <f>IF(AB163="","",AB163)</f>
        <v/>
      </c>
      <c r="T558" s="471"/>
      <c r="U558" s="471"/>
      <c r="V558" s="173"/>
      <c r="W558" s="120"/>
      <c r="X558" s="471"/>
      <c r="Y558" s="454"/>
    </row>
    <row r="559" spans="15:25">
      <c r="O559" s="386"/>
      <c r="P559" s="472" t="s">
        <v>177</v>
      </c>
      <c r="Q559" s="473"/>
      <c r="R559" s="474">
        <f>LEN(Q558)</f>
        <v>0</v>
      </c>
      <c r="S559" s="475"/>
      <c r="T559" s="475"/>
      <c r="U559" s="475"/>
      <c r="V559" s="475"/>
      <c r="W559" s="475"/>
      <c r="X559" s="475"/>
      <c r="Y559" s="454"/>
    </row>
    <row r="560" spans="15:25" ht="16.2" thickBot="1">
      <c r="O560" s="477"/>
      <c r="P560" s="395"/>
      <c r="Q560" s="395"/>
      <c r="R560" s="395"/>
      <c r="S560" s="395"/>
      <c r="T560" s="395"/>
      <c r="U560" s="395"/>
      <c r="V560" s="395"/>
      <c r="W560" s="395"/>
      <c r="X560" s="395"/>
      <c r="Y560" s="478"/>
    </row>
  </sheetData>
  <customSheetViews>
    <customSheetView guid="{667C12D2-B688-4218-94B0-4FC6FD6E2246}">
      <rowBreaks count="6" manualBreakCount="6">
        <brk id="68" min="1" max="12" man="1"/>
        <brk id="136" min="1" max="12" man="1"/>
        <brk id="204" min="1" max="12" man="1"/>
        <brk id="272" min="1" max="12" man="1"/>
        <brk id="340" min="1" max="12" man="1"/>
        <brk id="408" min="1" max="12" man="1"/>
      </rowBreaks>
      <pageMargins left="0.7" right="0.7" top="0.75" bottom="0.75" header="0.3" footer="0.3"/>
      <pageSetup scale="62" orientation="portrait" horizontalDpi="1200" verticalDpi="1200" r:id="rId1"/>
    </customSheetView>
  </customSheetViews>
  <mergeCells count="75">
    <mergeCell ref="Q480:V480"/>
    <mergeCell ref="Q468:X468"/>
    <mergeCell ref="X263:Y263"/>
    <mergeCell ref="K259:L259"/>
    <mergeCell ref="E373:I373"/>
    <mergeCell ref="E384:I384"/>
    <mergeCell ref="D189:I189"/>
    <mergeCell ref="I411:J411"/>
    <mergeCell ref="I412:J412"/>
    <mergeCell ref="D259:E259"/>
    <mergeCell ref="G259:H259"/>
    <mergeCell ref="D172:G172"/>
    <mergeCell ref="I172:J172"/>
    <mergeCell ref="I174:J174"/>
    <mergeCell ref="D179:I179"/>
    <mergeCell ref="D180:D181"/>
    <mergeCell ref="E180:G180"/>
    <mergeCell ref="I180:I181"/>
    <mergeCell ref="I173:J173"/>
    <mergeCell ref="D320:E320"/>
    <mergeCell ref="U168:V168"/>
    <mergeCell ref="U169:V169"/>
    <mergeCell ref="P173:P174"/>
    <mergeCell ref="Q173:S173"/>
    <mergeCell ref="U173:U174"/>
    <mergeCell ref="V97:X98"/>
    <mergeCell ref="P105:R106"/>
    <mergeCell ref="S105:U106"/>
    <mergeCell ref="V105:X106"/>
    <mergeCell ref="P167:S167"/>
    <mergeCell ref="U167:V167"/>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K25:L25"/>
    <mergeCell ref="F13:G13"/>
    <mergeCell ref="K13:L13"/>
    <mergeCell ref="F16:G16"/>
    <mergeCell ref="K16:L16"/>
    <mergeCell ref="F17:G17"/>
    <mergeCell ref="K17:L17"/>
    <mergeCell ref="F10:G10"/>
    <mergeCell ref="K10:L10"/>
    <mergeCell ref="F11:G11"/>
    <mergeCell ref="K11:L11"/>
    <mergeCell ref="F12:G12"/>
    <mergeCell ref="K12:L12"/>
    <mergeCell ref="P181:U181"/>
    <mergeCell ref="P204:U204"/>
    <mergeCell ref="Q205:S205"/>
    <mergeCell ref="Q182:S182"/>
    <mergeCell ref="U182:U183"/>
    <mergeCell ref="U195:U196"/>
    <mergeCell ref="U205:U206"/>
  </mergeCells>
  <conditionalFormatting sqref="D188:I188 D195:I195">
    <cfRule type="cellIs" dxfId="167" priority="77" operator="equal">
      <formula>"NO"</formula>
    </cfRule>
  </conditionalFormatting>
  <conditionalFormatting sqref="E165:J165">
    <cfRule type="cellIs" dxfId="166" priority="84" operator="equal">
      <formula>"NO"</formula>
    </cfRule>
  </conditionalFormatting>
  <conditionalFormatting sqref="E167:J167">
    <cfRule type="cellIs" dxfId="165" priority="81" operator="equal">
      <formula>"NO"</formula>
    </cfRule>
  </conditionalFormatting>
  <conditionalFormatting sqref="I240:I242 I244:I247">
    <cfRule type="cellIs" dxfId="164" priority="55" operator="equal">
      <formula>"Fail"</formula>
    </cfRule>
  </conditionalFormatting>
  <conditionalFormatting sqref="I426 M426 E428 D442:G442 D465:K465 D472:H472">
    <cfRule type="cellIs" dxfId="163" priority="68" operator="equal">
      <formula>"Fail"</formula>
    </cfRule>
  </conditionalFormatting>
  <conditionalFormatting sqref="I174:J174">
    <cfRule type="cellIs" dxfId="162" priority="80" operator="lessThan">
      <formula>160</formula>
    </cfRule>
  </conditionalFormatting>
  <conditionalFormatting sqref="J211:J218 J226:J232 J281:J287">
    <cfRule type="cellIs" dxfId="161" priority="58" operator="greaterThan">
      <formula>0.1</formula>
    </cfRule>
  </conditionalFormatting>
  <conditionalFormatting sqref="J219">
    <cfRule type="cellIs" dxfId="160" priority="16" operator="equal">
      <formula>"Fail"</formula>
    </cfRule>
  </conditionalFormatting>
  <conditionalFormatting sqref="J233">
    <cfRule type="cellIs" dxfId="159" priority="17" operator="equal">
      <formula>"Fail"</formula>
    </cfRule>
  </conditionalFormatting>
  <conditionalFormatting sqref="J288">
    <cfRule type="cellIs" dxfId="158" priority="14" operator="equal">
      <formula>"Fail"</formula>
    </cfRule>
  </conditionalFormatting>
  <conditionalFormatting sqref="K142">
    <cfRule type="cellIs" dxfId="157" priority="19" operator="equal">
      <formula>"Fail"</formula>
    </cfRule>
  </conditionalFormatting>
  <conditionalFormatting sqref="K253">
    <cfRule type="cellIs" dxfId="156" priority="15" operator="equal">
      <formula>"Fail"</formula>
    </cfRule>
  </conditionalFormatting>
  <conditionalFormatting sqref="K401:K402">
    <cfRule type="cellIs" dxfId="155" priority="13" operator="equal">
      <formula>"Fail"</formula>
    </cfRule>
  </conditionalFormatting>
  <conditionalFormatting sqref="L45:L50 L52:L64">
    <cfRule type="cellIs" dxfId="154" priority="89" operator="equal">
      <formula>"TBD"</formula>
    </cfRule>
  </conditionalFormatting>
  <conditionalFormatting sqref="L72:L104">
    <cfRule type="cellIs" dxfId="153" priority="87" operator="equal">
      <formula>"TBD"</formula>
    </cfRule>
  </conditionalFormatting>
  <conditionalFormatting sqref="L298 L312 L350 L364 L378 L389 L395">
    <cfRule type="cellIs" dxfId="152" priority="20" operator="greaterThan">
      <formula>3</formula>
    </cfRule>
  </conditionalFormatting>
  <conditionalFormatting sqref="M45:M50 M52:M64">
    <cfRule type="cellIs" dxfId="151" priority="88" operator="equal">
      <formula>"NO"</formula>
    </cfRule>
  </conditionalFormatting>
  <conditionalFormatting sqref="M72:M104">
    <cfRule type="cellIs" dxfId="150" priority="86" operator="equal">
      <formula>"NO"</formula>
    </cfRule>
  </conditionalFormatting>
  <conditionalFormatting sqref="M174">
    <cfRule type="cellIs" dxfId="149" priority="18" operator="equal">
      <formula>"Fail"</formula>
    </cfRule>
  </conditionalFormatting>
  <conditionalFormatting sqref="O247:Y259">
    <cfRule type="expression" dxfId="148" priority="33">
      <formula>$O$33=2</formula>
    </cfRule>
  </conditionalFormatting>
  <conditionalFormatting sqref="O277:Y289">
    <cfRule type="expression" dxfId="147" priority="36">
      <formula>$O$35=2</formula>
    </cfRule>
  </conditionalFormatting>
  <conditionalFormatting sqref="O305:Y328 O329:W329 Y329">
    <cfRule type="expression" dxfId="146" priority="32">
      <formula>$O$33=2</formula>
    </cfRule>
  </conditionalFormatting>
  <conditionalFormatting sqref="O330:Y365">
    <cfRule type="expression" dxfId="145" priority="8">
      <formula>$O$33=2</formula>
    </cfRule>
  </conditionalFormatting>
  <conditionalFormatting sqref="O366:Y366 O367:S367 U367:Y368 O368:P368 R368:S368 O369:Y369 O370:W370 Y370 O371:T371 V371:Y371 O372:Y381 O382:S382 U382:Y383 O383:P383 R383:S383 O384:Y384 O385:W385 Y385 O386:T386 V386:Y386 O387:Y395">
    <cfRule type="expression" dxfId="144" priority="35">
      <formula>$O$35=2</formula>
    </cfRule>
  </conditionalFormatting>
  <conditionalFormatting sqref="P188:U189">
    <cfRule type="cellIs" dxfId="143" priority="193" operator="lessThan">
      <formula>0.02</formula>
    </cfRule>
    <cfRule type="cellIs" dxfId="142" priority="194" operator="greaterThan">
      <formula>0.02</formula>
    </cfRule>
  </conditionalFormatting>
  <conditionalFormatting sqref="P207:U210">
    <cfRule type="cellIs" dxfId="141" priority="190" operator="between">
      <formula>0.02</formula>
      <formula>-0.02</formula>
    </cfRule>
    <cfRule type="cellIs" dxfId="140" priority="191" operator="lessThan">
      <formula>-0.02</formula>
    </cfRule>
    <cfRule type="cellIs" dxfId="139" priority="192" operator="greaterThan">
      <formula>0.02</formula>
    </cfRule>
  </conditionalFormatting>
  <conditionalFormatting sqref="P211:U211">
    <cfRule type="cellIs" dxfId="138" priority="187" operator="lessThan">
      <formula>-0.01</formula>
    </cfRule>
    <cfRule type="cellIs" dxfId="137" priority="188" operator="greaterThan">
      <formula>0.01</formula>
    </cfRule>
    <cfRule type="cellIs" dxfId="136" priority="189" operator="between">
      <formula>-0.01</formula>
      <formula>0.01</formula>
    </cfRule>
  </conditionalFormatting>
  <conditionalFormatting sqref="P243:W243">
    <cfRule type="expression" dxfId="135" priority="29">
      <formula>$O$34=2</formula>
    </cfRule>
  </conditionalFormatting>
  <conditionalFormatting sqref="Q383">
    <cfRule type="expression" dxfId="134" priority="24">
      <formula>$O$33=2</formula>
    </cfRule>
  </conditionalFormatting>
  <conditionalFormatting sqref="Q227:T227">
    <cfRule type="cellIs" dxfId="133" priority="111" operator="equal">
      <formula>"Fail"</formula>
    </cfRule>
    <cfRule type="cellIs" dxfId="132" priority="112" operator="equal">
      <formula>"Pass"</formula>
    </cfRule>
  </conditionalFormatting>
  <conditionalFormatting sqref="Q142:V142">
    <cfRule type="cellIs" dxfId="131" priority="82" operator="equal">
      <formula>"NO"</formula>
    </cfRule>
    <cfRule type="cellIs" dxfId="130" priority="83" operator="equal">
      <formula>"YES"</formula>
    </cfRule>
    <cfRule type="cellIs" dxfId="129" priority="113" operator="equal">
      <formula>"Fail"</formula>
    </cfRule>
    <cfRule type="cellIs" dxfId="128" priority="114" operator="equal">
      <formula>"Pass"</formula>
    </cfRule>
  </conditionalFormatting>
  <conditionalFormatting sqref="Q154:V154">
    <cfRule type="cellIs" dxfId="127" priority="105" operator="lessThan">
      <formula>0.07</formula>
    </cfRule>
    <cfRule type="cellIs" dxfId="126" priority="106" operator="greaterThan">
      <formula>0.07</formula>
    </cfRule>
  </conditionalFormatting>
  <conditionalFormatting sqref="Q155:V155">
    <cfRule type="cellIs" dxfId="125" priority="103" operator="equal">
      <formula>"YES"</formula>
    </cfRule>
    <cfRule type="cellIs" dxfId="124" priority="104" operator="equal">
      <formula>"NO"</formula>
    </cfRule>
  </conditionalFormatting>
  <conditionalFormatting sqref="Q495:V495">
    <cfRule type="cellIs" dxfId="123" priority="1" operator="equal">
      <formula>"Fail"</formula>
    </cfRule>
    <cfRule type="cellIs" dxfId="122" priority="2" operator="equal">
      <formula>"Pass"</formula>
    </cfRule>
  </conditionalFormatting>
  <conditionalFormatting sqref="Q473:X473 Q485:V485">
    <cfRule type="cellIs" dxfId="121" priority="107" operator="equal">
      <formula>"Fail"</formula>
    </cfRule>
    <cfRule type="cellIs" dxfId="120" priority="108" operator="equal">
      <formula>"Pass"</formula>
    </cfRule>
  </conditionalFormatting>
  <conditionalFormatting sqref="R123:R130">
    <cfRule type="cellIs" dxfId="119" priority="117" operator="lessThan">
      <formula>-0.5</formula>
    </cfRule>
    <cfRule type="cellIs" dxfId="118" priority="118" operator="greaterThan">
      <formula>0.5</formula>
    </cfRule>
    <cfRule type="cellIs" dxfId="117" priority="119" operator="between">
      <formula>0.5</formula>
      <formula>-0.5</formula>
    </cfRule>
  </conditionalFormatting>
  <conditionalFormatting sqref="R523 U504 Q514:R514 U514:V514 P523">
    <cfRule type="cellIs" dxfId="116" priority="153" operator="lessThan">
      <formula>5</formula>
    </cfRule>
    <cfRule type="cellIs" dxfId="115" priority="154" operator="greaterThanOrEqual">
      <formula>5</formula>
    </cfRule>
  </conditionalFormatting>
  <conditionalFormatting sqref="R524:R525 U505:U506 Q515:R516 U515:V516 P524:P525">
    <cfRule type="cellIs" dxfId="114" priority="149" operator="lessThan">
      <formula>4</formula>
    </cfRule>
    <cfRule type="cellIs" dxfId="113" priority="150" operator="greaterThanOrEqual">
      <formula>4</formula>
    </cfRule>
  </conditionalFormatting>
  <conditionalFormatting sqref="R519:S525">
    <cfRule type="expression" dxfId="112" priority="30">
      <formula>$O$34=2</formula>
    </cfRule>
  </conditionalFormatting>
  <conditionalFormatting sqref="T382:T383">
    <cfRule type="expression" dxfId="111" priority="25">
      <formula>$O$33=2</formula>
    </cfRule>
  </conditionalFormatting>
  <conditionalFormatting sqref="T402">
    <cfRule type="cellIs" dxfId="110" priority="137" operator="between">
      <formula>$R$402*0.95</formula>
      <formula>$R$402*1.05</formula>
    </cfRule>
  </conditionalFormatting>
  <conditionalFormatting sqref="T403">
    <cfRule type="cellIs" dxfId="109" priority="136" operator="between">
      <formula>$R$403*0.95</formula>
      <formula>$R$403*1.05</formula>
    </cfRule>
  </conditionalFormatting>
  <conditionalFormatting sqref="T404">
    <cfRule type="cellIs" dxfId="108" priority="135" operator="between">
      <formula>$R$404*0.95</formula>
      <formula>$R$404*1.05</formula>
    </cfRule>
  </conditionalFormatting>
  <conditionalFormatting sqref="T405">
    <cfRule type="cellIs" dxfId="107" priority="134" operator="between">
      <formula>$R$405*0.95</formula>
      <formula>$R$405*1.05</formula>
    </cfRule>
  </conditionalFormatting>
  <conditionalFormatting sqref="T406">
    <cfRule type="cellIs" dxfId="106" priority="133" operator="between">
      <formula>$R$406*0.95</formula>
      <formula>$R$406*1.05</formula>
    </cfRule>
  </conditionalFormatting>
  <conditionalFormatting sqref="T407">
    <cfRule type="cellIs" dxfId="105" priority="132" operator="between">
      <formula>$R$407*0.95</formula>
      <formula>$R$407*1.05</formula>
    </cfRule>
  </conditionalFormatting>
  <conditionalFormatting sqref="T408">
    <cfRule type="cellIs" dxfId="104" priority="23" operator="between">
      <formula>$R$408*0.95</formula>
      <formula>$R$408*1.05</formula>
    </cfRule>
  </conditionalFormatting>
  <conditionalFormatting sqref="T409">
    <cfRule type="cellIs" dxfId="103" priority="22" operator="between">
      <formula>$R$409*0.95</formula>
      <formula>$R$409*1.05</formula>
    </cfRule>
  </conditionalFormatting>
  <conditionalFormatting sqref="T410">
    <cfRule type="cellIs" dxfId="102" priority="21" operator="between">
      <formula>$R$410*0.95</formula>
      <formula>$R$410*1.05</formula>
    </cfRule>
  </conditionalFormatting>
  <conditionalFormatting sqref="T414">
    <cfRule type="cellIs" dxfId="101" priority="130" operator="between">
      <formula>$R$414*0.95</formula>
      <formula>$R$414*1.05</formula>
    </cfRule>
  </conditionalFormatting>
  <conditionalFormatting sqref="T415">
    <cfRule type="cellIs" dxfId="100" priority="129" operator="between">
      <formula>$R$415*0.95</formula>
      <formula>$R$415*1.05</formula>
    </cfRule>
  </conditionalFormatting>
  <conditionalFormatting sqref="T416">
    <cfRule type="cellIs" dxfId="99" priority="128" operator="between">
      <formula>$R$416*0.95</formula>
      <formula>$R$416*1.05</formula>
    </cfRule>
  </conditionalFormatting>
  <conditionalFormatting sqref="T417">
    <cfRule type="cellIs" dxfId="98" priority="127" operator="between">
      <formula>$R$417*0.95</formula>
      <formula>$R$417*1.05</formula>
    </cfRule>
  </conditionalFormatting>
  <conditionalFormatting sqref="T418">
    <cfRule type="cellIs" dxfId="97" priority="126" operator="between">
      <formula>$R$418*0.95</formula>
      <formula>$R$418*1.05</formula>
    </cfRule>
  </conditionalFormatting>
  <conditionalFormatting sqref="T419">
    <cfRule type="cellIs" dxfId="96" priority="125" operator="between">
      <formula>$R$419*0.95</formula>
      <formula>$R$419*1.05</formula>
    </cfRule>
  </conditionalFormatting>
  <conditionalFormatting sqref="T423">
    <cfRule type="cellIs" dxfId="95" priority="124" operator="between">
      <formula>$R$423*0.95</formula>
      <formula>$R$423*1.05</formula>
    </cfRule>
  </conditionalFormatting>
  <conditionalFormatting sqref="T424">
    <cfRule type="cellIs" dxfId="94" priority="123" operator="between">
      <formula>$R$424*0.95</formula>
      <formula>$R$424*1.05</formula>
    </cfRule>
  </conditionalFormatting>
  <conditionalFormatting sqref="T425">
    <cfRule type="cellIs" dxfId="93" priority="122" operator="between">
      <formula>$R$425*0.95</formula>
      <formula>$R$425*1.05</formula>
    </cfRule>
  </conditionalFormatting>
  <conditionalFormatting sqref="T426">
    <cfRule type="cellIs" dxfId="92" priority="121" operator="between">
      <formula>$R$426*0.95</formula>
      <formula>$R$426*1.05</formula>
    </cfRule>
  </conditionalFormatting>
  <conditionalFormatting sqref="T427:T428">
    <cfRule type="cellIs" dxfId="91" priority="120" operator="between">
      <formula>$R$427*0.95</formula>
      <formula>$R$427*1.05</formula>
    </cfRule>
  </conditionalFormatting>
  <conditionalFormatting sqref="T432">
    <cfRule type="cellIs" dxfId="90" priority="7" operator="between">
      <formula>$R$423*0.95</formula>
      <formula>$R$423*1.05</formula>
    </cfRule>
  </conditionalFormatting>
  <conditionalFormatting sqref="T433">
    <cfRule type="cellIs" dxfId="89" priority="6" operator="between">
      <formula>$R$424*0.95</formula>
      <formula>$R$424*1.05</formula>
    </cfRule>
  </conditionalFormatting>
  <conditionalFormatting sqref="T434">
    <cfRule type="cellIs" dxfId="88" priority="5" operator="between">
      <formula>$R$425*0.95</formula>
      <formula>$R$425*1.05</formula>
    </cfRule>
  </conditionalFormatting>
  <conditionalFormatting sqref="T435">
    <cfRule type="cellIs" dxfId="87" priority="4" operator="between">
      <formula>$R$426*0.95</formula>
      <formula>$R$426*1.05</formula>
    </cfRule>
  </conditionalFormatting>
  <conditionalFormatting sqref="T436:T437">
    <cfRule type="cellIs" dxfId="86" priority="3" operator="between">
      <formula>$R$427*0.95</formula>
      <formula>$R$427*1.05</formula>
    </cfRule>
  </conditionalFormatting>
  <conditionalFormatting sqref="T523">
    <cfRule type="cellIs" dxfId="85" priority="147" operator="lessThan">
      <formula>4</formula>
    </cfRule>
    <cfRule type="cellIs" dxfId="84" priority="148" operator="greaterThanOrEqual">
      <formula>4</formula>
    </cfRule>
  </conditionalFormatting>
  <conditionalFormatting sqref="T524:T525">
    <cfRule type="cellIs" dxfId="83" priority="145" operator="lessThan">
      <formula>3</formula>
    </cfRule>
    <cfRule type="cellIs" dxfId="82" priority="146" operator="greaterThanOrEqual">
      <formula>3</formula>
    </cfRule>
  </conditionalFormatting>
  <conditionalFormatting sqref="T536">
    <cfRule type="cellIs" dxfId="81" priority="143" operator="lessThan">
      <formula>40</formula>
    </cfRule>
    <cfRule type="cellIs" dxfId="80" priority="144" operator="greaterThanOrEqual">
      <formula>40</formula>
    </cfRule>
  </conditionalFormatting>
  <conditionalFormatting sqref="T519:U525">
    <cfRule type="expression" dxfId="79" priority="31">
      <formula>$O$33=2</formula>
    </cfRule>
  </conditionalFormatting>
  <conditionalFormatting sqref="T449:X449">
    <cfRule type="cellIs" dxfId="78" priority="170" operator="lessThan">
      <formula>-0.02</formula>
    </cfRule>
    <cfRule type="cellIs" dxfId="77" priority="171" operator="greaterThan">
      <formula>0.02</formula>
    </cfRule>
    <cfRule type="cellIs" dxfId="76" priority="172" operator="between">
      <formula>0.02</formula>
      <formula>-0.02</formula>
    </cfRule>
  </conditionalFormatting>
  <conditionalFormatting sqref="U371">
    <cfRule type="expression" dxfId="75" priority="27">
      <formula>$O$33=2</formula>
    </cfRule>
  </conditionalFormatting>
  <conditionalFormatting sqref="U386">
    <cfRule type="expression" dxfId="74" priority="26">
      <formula>$O$33=2</formula>
    </cfRule>
  </conditionalFormatting>
  <conditionalFormatting sqref="U169:V169">
    <cfRule type="cellIs" dxfId="73" priority="115" operator="lessThan">
      <formula>160</formula>
    </cfRule>
    <cfRule type="cellIs" dxfId="72" priority="116" operator="greaterThan">
      <formula>160</formula>
    </cfRule>
  </conditionalFormatting>
  <conditionalFormatting sqref="V265">
    <cfRule type="cellIs" dxfId="71" priority="96" operator="notBetween">
      <formula>$X$265</formula>
      <formula>$Y$265</formula>
    </cfRule>
    <cfRule type="cellIs" dxfId="70" priority="182" operator="between">
      <formula>$X$265</formula>
      <formula>$Y$265</formula>
    </cfRule>
  </conditionalFormatting>
  <conditionalFormatting sqref="V266">
    <cfRule type="cellIs" dxfId="69" priority="95" operator="notBetween">
      <formula>$X$266</formula>
      <formula>$Y$266</formula>
    </cfRule>
    <cfRule type="cellIs" dxfId="68" priority="181" operator="between">
      <formula>$X$266</formula>
      <formula>$Y$266</formula>
    </cfRule>
  </conditionalFormatting>
  <conditionalFormatting sqref="V267">
    <cfRule type="cellIs" dxfId="67" priority="94" operator="notBetween">
      <formula>$X$267</formula>
      <formula>$Y$267</formula>
    </cfRule>
    <cfRule type="cellIs" dxfId="66" priority="180" operator="between">
      <formula>$X$267</formula>
      <formula>$Y$267</formula>
    </cfRule>
  </conditionalFormatting>
  <conditionalFormatting sqref="V269">
    <cfRule type="cellIs" dxfId="65" priority="93" operator="notBetween">
      <formula>$X$269</formula>
      <formula>$Y$269</formula>
    </cfRule>
    <cfRule type="cellIs" dxfId="64" priority="179" operator="between">
      <formula>$X$269</formula>
      <formula>$Y$269</formula>
    </cfRule>
  </conditionalFormatting>
  <conditionalFormatting sqref="V270">
    <cfRule type="cellIs" dxfId="63" priority="92" operator="notBetween">
      <formula>$X$270</formula>
      <formula>$Y$270</formula>
    </cfRule>
    <cfRule type="cellIs" dxfId="62" priority="178" operator="between">
      <formula>$X$270</formula>
      <formula>$Y$270</formula>
    </cfRule>
  </conditionalFormatting>
  <conditionalFormatting sqref="V271">
    <cfRule type="cellIs" dxfId="61" priority="91" operator="notBetween">
      <formula>$X$271</formula>
      <formula>$Y$271</formula>
    </cfRule>
    <cfRule type="cellIs" dxfId="60" priority="177" operator="between">
      <formula>$X$271</formula>
      <formula>$Y$271</formula>
    </cfRule>
  </conditionalFormatting>
  <conditionalFormatting sqref="V272">
    <cfRule type="cellIs" dxfId="59" priority="90" operator="notBetween">
      <formula>$X$272</formula>
      <formula>$Y$272</formula>
    </cfRule>
    <cfRule type="cellIs" dxfId="58" priority="176" operator="between">
      <formula>$X$272</formula>
      <formula>$Y$272</formula>
    </cfRule>
  </conditionalFormatting>
  <conditionalFormatting sqref="V523">
    <cfRule type="cellIs" dxfId="57" priority="43" operator="lessThan">
      <formula>4</formula>
    </cfRule>
    <cfRule type="cellIs" dxfId="56" priority="44" operator="greaterThanOrEqual">
      <formula>4</formula>
    </cfRule>
  </conditionalFormatting>
  <conditionalFormatting sqref="V524:V525">
    <cfRule type="cellIs" dxfId="55" priority="41" operator="lessThan">
      <formula>3</formula>
    </cfRule>
    <cfRule type="cellIs" dxfId="54" priority="42" operator="greaterThanOrEqual">
      <formula>3</formula>
    </cfRule>
  </conditionalFormatting>
  <conditionalFormatting sqref="V537">
    <cfRule type="cellIs" dxfId="53" priority="140" operator="lessThan">
      <formula>-0.15</formula>
    </cfRule>
    <cfRule type="cellIs" dxfId="52" priority="141" operator="greaterThan">
      <formula>0.15</formula>
    </cfRule>
    <cfRule type="cellIs" dxfId="51" priority="142" operator="between">
      <formula>0.15</formula>
      <formula>-0.15</formula>
    </cfRule>
  </conditionalFormatting>
  <conditionalFormatting sqref="V519:Y525">
    <cfRule type="expression" dxfId="50" priority="34">
      <formula>$O$35=2</formula>
    </cfRule>
  </conditionalFormatting>
  <conditionalFormatting sqref="W236:W243">
    <cfRule type="cellIs" dxfId="49" priority="185" operator="lessThan">
      <formula>0.1</formula>
    </cfRule>
    <cfRule type="cellIs" dxfId="48" priority="186" operator="greaterThan">
      <formula>0.1</formula>
    </cfRule>
  </conditionalFormatting>
  <conditionalFormatting sqref="W251:W257">
    <cfRule type="cellIs" dxfId="47" priority="183" operator="lessThan">
      <formula>0.1</formula>
    </cfRule>
    <cfRule type="cellIs" dxfId="46" priority="184" operator="greaterThan">
      <formula>0.1</formula>
    </cfRule>
  </conditionalFormatting>
  <conditionalFormatting sqref="W258 W244">
    <cfRule type="cellIs" dxfId="45" priority="74" operator="equal">
      <formula>"Fail"</formula>
    </cfRule>
    <cfRule type="cellIs" dxfId="44" priority="75" operator="equal">
      <formula>"Pass"</formula>
    </cfRule>
  </conditionalFormatting>
  <conditionalFormatting sqref="W281:W287">
    <cfRule type="cellIs" dxfId="43" priority="65" operator="lessThan">
      <formula>0.1</formula>
    </cfRule>
    <cfRule type="cellIs" dxfId="42" priority="66" operator="greaterThan">
      <formula>0.1</formula>
    </cfRule>
  </conditionalFormatting>
  <conditionalFormatting sqref="W288">
    <cfRule type="cellIs" dxfId="41" priority="61" operator="equal">
      <formula>"Fail"</formula>
    </cfRule>
    <cfRule type="cellIs" dxfId="40" priority="62" operator="equal">
      <formula>"Pass"</formula>
    </cfRule>
  </conditionalFormatting>
  <conditionalFormatting sqref="W462">
    <cfRule type="cellIs" dxfId="39" priority="168" operator="lessThan">
      <formula>0.1</formula>
    </cfRule>
    <cfRule type="cellIs" dxfId="38" priority="169" operator="greaterThan">
      <formula>0.1</formula>
    </cfRule>
  </conditionalFormatting>
  <conditionalFormatting sqref="W536:W537">
    <cfRule type="cellIs" dxfId="37" priority="70" operator="equal">
      <formula>"Fail"</formula>
    </cfRule>
    <cfRule type="cellIs" dxfId="36" priority="71" operator="equal">
      <formula>"Pass"</formula>
    </cfRule>
  </conditionalFormatting>
  <conditionalFormatting sqref="X302">
    <cfRule type="cellIs" dxfId="35" priority="109" operator="lessThan">
      <formula>0.15</formula>
    </cfRule>
    <cfRule type="cellIs" dxfId="34" priority="174" operator="greaterThan">
      <formula>0.15</formula>
    </cfRule>
  </conditionalFormatting>
  <conditionalFormatting sqref="X312 X332 X344 X297">
    <cfRule type="cellIs" dxfId="33" priority="175" operator="greaterThan">
      <formula>3</formula>
    </cfRule>
  </conditionalFormatting>
  <conditionalFormatting sqref="X312 X332 X344 X349 X297">
    <cfRule type="cellIs" dxfId="32" priority="110" operator="lessThan">
      <formula>3</formula>
    </cfRule>
  </conditionalFormatting>
  <conditionalFormatting sqref="X317">
    <cfRule type="cellIs" dxfId="31" priority="101" operator="lessThan">
      <formula>0.15</formula>
    </cfRule>
    <cfRule type="cellIs" dxfId="30" priority="102" operator="greaterThan">
      <formula>0.15</formula>
    </cfRule>
  </conditionalFormatting>
  <conditionalFormatting sqref="X336">
    <cfRule type="cellIs" dxfId="29" priority="99" operator="lessThan">
      <formula>0.15</formula>
    </cfRule>
    <cfRule type="cellIs" dxfId="28" priority="100" operator="greaterThan">
      <formula>0.15</formula>
    </cfRule>
  </conditionalFormatting>
  <conditionalFormatting sqref="X348">
    <cfRule type="cellIs" dxfId="27" priority="97" operator="lessThan">
      <formula>0.15</formula>
    </cfRule>
    <cfRule type="cellIs" dxfId="26" priority="98" operator="greaterThan">
      <formula>0.15</formula>
    </cfRule>
  </conditionalFormatting>
  <conditionalFormatting sqref="X349">
    <cfRule type="cellIs" dxfId="25" priority="173" operator="greaterThan">
      <formula>3</formula>
    </cfRule>
  </conditionalFormatting>
  <conditionalFormatting sqref="X358">
    <cfRule type="cellIs" dxfId="24" priority="11" operator="lessThan">
      <formula>3</formula>
    </cfRule>
    <cfRule type="cellIs" dxfId="23" priority="12" operator="greaterThan">
      <formula>3</formula>
    </cfRule>
  </conditionalFormatting>
  <conditionalFormatting sqref="X363">
    <cfRule type="cellIs" dxfId="22" priority="9" operator="lessThan">
      <formula>0.15</formula>
    </cfRule>
    <cfRule type="cellIs" dxfId="21" priority="10" operator="greaterThan">
      <formula>0.15</formula>
    </cfRule>
  </conditionalFormatting>
  <conditionalFormatting sqref="X373">
    <cfRule type="cellIs" dxfId="20" priority="52" operator="lessThan">
      <formula>3</formula>
    </cfRule>
    <cfRule type="cellIs" dxfId="19" priority="54" operator="greaterThan">
      <formula>3</formula>
    </cfRule>
  </conditionalFormatting>
  <conditionalFormatting sqref="X378">
    <cfRule type="cellIs" dxfId="18" priority="51" operator="lessThan">
      <formula>0.15</formula>
    </cfRule>
    <cfRule type="cellIs" dxfId="17" priority="53" operator="greaterThan">
      <formula>0.15</formula>
    </cfRule>
  </conditionalFormatting>
  <conditionalFormatting sqref="X385">
    <cfRule type="expression" dxfId="16" priority="28">
      <formula>$O$33=2</formula>
    </cfRule>
  </conditionalFormatting>
  <conditionalFormatting sqref="X388">
    <cfRule type="cellIs" dxfId="15" priority="48" operator="lessThan">
      <formula>3</formula>
    </cfRule>
    <cfRule type="cellIs" dxfId="14" priority="50" operator="greaterThan">
      <formula>3</formula>
    </cfRule>
  </conditionalFormatting>
  <conditionalFormatting sqref="X393">
    <cfRule type="cellIs" dxfId="13" priority="47" operator="lessThan">
      <formula>0.15</formula>
    </cfRule>
    <cfRule type="cellIs" dxfId="12" priority="49" operator="greaterThan">
      <formula>0.15</formula>
    </cfRule>
  </conditionalFormatting>
  <conditionalFormatting sqref="X523">
    <cfRule type="cellIs" dxfId="11" priority="39" operator="lessThan">
      <formula>4</formula>
    </cfRule>
    <cfRule type="cellIs" dxfId="10" priority="40" operator="greaterThanOrEqual">
      <formula>4</formula>
    </cfRule>
  </conditionalFormatting>
  <conditionalFormatting sqref="X524:X525">
    <cfRule type="cellIs" dxfId="9" priority="37" operator="lessThan">
      <formula>3</formula>
    </cfRule>
    <cfRule type="cellIs" dxfId="8" priority="38" operator="greaterThanOrEqual">
      <formula>3</formula>
    </cfRule>
  </conditionalFormatting>
  <conditionalFormatting sqref="Y169">
    <cfRule type="cellIs" dxfId="7" priority="78" operator="equal">
      <formula>"Fail"</formula>
    </cfRule>
    <cfRule type="cellIs" dxfId="6" priority="79" operator="equal">
      <formula>"Pass"</formula>
    </cfRule>
  </conditionalFormatting>
  <pageMargins left="0.7" right="0.7" top="0.75" bottom="0.75" header="0.3" footer="0.3"/>
  <pageSetup scale="62" orientation="portrait" horizontalDpi="1200" verticalDpi="1200" r:id="rId2"/>
  <rowBreaks count="6" manualBreakCount="6">
    <brk id="68" min="1" max="12" man="1"/>
    <brk id="136" min="1" max="12" man="1"/>
    <brk id="204" min="1" max="12" man="1"/>
    <brk id="272" min="1" max="12" man="1"/>
    <brk id="340" min="1" max="12" man="1"/>
    <brk id="408" min="1"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5"/>
  <sheetViews>
    <sheetView workbookViewId="0"/>
  </sheetViews>
  <sheetFormatPr defaultRowHeight="15.6"/>
  <sheetData>
    <row r="1" spans="1:13">
      <c r="A1" s="562" t="s">
        <v>799</v>
      </c>
      <c r="M1" s="562" t="s">
        <v>799</v>
      </c>
    </row>
    <row r="3" spans="1:13">
      <c r="A3" s="563" t="s">
        <v>800</v>
      </c>
      <c r="B3" s="563" t="s">
        <v>801</v>
      </c>
      <c r="C3" s="563" t="s">
        <v>390</v>
      </c>
      <c r="D3" s="563" t="s">
        <v>233</v>
      </c>
      <c r="E3" s="563" t="s">
        <v>802</v>
      </c>
      <c r="F3" s="563" t="s">
        <v>803</v>
      </c>
      <c r="G3" s="563" t="s">
        <v>804</v>
      </c>
      <c r="H3" s="563" t="s">
        <v>805</v>
      </c>
      <c r="I3" s="563" t="s">
        <v>806</v>
      </c>
      <c r="J3" s="563" t="s">
        <v>807</v>
      </c>
      <c r="K3" s="563" t="s">
        <v>808</v>
      </c>
      <c r="M3" s="563" t="s">
        <v>814</v>
      </c>
    </row>
    <row r="4" spans="1:13">
      <c r="A4">
        <v>24</v>
      </c>
      <c r="B4">
        <v>50</v>
      </c>
      <c r="C4" t="s">
        <v>786</v>
      </c>
      <c r="D4" t="s">
        <v>585</v>
      </c>
      <c r="E4" t="s">
        <v>809</v>
      </c>
    </row>
    <row r="5" spans="1:13">
      <c r="A5">
        <v>25</v>
      </c>
      <c r="B5">
        <v>50</v>
      </c>
      <c r="C5" t="s">
        <v>786</v>
      </c>
      <c r="D5" t="s">
        <v>585</v>
      </c>
      <c r="E5" t="s">
        <v>809</v>
      </c>
    </row>
    <row r="6" spans="1:13">
      <c r="A6">
        <v>26</v>
      </c>
      <c r="B6">
        <v>50</v>
      </c>
      <c r="C6" t="s">
        <v>786</v>
      </c>
      <c r="D6" t="s">
        <v>585</v>
      </c>
      <c r="E6" t="s">
        <v>809</v>
      </c>
    </row>
    <row r="7" spans="1:13">
      <c r="A7">
        <v>28</v>
      </c>
      <c r="B7">
        <v>20</v>
      </c>
      <c r="C7" t="s">
        <v>786</v>
      </c>
      <c r="D7" t="s">
        <v>585</v>
      </c>
      <c r="E7" t="s">
        <v>809</v>
      </c>
    </row>
    <row r="8" spans="1:13">
      <c r="A8">
        <v>28</v>
      </c>
      <c r="B8">
        <v>50</v>
      </c>
      <c r="C8" t="s">
        <v>786</v>
      </c>
      <c r="D8" t="s">
        <v>585</v>
      </c>
      <c r="E8" t="s">
        <v>809</v>
      </c>
    </row>
    <row r="9" spans="1:13">
      <c r="A9">
        <v>28</v>
      </c>
      <c r="B9">
        <v>50</v>
      </c>
      <c r="C9" t="s">
        <v>786</v>
      </c>
      <c r="D9" t="s">
        <v>585</v>
      </c>
      <c r="E9" t="s">
        <v>809</v>
      </c>
    </row>
    <row r="10" spans="1:13">
      <c r="A10">
        <v>28</v>
      </c>
      <c r="B10">
        <v>50</v>
      </c>
      <c r="C10" t="s">
        <v>786</v>
      </c>
      <c r="D10" t="s">
        <v>585</v>
      </c>
      <c r="E10" t="s">
        <v>809</v>
      </c>
    </row>
    <row r="11" spans="1:13">
      <c r="A11">
        <v>28</v>
      </c>
      <c r="B11">
        <v>50</v>
      </c>
      <c r="C11" t="s">
        <v>786</v>
      </c>
      <c r="D11" t="s">
        <v>585</v>
      </c>
      <c r="E11" t="s">
        <v>809</v>
      </c>
    </row>
    <row r="12" spans="1:13">
      <c r="A12">
        <v>28</v>
      </c>
      <c r="B12">
        <v>100</v>
      </c>
      <c r="C12" t="s">
        <v>786</v>
      </c>
      <c r="D12" t="s">
        <v>585</v>
      </c>
      <c r="E12" t="s">
        <v>809</v>
      </c>
    </row>
    <row r="13" spans="1:13">
      <c r="A13">
        <v>28</v>
      </c>
      <c r="B13">
        <v>300</v>
      </c>
      <c r="C13" t="s">
        <v>786</v>
      </c>
      <c r="D13" t="s">
        <v>585</v>
      </c>
      <c r="E13" t="s">
        <v>809</v>
      </c>
    </row>
    <row r="14" spans="1:13">
      <c r="A14">
        <v>28</v>
      </c>
      <c r="B14">
        <v>400</v>
      </c>
      <c r="C14" t="s">
        <v>786</v>
      </c>
      <c r="D14" t="s">
        <v>585</v>
      </c>
      <c r="E14" t="s">
        <v>809</v>
      </c>
    </row>
    <row r="15" spans="1:13">
      <c r="A15">
        <v>30</v>
      </c>
      <c r="B15">
        <v>50</v>
      </c>
      <c r="C15" t="s">
        <v>786</v>
      </c>
      <c r="D15" t="s">
        <v>585</v>
      </c>
      <c r="E15" t="s">
        <v>809</v>
      </c>
    </row>
    <row r="16" spans="1:13">
      <c r="A16">
        <v>32</v>
      </c>
      <c r="B16">
        <v>50</v>
      </c>
      <c r="C16" t="s">
        <v>786</v>
      </c>
      <c r="D16" t="s">
        <v>585</v>
      </c>
      <c r="E16" t="s">
        <v>809</v>
      </c>
    </row>
    <row r="17" spans="1:5">
      <c r="A17">
        <v>34</v>
      </c>
      <c r="B17">
        <v>50</v>
      </c>
      <c r="C17" t="s">
        <v>786</v>
      </c>
      <c r="D17" t="s">
        <v>585</v>
      </c>
      <c r="E17" t="s">
        <v>809</v>
      </c>
    </row>
    <row r="18" spans="1:5">
      <c r="A18">
        <v>36</v>
      </c>
      <c r="B18">
        <v>50</v>
      </c>
      <c r="C18" t="s">
        <v>786</v>
      </c>
      <c r="D18" t="s">
        <v>585</v>
      </c>
      <c r="E18" t="s">
        <v>809</v>
      </c>
    </row>
    <row r="19" spans="1:5">
      <c r="A19">
        <v>38</v>
      </c>
      <c r="B19">
        <v>50</v>
      </c>
      <c r="C19" t="s">
        <v>786</v>
      </c>
      <c r="D19" t="s">
        <v>585</v>
      </c>
      <c r="E19" t="s">
        <v>809</v>
      </c>
    </row>
    <row r="20" spans="1:5">
      <c r="A20">
        <v>28</v>
      </c>
      <c r="B20">
        <v>50</v>
      </c>
      <c r="C20" t="s">
        <v>786</v>
      </c>
      <c r="D20" t="s">
        <v>788</v>
      </c>
      <c r="E20" t="s">
        <v>810</v>
      </c>
    </row>
    <row r="21" spans="1:5">
      <c r="A21">
        <v>30</v>
      </c>
      <c r="B21">
        <v>50</v>
      </c>
      <c r="C21" t="s">
        <v>786</v>
      </c>
      <c r="D21" t="s">
        <v>788</v>
      </c>
      <c r="E21" t="s">
        <v>810</v>
      </c>
    </row>
    <row r="22" spans="1:5">
      <c r="A22">
        <v>32</v>
      </c>
      <c r="B22">
        <v>50</v>
      </c>
      <c r="C22" t="s">
        <v>786</v>
      </c>
      <c r="D22" t="s">
        <v>788</v>
      </c>
      <c r="E22" t="s">
        <v>810</v>
      </c>
    </row>
    <row r="23" spans="1:5">
      <c r="A23">
        <v>34</v>
      </c>
      <c r="B23">
        <v>50</v>
      </c>
      <c r="C23" t="s">
        <v>786</v>
      </c>
      <c r="D23" t="s">
        <v>788</v>
      </c>
      <c r="E23" t="s">
        <v>810</v>
      </c>
    </row>
    <row r="24" spans="1:5">
      <c r="A24">
        <v>36</v>
      </c>
      <c r="B24">
        <v>50</v>
      </c>
      <c r="C24" t="s">
        <v>786</v>
      </c>
      <c r="D24" t="s">
        <v>788</v>
      </c>
      <c r="E24" t="s">
        <v>810</v>
      </c>
    </row>
    <row r="25" spans="1:5">
      <c r="A25">
        <v>38</v>
      </c>
      <c r="B25">
        <v>50</v>
      </c>
      <c r="C25" t="s">
        <v>786</v>
      </c>
      <c r="D25" t="s">
        <v>788</v>
      </c>
      <c r="E25" t="s">
        <v>810</v>
      </c>
    </row>
    <row r="26" spans="1:5">
      <c r="A26">
        <v>28</v>
      </c>
      <c r="B26">
        <v>50</v>
      </c>
      <c r="C26" t="s">
        <v>786</v>
      </c>
      <c r="D26" t="s">
        <v>791</v>
      </c>
      <c r="E26" t="s">
        <v>811</v>
      </c>
    </row>
    <row r="27" spans="1:5">
      <c r="A27">
        <v>30</v>
      </c>
      <c r="B27">
        <v>50</v>
      </c>
      <c r="C27" t="s">
        <v>786</v>
      </c>
      <c r="D27" t="s">
        <v>791</v>
      </c>
      <c r="E27" t="s">
        <v>811</v>
      </c>
    </row>
    <row r="28" spans="1:5">
      <c r="A28">
        <v>32</v>
      </c>
      <c r="B28">
        <v>50</v>
      </c>
      <c r="C28" t="s">
        <v>786</v>
      </c>
      <c r="D28" t="s">
        <v>791</v>
      </c>
      <c r="E28" t="s">
        <v>811</v>
      </c>
    </row>
    <row r="29" spans="1:5">
      <c r="A29">
        <v>34</v>
      </c>
      <c r="B29">
        <v>50</v>
      </c>
      <c r="C29" t="s">
        <v>786</v>
      </c>
      <c r="D29" t="s">
        <v>791</v>
      </c>
      <c r="E29" t="s">
        <v>811</v>
      </c>
    </row>
    <row r="30" spans="1:5">
      <c r="A30">
        <v>36</v>
      </c>
      <c r="B30">
        <v>50</v>
      </c>
      <c r="C30" t="s">
        <v>786</v>
      </c>
      <c r="D30" t="s">
        <v>791</v>
      </c>
      <c r="E30" t="s">
        <v>811</v>
      </c>
    </row>
    <row r="31" spans="1:5">
      <c r="A31">
        <v>38</v>
      </c>
      <c r="B31">
        <v>50</v>
      </c>
      <c r="C31" t="s">
        <v>786</v>
      </c>
      <c r="D31" t="s">
        <v>791</v>
      </c>
      <c r="E31" t="s">
        <v>811</v>
      </c>
    </row>
    <row r="32" spans="1:5">
      <c r="A32">
        <v>45</v>
      </c>
      <c r="B32">
        <v>50</v>
      </c>
      <c r="C32" t="s">
        <v>786</v>
      </c>
      <c r="D32" t="s">
        <v>585</v>
      </c>
      <c r="E32" t="s">
        <v>809</v>
      </c>
    </row>
    <row r="33" spans="1:5">
      <c r="A33">
        <v>45</v>
      </c>
      <c r="B33">
        <v>50</v>
      </c>
      <c r="C33" t="s">
        <v>786</v>
      </c>
      <c r="D33" t="s">
        <v>789</v>
      </c>
      <c r="E33" t="s">
        <v>812</v>
      </c>
    </row>
    <row r="34" spans="1:5">
      <c r="A34">
        <v>49</v>
      </c>
      <c r="B34">
        <v>50</v>
      </c>
      <c r="C34" t="s">
        <v>786</v>
      </c>
      <c r="D34" t="s">
        <v>585</v>
      </c>
      <c r="E34" t="s">
        <v>809</v>
      </c>
    </row>
    <row r="35" spans="1:5">
      <c r="A35">
        <v>49</v>
      </c>
      <c r="B35">
        <v>50</v>
      </c>
      <c r="C35" t="s">
        <v>786</v>
      </c>
      <c r="D35" t="s">
        <v>789</v>
      </c>
      <c r="E35" t="s">
        <v>812</v>
      </c>
    </row>
  </sheetData>
  <customSheetViews>
    <customSheetView guid="{667C12D2-B688-4218-94B0-4FC6FD6E224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235"/>
  <sheetViews>
    <sheetView workbookViewId="0"/>
  </sheetViews>
  <sheetFormatPr defaultColWidth="9" defaultRowHeight="15.6"/>
  <cols>
    <col min="1" max="16384" width="9" style="117"/>
  </cols>
  <sheetData>
    <row r="1" spans="1:30">
      <c r="A1" s="117" t="s">
        <v>562</v>
      </c>
      <c r="K1" s="117" t="s">
        <v>563</v>
      </c>
      <c r="U1" s="117" t="s">
        <v>564</v>
      </c>
    </row>
    <row r="2" spans="1:30" ht="16.2" thickBot="1">
      <c r="B2" s="661" t="s">
        <v>48</v>
      </c>
      <c r="C2" s="661"/>
      <c r="D2" s="661"/>
      <c r="E2" s="661"/>
      <c r="F2" s="661"/>
      <c r="G2" s="661"/>
      <c r="H2" s="661"/>
      <c r="I2" s="661"/>
      <c r="J2" s="661"/>
      <c r="L2" s="661" t="s">
        <v>48</v>
      </c>
      <c r="M2" s="661"/>
      <c r="N2" s="661"/>
      <c r="O2" s="661"/>
      <c r="P2" s="661"/>
      <c r="Q2" s="661"/>
      <c r="R2" s="661"/>
      <c r="S2" s="661"/>
      <c r="T2" s="661"/>
      <c r="V2" s="661" t="s">
        <v>48</v>
      </c>
      <c r="W2" s="661"/>
      <c r="X2" s="661"/>
      <c r="Y2" s="661"/>
      <c r="Z2" s="661"/>
      <c r="AA2" s="661"/>
      <c r="AB2" s="661"/>
      <c r="AC2" s="661"/>
      <c r="AD2" s="661"/>
    </row>
    <row r="3" spans="1:30" ht="16.2" thickTop="1">
      <c r="A3" s="544" t="s">
        <v>334</v>
      </c>
      <c r="B3" s="545">
        <v>23</v>
      </c>
      <c r="C3" s="545">
        <v>24</v>
      </c>
      <c r="D3" s="545">
        <v>25</v>
      </c>
      <c r="E3" s="545">
        <v>26</v>
      </c>
      <c r="F3" s="545">
        <v>27</v>
      </c>
      <c r="G3" s="545">
        <v>28</v>
      </c>
      <c r="H3" s="545">
        <v>29</v>
      </c>
      <c r="I3" s="545">
        <v>30</v>
      </c>
      <c r="J3" s="546">
        <v>31</v>
      </c>
      <c r="K3" s="544" t="s">
        <v>334</v>
      </c>
      <c r="L3" s="545">
        <v>23</v>
      </c>
      <c r="M3" s="545">
        <v>24</v>
      </c>
      <c r="N3" s="545">
        <v>25</v>
      </c>
      <c r="O3" s="545">
        <v>26</v>
      </c>
      <c r="P3" s="545">
        <v>27</v>
      </c>
      <c r="Q3" s="545">
        <v>28</v>
      </c>
      <c r="R3" s="545">
        <v>29</v>
      </c>
      <c r="S3" s="545">
        <v>30</v>
      </c>
      <c r="T3" s="546">
        <v>31</v>
      </c>
      <c r="U3" s="544" t="s">
        <v>334</v>
      </c>
      <c r="V3" s="545">
        <v>23</v>
      </c>
      <c r="W3" s="545">
        <v>24</v>
      </c>
      <c r="X3" s="545">
        <v>25</v>
      </c>
      <c r="Y3" s="545">
        <v>26</v>
      </c>
      <c r="Z3" s="545">
        <v>27</v>
      </c>
      <c r="AA3" s="545">
        <v>28</v>
      </c>
      <c r="AB3" s="545">
        <v>29</v>
      </c>
      <c r="AC3" s="545">
        <v>30</v>
      </c>
      <c r="AD3" s="546">
        <v>31</v>
      </c>
    </row>
    <row r="4" spans="1:30">
      <c r="A4" s="547">
        <v>0.23</v>
      </c>
      <c r="B4" s="260">
        <v>116</v>
      </c>
      <c r="C4" s="260"/>
      <c r="D4" s="260"/>
      <c r="E4" s="260"/>
      <c r="F4" s="260"/>
      <c r="G4" s="260"/>
      <c r="H4" s="260"/>
      <c r="I4" s="260"/>
      <c r="J4" s="548"/>
      <c r="K4" s="547">
        <v>0.23</v>
      </c>
      <c r="L4" s="260"/>
      <c r="M4" s="260"/>
      <c r="N4" s="260"/>
      <c r="O4" s="260"/>
      <c r="P4" s="260"/>
      <c r="Q4" s="260"/>
      <c r="R4" s="260"/>
      <c r="S4" s="260"/>
      <c r="T4" s="548"/>
      <c r="U4" s="547">
        <v>0.23</v>
      </c>
      <c r="V4" s="260"/>
      <c r="W4" s="260"/>
      <c r="X4" s="260"/>
      <c r="Y4" s="260"/>
      <c r="Z4" s="260"/>
      <c r="AA4" s="260"/>
      <c r="AB4" s="260"/>
      <c r="AC4" s="260"/>
      <c r="AD4" s="548"/>
    </row>
    <row r="5" spans="1:30">
      <c r="A5" s="547">
        <v>0.24</v>
      </c>
      <c r="B5" s="260">
        <v>121</v>
      </c>
      <c r="C5" s="260">
        <v>124</v>
      </c>
      <c r="D5" s="260"/>
      <c r="E5" s="260"/>
      <c r="F5" s="260"/>
      <c r="G5" s="260"/>
      <c r="H5" s="260"/>
      <c r="I5" s="260"/>
      <c r="J5" s="548"/>
      <c r="K5" s="547">
        <v>0.24</v>
      </c>
      <c r="L5" s="260"/>
      <c r="M5" s="260"/>
      <c r="N5" s="260"/>
      <c r="O5" s="260"/>
      <c r="P5" s="260"/>
      <c r="Q5" s="260"/>
      <c r="R5" s="260"/>
      <c r="S5" s="260"/>
      <c r="T5" s="548"/>
      <c r="U5" s="547">
        <v>0.24</v>
      </c>
      <c r="V5" s="260"/>
      <c r="W5" s="260"/>
      <c r="X5" s="260"/>
      <c r="Y5" s="260"/>
      <c r="Z5" s="260"/>
      <c r="AA5" s="260"/>
      <c r="AB5" s="260"/>
      <c r="AC5" s="260"/>
      <c r="AD5" s="548"/>
    </row>
    <row r="6" spans="1:30">
      <c r="A6" s="547">
        <v>0.25</v>
      </c>
      <c r="B6" s="260">
        <v>126</v>
      </c>
      <c r="C6" s="260">
        <v>129</v>
      </c>
      <c r="D6" s="260">
        <v>131</v>
      </c>
      <c r="E6" s="260"/>
      <c r="F6" s="260"/>
      <c r="G6" s="260"/>
      <c r="H6" s="260"/>
      <c r="I6" s="260"/>
      <c r="J6" s="548"/>
      <c r="K6" s="547">
        <v>0.25</v>
      </c>
      <c r="L6" s="260"/>
      <c r="M6" s="260"/>
      <c r="N6" s="260"/>
      <c r="O6" s="260"/>
      <c r="P6" s="260"/>
      <c r="Q6" s="260"/>
      <c r="R6" s="260"/>
      <c r="S6" s="260"/>
      <c r="T6" s="548"/>
      <c r="U6" s="547">
        <v>0.25</v>
      </c>
      <c r="V6" s="260"/>
      <c r="W6" s="260"/>
      <c r="X6" s="260"/>
      <c r="Y6" s="260"/>
      <c r="Z6" s="260"/>
      <c r="AA6" s="260"/>
      <c r="AB6" s="260"/>
      <c r="AC6" s="260"/>
      <c r="AD6" s="548"/>
    </row>
    <row r="7" spans="1:30">
      <c r="A7" s="547">
        <v>0.26</v>
      </c>
      <c r="B7" s="260">
        <v>130</v>
      </c>
      <c r="C7" s="260">
        <v>133</v>
      </c>
      <c r="D7" s="260">
        <v>135</v>
      </c>
      <c r="E7" s="260">
        <v>138</v>
      </c>
      <c r="F7" s="260"/>
      <c r="G7" s="260"/>
      <c r="H7" s="260"/>
      <c r="I7" s="260"/>
      <c r="J7" s="548"/>
      <c r="K7" s="547">
        <v>0.26</v>
      </c>
      <c r="L7" s="260"/>
      <c r="M7" s="260"/>
      <c r="N7" s="260"/>
      <c r="O7" s="260"/>
      <c r="P7" s="260"/>
      <c r="Q7" s="260"/>
      <c r="R7" s="260"/>
      <c r="S7" s="260"/>
      <c r="T7" s="548"/>
      <c r="U7" s="547">
        <v>0.26</v>
      </c>
      <c r="V7" s="260"/>
      <c r="W7" s="260"/>
      <c r="X7" s="260"/>
      <c r="Y7" s="260"/>
      <c r="Z7" s="260"/>
      <c r="AA7" s="260"/>
      <c r="AB7" s="260"/>
      <c r="AC7" s="260"/>
      <c r="AD7" s="548"/>
    </row>
    <row r="8" spans="1:30">
      <c r="A8" s="547">
        <v>0.27</v>
      </c>
      <c r="B8" s="260">
        <v>135</v>
      </c>
      <c r="C8" s="260">
        <v>138</v>
      </c>
      <c r="D8" s="260">
        <v>140</v>
      </c>
      <c r="E8" s="260">
        <v>142</v>
      </c>
      <c r="F8" s="260">
        <v>143</v>
      </c>
      <c r="G8" s="260"/>
      <c r="H8" s="260"/>
      <c r="I8" s="260"/>
      <c r="J8" s="548"/>
      <c r="K8" s="547">
        <v>0.27</v>
      </c>
      <c r="L8" s="260"/>
      <c r="M8" s="260"/>
      <c r="N8" s="260"/>
      <c r="O8" s="260"/>
      <c r="P8" s="260"/>
      <c r="Q8" s="260"/>
      <c r="R8" s="260"/>
      <c r="S8" s="260"/>
      <c r="T8" s="548"/>
      <c r="U8" s="547">
        <v>0.27</v>
      </c>
      <c r="V8" s="260"/>
      <c r="W8" s="260"/>
      <c r="X8" s="260"/>
      <c r="Y8" s="260"/>
      <c r="Z8" s="260"/>
      <c r="AA8" s="260"/>
      <c r="AB8" s="260"/>
      <c r="AC8" s="260"/>
      <c r="AD8" s="548"/>
    </row>
    <row r="9" spans="1:30">
      <c r="A9" s="547">
        <v>0.28000000000000003</v>
      </c>
      <c r="B9" s="260">
        <v>140</v>
      </c>
      <c r="C9" s="260">
        <v>142</v>
      </c>
      <c r="D9" s="260">
        <v>144</v>
      </c>
      <c r="E9" s="260">
        <v>146</v>
      </c>
      <c r="F9" s="260">
        <v>147</v>
      </c>
      <c r="G9" s="260">
        <v>149</v>
      </c>
      <c r="H9" s="260"/>
      <c r="I9" s="260"/>
      <c r="J9" s="548"/>
      <c r="K9" s="547">
        <v>0.28000000000000003</v>
      </c>
      <c r="L9" s="260"/>
      <c r="M9" s="260"/>
      <c r="N9" s="260">
        <v>149</v>
      </c>
      <c r="O9" s="260">
        <v>151</v>
      </c>
      <c r="P9" s="260">
        <v>154</v>
      </c>
      <c r="Q9" s="260"/>
      <c r="R9" s="260"/>
      <c r="S9" s="260"/>
      <c r="T9" s="548"/>
      <c r="U9" s="547">
        <v>0.28000000000000003</v>
      </c>
      <c r="V9" s="260"/>
      <c r="W9" s="260"/>
      <c r="X9" s="260">
        <v>150</v>
      </c>
      <c r="Y9" s="260">
        <v>155</v>
      </c>
      <c r="Z9" s="260">
        <v>159</v>
      </c>
      <c r="AA9" s="260"/>
      <c r="AB9" s="260"/>
      <c r="AC9" s="260"/>
      <c r="AD9" s="548"/>
    </row>
    <row r="10" spans="1:30">
      <c r="A10" s="547">
        <v>0.28999999999999998</v>
      </c>
      <c r="B10" s="260">
        <v>144</v>
      </c>
      <c r="C10" s="260">
        <v>146</v>
      </c>
      <c r="D10" s="260">
        <v>148</v>
      </c>
      <c r="E10" s="260">
        <v>150</v>
      </c>
      <c r="F10" s="260">
        <v>151</v>
      </c>
      <c r="G10" s="260">
        <v>153</v>
      </c>
      <c r="H10" s="260">
        <v>154</v>
      </c>
      <c r="I10" s="260"/>
      <c r="J10" s="548"/>
      <c r="K10" s="547">
        <v>0.28999999999999998</v>
      </c>
      <c r="L10" s="260"/>
      <c r="M10" s="260"/>
      <c r="N10" s="260">
        <v>154</v>
      </c>
      <c r="O10" s="260">
        <v>156</v>
      </c>
      <c r="P10" s="260">
        <v>158</v>
      </c>
      <c r="Q10" s="260">
        <v>159</v>
      </c>
      <c r="R10" s="260"/>
      <c r="S10" s="260"/>
      <c r="T10" s="548"/>
      <c r="U10" s="547">
        <v>0.28999999999999998</v>
      </c>
      <c r="V10" s="260"/>
      <c r="W10" s="260"/>
      <c r="X10" s="260">
        <v>155</v>
      </c>
      <c r="Y10" s="260">
        <v>160</v>
      </c>
      <c r="Z10" s="260">
        <v>164</v>
      </c>
      <c r="AA10" s="260">
        <v>168</v>
      </c>
      <c r="AB10" s="260"/>
      <c r="AC10" s="260"/>
      <c r="AD10" s="548"/>
    </row>
    <row r="11" spans="1:30">
      <c r="A11" s="547">
        <v>0.3</v>
      </c>
      <c r="B11" s="260">
        <v>149</v>
      </c>
      <c r="C11" s="260">
        <v>151</v>
      </c>
      <c r="D11" s="260">
        <v>153</v>
      </c>
      <c r="E11" s="260">
        <v>155</v>
      </c>
      <c r="F11" s="260">
        <v>156</v>
      </c>
      <c r="G11" s="260">
        <v>157</v>
      </c>
      <c r="H11" s="260">
        <v>158</v>
      </c>
      <c r="I11" s="260">
        <v>159</v>
      </c>
      <c r="J11" s="548"/>
      <c r="K11" s="547">
        <v>0.3</v>
      </c>
      <c r="L11" s="260"/>
      <c r="M11" s="260"/>
      <c r="N11" s="260">
        <v>158</v>
      </c>
      <c r="O11" s="260">
        <v>160</v>
      </c>
      <c r="P11" s="260">
        <v>162</v>
      </c>
      <c r="Q11" s="260">
        <v>162</v>
      </c>
      <c r="R11" s="260">
        <v>163</v>
      </c>
      <c r="S11" s="260"/>
      <c r="T11" s="548"/>
      <c r="U11" s="547">
        <v>0.3</v>
      </c>
      <c r="V11" s="260"/>
      <c r="W11" s="260"/>
      <c r="X11" s="260">
        <v>160</v>
      </c>
      <c r="Y11" s="260">
        <v>164</v>
      </c>
      <c r="Z11" s="260">
        <v>168</v>
      </c>
      <c r="AA11" s="260">
        <v>172</v>
      </c>
      <c r="AB11" s="260">
        <v>176</v>
      </c>
      <c r="AC11" s="260"/>
      <c r="AD11" s="548"/>
    </row>
    <row r="12" spans="1:30">
      <c r="A12" s="547">
        <v>0.31</v>
      </c>
      <c r="B12" s="260">
        <v>154</v>
      </c>
      <c r="C12" s="260">
        <v>156</v>
      </c>
      <c r="D12" s="260">
        <v>157</v>
      </c>
      <c r="E12" s="260">
        <v>159</v>
      </c>
      <c r="F12" s="260">
        <v>160</v>
      </c>
      <c r="G12" s="260">
        <v>161</v>
      </c>
      <c r="H12" s="260">
        <v>162</v>
      </c>
      <c r="I12" s="260">
        <v>163</v>
      </c>
      <c r="J12" s="548">
        <v>164</v>
      </c>
      <c r="K12" s="547">
        <v>0.31</v>
      </c>
      <c r="L12" s="260"/>
      <c r="M12" s="260"/>
      <c r="N12" s="260">
        <v>163</v>
      </c>
      <c r="O12" s="260">
        <v>164</v>
      </c>
      <c r="P12" s="260">
        <v>166</v>
      </c>
      <c r="Q12" s="260">
        <v>166</v>
      </c>
      <c r="R12" s="260">
        <v>167</v>
      </c>
      <c r="S12" s="260">
        <v>167</v>
      </c>
      <c r="T12" s="548"/>
      <c r="U12" s="547">
        <v>0.31</v>
      </c>
      <c r="V12" s="260"/>
      <c r="W12" s="260"/>
      <c r="X12" s="260">
        <v>165</v>
      </c>
      <c r="Y12" s="260">
        <v>168</v>
      </c>
      <c r="Z12" s="260">
        <v>172</v>
      </c>
      <c r="AA12" s="260">
        <v>174</v>
      </c>
      <c r="AB12" s="260">
        <v>180</v>
      </c>
      <c r="AC12" s="260">
        <v>182</v>
      </c>
      <c r="AD12" s="548"/>
    </row>
    <row r="13" spans="1:30">
      <c r="A13" s="547">
        <v>0.32</v>
      </c>
      <c r="B13" s="260">
        <v>158</v>
      </c>
      <c r="C13" s="260">
        <v>160</v>
      </c>
      <c r="D13" s="260">
        <v>162</v>
      </c>
      <c r="E13" s="260">
        <v>163</v>
      </c>
      <c r="F13" s="260">
        <v>164</v>
      </c>
      <c r="G13" s="260">
        <v>166</v>
      </c>
      <c r="H13" s="260">
        <v>167</v>
      </c>
      <c r="I13" s="260">
        <v>168</v>
      </c>
      <c r="J13" s="548">
        <v>168</v>
      </c>
      <c r="K13" s="547">
        <v>0.32</v>
      </c>
      <c r="L13" s="260"/>
      <c r="M13" s="260"/>
      <c r="N13" s="260">
        <v>167</v>
      </c>
      <c r="O13" s="260">
        <v>169</v>
      </c>
      <c r="P13" s="260">
        <v>171</v>
      </c>
      <c r="Q13" s="260">
        <v>171</v>
      </c>
      <c r="R13" s="260">
        <v>171</v>
      </c>
      <c r="S13" s="260">
        <v>172</v>
      </c>
      <c r="T13" s="548">
        <v>172</v>
      </c>
      <c r="U13" s="547">
        <v>0.32</v>
      </c>
      <c r="V13" s="260"/>
      <c r="W13" s="260"/>
      <c r="X13" s="260">
        <v>169</v>
      </c>
      <c r="Y13" s="260">
        <v>173</v>
      </c>
      <c r="Z13" s="260">
        <v>177</v>
      </c>
      <c r="AA13" s="260">
        <v>181</v>
      </c>
      <c r="AB13" s="260">
        <v>184</v>
      </c>
      <c r="AC13" s="260">
        <v>186</v>
      </c>
      <c r="AD13" s="548">
        <v>188</v>
      </c>
    </row>
    <row r="14" spans="1:30">
      <c r="A14" s="547">
        <v>0.33</v>
      </c>
      <c r="B14" s="260">
        <v>163</v>
      </c>
      <c r="C14" s="260">
        <v>165</v>
      </c>
      <c r="D14" s="260">
        <v>166</v>
      </c>
      <c r="E14" s="260">
        <v>168</v>
      </c>
      <c r="F14" s="260">
        <v>169</v>
      </c>
      <c r="G14" s="260">
        <v>170</v>
      </c>
      <c r="H14" s="260">
        <v>171</v>
      </c>
      <c r="I14" s="260">
        <v>173</v>
      </c>
      <c r="J14" s="548">
        <v>173</v>
      </c>
      <c r="K14" s="547">
        <v>0.33</v>
      </c>
      <c r="L14" s="260"/>
      <c r="M14" s="260"/>
      <c r="N14" s="260">
        <v>171</v>
      </c>
      <c r="O14" s="260">
        <v>173</v>
      </c>
      <c r="P14" s="260">
        <v>175</v>
      </c>
      <c r="Q14" s="260">
        <v>176</v>
      </c>
      <c r="R14" s="260">
        <v>176</v>
      </c>
      <c r="S14" s="260">
        <v>176</v>
      </c>
      <c r="T14" s="548">
        <v>176</v>
      </c>
      <c r="U14" s="547">
        <v>0.33</v>
      </c>
      <c r="V14" s="260"/>
      <c r="W14" s="260"/>
      <c r="X14" s="260">
        <v>174</v>
      </c>
      <c r="Y14" s="260">
        <v>178</v>
      </c>
      <c r="Z14" s="260">
        <v>181</v>
      </c>
      <c r="AA14" s="260">
        <v>185</v>
      </c>
      <c r="AB14" s="260">
        <v>188</v>
      </c>
      <c r="AC14" s="260">
        <v>190</v>
      </c>
      <c r="AD14" s="548">
        <v>192</v>
      </c>
    </row>
    <row r="15" spans="1:30">
      <c r="A15" s="547">
        <v>0.34</v>
      </c>
      <c r="B15" s="260">
        <v>168</v>
      </c>
      <c r="C15" s="260">
        <v>170</v>
      </c>
      <c r="D15" s="260">
        <v>171</v>
      </c>
      <c r="E15" s="260">
        <v>172</v>
      </c>
      <c r="F15" s="260">
        <v>173</v>
      </c>
      <c r="G15" s="260">
        <v>174</v>
      </c>
      <c r="H15" s="260">
        <v>175</v>
      </c>
      <c r="I15" s="260">
        <v>176</v>
      </c>
      <c r="J15" s="548">
        <v>177</v>
      </c>
      <c r="K15" s="547">
        <v>0.34</v>
      </c>
      <c r="L15" s="260"/>
      <c r="M15" s="260"/>
      <c r="N15" s="260">
        <v>176</v>
      </c>
      <c r="O15" s="260">
        <v>178</v>
      </c>
      <c r="P15" s="260">
        <v>179</v>
      </c>
      <c r="Q15" s="260">
        <v>179</v>
      </c>
      <c r="R15" s="260">
        <v>180</v>
      </c>
      <c r="S15" s="260">
        <v>180</v>
      </c>
      <c r="T15" s="548">
        <v>180</v>
      </c>
      <c r="U15" s="547">
        <v>0.34</v>
      </c>
      <c r="V15" s="260"/>
      <c r="W15" s="260"/>
      <c r="X15" s="260">
        <v>179</v>
      </c>
      <c r="Y15" s="260">
        <v>183</v>
      </c>
      <c r="Z15" s="260">
        <v>186</v>
      </c>
      <c r="AA15" s="260">
        <v>190</v>
      </c>
      <c r="AB15" s="260">
        <v>193</v>
      </c>
      <c r="AC15" s="260">
        <v>195</v>
      </c>
      <c r="AD15" s="548">
        <v>196</v>
      </c>
    </row>
    <row r="16" spans="1:30">
      <c r="A16" s="547">
        <v>0.35</v>
      </c>
      <c r="B16" s="260"/>
      <c r="C16" s="260">
        <v>174</v>
      </c>
      <c r="D16" s="260">
        <v>175</v>
      </c>
      <c r="E16" s="260">
        <v>176</v>
      </c>
      <c r="F16" s="260">
        <v>177</v>
      </c>
      <c r="G16" s="260">
        <v>178</v>
      </c>
      <c r="H16" s="260">
        <v>179</v>
      </c>
      <c r="I16" s="260">
        <v>180</v>
      </c>
      <c r="J16" s="548">
        <v>181</v>
      </c>
      <c r="K16" s="547">
        <v>0.35</v>
      </c>
      <c r="L16" s="260"/>
      <c r="M16" s="260"/>
      <c r="N16" s="260">
        <v>180</v>
      </c>
      <c r="O16" s="260">
        <v>181</v>
      </c>
      <c r="P16" s="260">
        <v>183</v>
      </c>
      <c r="Q16" s="260">
        <v>183</v>
      </c>
      <c r="R16" s="260">
        <v>184</v>
      </c>
      <c r="S16" s="260">
        <v>185</v>
      </c>
      <c r="T16" s="548">
        <v>185</v>
      </c>
      <c r="U16" s="547">
        <v>0.35</v>
      </c>
      <c r="V16" s="260"/>
      <c r="W16" s="260"/>
      <c r="X16" s="260">
        <v>184</v>
      </c>
      <c r="Y16" s="260">
        <v>187</v>
      </c>
      <c r="Z16" s="260">
        <v>190</v>
      </c>
      <c r="AA16" s="260">
        <v>194</v>
      </c>
      <c r="AB16" s="260">
        <v>197</v>
      </c>
      <c r="AC16" s="260">
        <v>199</v>
      </c>
      <c r="AD16" s="548">
        <v>201</v>
      </c>
    </row>
    <row r="17" spans="1:30">
      <c r="A17" s="547">
        <v>0.36</v>
      </c>
      <c r="B17" s="260"/>
      <c r="C17" s="260"/>
      <c r="D17" s="260">
        <v>179</v>
      </c>
      <c r="E17" s="260">
        <v>181</v>
      </c>
      <c r="F17" s="260">
        <v>182</v>
      </c>
      <c r="G17" s="260">
        <v>183</v>
      </c>
      <c r="H17" s="260">
        <v>184</v>
      </c>
      <c r="I17" s="260">
        <v>185</v>
      </c>
      <c r="J17" s="548">
        <v>185</v>
      </c>
      <c r="K17" s="547">
        <v>0.36</v>
      </c>
      <c r="L17" s="260"/>
      <c r="M17" s="260"/>
      <c r="N17" s="260">
        <v>185</v>
      </c>
      <c r="O17" s="260">
        <v>186</v>
      </c>
      <c r="P17" s="260">
        <v>187</v>
      </c>
      <c r="Q17" s="260">
        <v>187</v>
      </c>
      <c r="R17" s="260">
        <v>188</v>
      </c>
      <c r="S17" s="260">
        <v>188</v>
      </c>
      <c r="T17" s="548">
        <v>189</v>
      </c>
      <c r="U17" s="547">
        <v>0.36</v>
      </c>
      <c r="V17" s="260"/>
      <c r="W17" s="260"/>
      <c r="X17" s="260">
        <v>189</v>
      </c>
      <c r="Y17" s="260">
        <v>192</v>
      </c>
      <c r="Z17" s="260">
        <v>195</v>
      </c>
      <c r="AA17" s="260">
        <v>198</v>
      </c>
      <c r="AB17" s="260">
        <v>201</v>
      </c>
      <c r="AC17" s="260">
        <v>204</v>
      </c>
      <c r="AD17" s="548">
        <v>205</v>
      </c>
    </row>
    <row r="18" spans="1:30">
      <c r="A18" s="547">
        <v>0.37</v>
      </c>
      <c r="B18" s="260"/>
      <c r="C18" s="260"/>
      <c r="D18" s="260"/>
      <c r="E18" s="260">
        <v>185</v>
      </c>
      <c r="F18" s="260">
        <v>186</v>
      </c>
      <c r="G18" s="260">
        <v>187</v>
      </c>
      <c r="H18" s="260">
        <v>188</v>
      </c>
      <c r="I18" s="260">
        <v>189</v>
      </c>
      <c r="J18" s="548">
        <v>190</v>
      </c>
      <c r="K18" s="547">
        <v>0.37</v>
      </c>
      <c r="L18" s="260"/>
      <c r="M18" s="260"/>
      <c r="N18" s="260">
        <v>189</v>
      </c>
      <c r="O18" s="260">
        <v>190</v>
      </c>
      <c r="P18" s="260">
        <v>191</v>
      </c>
      <c r="Q18" s="260">
        <v>191</v>
      </c>
      <c r="R18" s="260">
        <v>192</v>
      </c>
      <c r="S18" s="260">
        <v>193</v>
      </c>
      <c r="T18" s="548">
        <v>193</v>
      </c>
      <c r="U18" s="547">
        <v>0.37</v>
      </c>
      <c r="V18" s="260"/>
      <c r="W18" s="260"/>
      <c r="X18" s="260">
        <v>193</v>
      </c>
      <c r="Y18" s="260">
        <v>196</v>
      </c>
      <c r="Z18" s="260">
        <v>199</v>
      </c>
      <c r="AA18" s="260">
        <v>202</v>
      </c>
      <c r="AB18" s="260">
        <v>205</v>
      </c>
      <c r="AC18" s="260">
        <v>207</v>
      </c>
      <c r="AD18" s="548">
        <v>209</v>
      </c>
    </row>
    <row r="19" spans="1:30">
      <c r="A19" s="547">
        <v>0.38</v>
      </c>
      <c r="B19" s="260"/>
      <c r="C19" s="260"/>
      <c r="D19" s="260"/>
      <c r="E19" s="260"/>
      <c r="F19" s="260">
        <v>190</v>
      </c>
      <c r="G19" s="260">
        <v>191</v>
      </c>
      <c r="H19" s="260">
        <v>192</v>
      </c>
      <c r="I19" s="260">
        <v>193</v>
      </c>
      <c r="J19" s="548">
        <v>194</v>
      </c>
      <c r="K19" s="547">
        <v>0.38</v>
      </c>
      <c r="L19" s="260"/>
      <c r="M19" s="260"/>
      <c r="N19" s="260">
        <v>193</v>
      </c>
      <c r="O19" s="260">
        <v>194</v>
      </c>
      <c r="P19" s="260">
        <v>196</v>
      </c>
      <c r="Q19" s="260">
        <v>196</v>
      </c>
      <c r="R19" s="260">
        <v>197</v>
      </c>
      <c r="S19" s="260">
        <v>197</v>
      </c>
      <c r="T19" s="548">
        <v>197</v>
      </c>
      <c r="U19" s="547">
        <v>0.38</v>
      </c>
      <c r="V19" s="260"/>
      <c r="W19" s="260"/>
      <c r="X19" s="260">
        <v>198</v>
      </c>
      <c r="Y19" s="260">
        <v>201</v>
      </c>
      <c r="Z19" s="260">
        <v>204</v>
      </c>
      <c r="AA19" s="260">
        <v>207</v>
      </c>
      <c r="AB19" s="260">
        <v>209</v>
      </c>
      <c r="AC19" s="260">
        <v>211</v>
      </c>
      <c r="AD19" s="548">
        <v>213</v>
      </c>
    </row>
    <row r="20" spans="1:30">
      <c r="A20" s="547">
        <v>0.39</v>
      </c>
      <c r="B20" s="260"/>
      <c r="C20" s="260"/>
      <c r="D20" s="260"/>
      <c r="E20" s="260"/>
      <c r="F20" s="260"/>
      <c r="G20" s="260">
        <v>196</v>
      </c>
      <c r="H20" s="260">
        <v>197</v>
      </c>
      <c r="I20" s="260">
        <v>198</v>
      </c>
      <c r="J20" s="548">
        <v>198</v>
      </c>
      <c r="K20" s="547">
        <v>0.39</v>
      </c>
      <c r="L20" s="260"/>
      <c r="M20" s="260"/>
      <c r="N20" s="260">
        <v>198</v>
      </c>
      <c r="O20" s="260">
        <v>199</v>
      </c>
      <c r="P20" s="260">
        <v>200</v>
      </c>
      <c r="Q20" s="260">
        <v>200</v>
      </c>
      <c r="R20" s="260">
        <v>201</v>
      </c>
      <c r="S20" s="260">
        <v>201</v>
      </c>
      <c r="T20" s="548">
        <v>202</v>
      </c>
      <c r="U20" s="547">
        <v>0.39</v>
      </c>
      <c r="V20" s="260"/>
      <c r="W20" s="260"/>
      <c r="X20" s="260">
        <v>203</v>
      </c>
      <c r="Y20" s="260">
        <v>206</v>
      </c>
      <c r="Z20" s="260">
        <v>208</v>
      </c>
      <c r="AA20" s="260">
        <v>211</v>
      </c>
      <c r="AB20" s="260">
        <v>214</v>
      </c>
      <c r="AC20" s="260">
        <v>216</v>
      </c>
      <c r="AD20" s="548">
        <v>217</v>
      </c>
    </row>
    <row r="21" spans="1:30">
      <c r="A21" s="547">
        <v>0.4</v>
      </c>
      <c r="B21" s="260"/>
      <c r="C21" s="260"/>
      <c r="D21" s="260"/>
      <c r="E21" s="260"/>
      <c r="F21" s="260"/>
      <c r="G21" s="260"/>
      <c r="H21" s="260">
        <v>201</v>
      </c>
      <c r="I21" s="260">
        <v>202</v>
      </c>
      <c r="J21" s="548">
        <v>203</v>
      </c>
      <c r="K21" s="547">
        <v>0.4</v>
      </c>
      <c r="L21" s="260"/>
      <c r="M21" s="260"/>
      <c r="N21" s="260">
        <v>202</v>
      </c>
      <c r="O21" s="260">
        <v>203</v>
      </c>
      <c r="P21" s="260">
        <v>204</v>
      </c>
      <c r="Q21" s="260">
        <v>204</v>
      </c>
      <c r="R21" s="260">
        <v>205</v>
      </c>
      <c r="S21" s="260">
        <v>205</v>
      </c>
      <c r="T21" s="548">
        <v>206</v>
      </c>
      <c r="U21" s="547">
        <v>0.4</v>
      </c>
      <c r="V21" s="260"/>
      <c r="W21" s="260"/>
      <c r="X21" s="260">
        <v>208</v>
      </c>
      <c r="Y21" s="260">
        <v>211</v>
      </c>
      <c r="Z21" s="260">
        <v>213</v>
      </c>
      <c r="AA21" s="260">
        <v>216</v>
      </c>
      <c r="AB21" s="260">
        <v>218</v>
      </c>
      <c r="AC21" s="260">
        <v>220</v>
      </c>
      <c r="AD21" s="548">
        <v>221</v>
      </c>
    </row>
    <row r="22" spans="1:30">
      <c r="A22" s="547">
        <v>0.41</v>
      </c>
      <c r="B22" s="260"/>
      <c r="C22" s="260"/>
      <c r="D22" s="260"/>
      <c r="E22" s="260"/>
      <c r="F22" s="260"/>
      <c r="G22" s="260"/>
      <c r="H22" s="260"/>
      <c r="I22" s="260">
        <v>206</v>
      </c>
      <c r="J22" s="548">
        <v>207</v>
      </c>
      <c r="K22" s="547">
        <v>0.41</v>
      </c>
      <c r="L22" s="260"/>
      <c r="M22" s="260"/>
      <c r="N22" s="260">
        <v>206</v>
      </c>
      <c r="O22" s="260">
        <v>207</v>
      </c>
      <c r="P22" s="260">
        <v>208</v>
      </c>
      <c r="Q22" s="260">
        <v>208</v>
      </c>
      <c r="R22" s="260">
        <v>209</v>
      </c>
      <c r="S22" s="260">
        <v>209</v>
      </c>
      <c r="T22" s="548">
        <v>210</v>
      </c>
      <c r="U22" s="547">
        <v>0.41</v>
      </c>
      <c r="V22" s="260"/>
      <c r="W22" s="260"/>
      <c r="X22" s="260">
        <v>213</v>
      </c>
      <c r="Y22" s="260">
        <v>215</v>
      </c>
      <c r="Z22" s="260">
        <v>217</v>
      </c>
      <c r="AA22" s="260">
        <v>220</v>
      </c>
      <c r="AB22" s="260">
        <v>222</v>
      </c>
      <c r="AC22" s="260">
        <v>224</v>
      </c>
      <c r="AD22" s="548">
        <v>225</v>
      </c>
    </row>
    <row r="23" spans="1:30" ht="16.2" thickBot="1">
      <c r="A23" s="549">
        <v>0.42</v>
      </c>
      <c r="B23" s="550"/>
      <c r="C23" s="550"/>
      <c r="D23" s="550"/>
      <c r="E23" s="550"/>
      <c r="F23" s="550"/>
      <c r="G23" s="550"/>
      <c r="H23" s="550"/>
      <c r="I23" s="550"/>
      <c r="J23" s="551">
        <v>211</v>
      </c>
      <c r="K23" s="549">
        <v>0.42</v>
      </c>
      <c r="L23" s="550"/>
      <c r="M23" s="550"/>
      <c r="N23" s="550">
        <v>211</v>
      </c>
      <c r="O23" s="550">
        <v>211</v>
      </c>
      <c r="P23" s="550">
        <v>212</v>
      </c>
      <c r="Q23" s="550">
        <v>212</v>
      </c>
      <c r="R23" s="550">
        <v>213</v>
      </c>
      <c r="S23" s="550">
        <v>213</v>
      </c>
      <c r="T23" s="551">
        <v>214</v>
      </c>
      <c r="U23" s="549">
        <v>0.42</v>
      </c>
      <c r="V23" s="550"/>
      <c r="W23" s="550"/>
      <c r="X23" s="550">
        <v>218</v>
      </c>
      <c r="Y23" s="550">
        <v>220</v>
      </c>
      <c r="Z23" s="550">
        <v>222</v>
      </c>
      <c r="AA23" s="550">
        <v>224</v>
      </c>
      <c r="AB23" s="550">
        <v>226</v>
      </c>
      <c r="AC23" s="550">
        <v>228</v>
      </c>
      <c r="AD23" s="551">
        <v>229</v>
      </c>
    </row>
    <row r="24" spans="1:30" ht="16.2" thickTop="1"/>
    <row r="25" spans="1:30" ht="16.2" thickBot="1">
      <c r="A25" s="117" t="s">
        <v>565</v>
      </c>
      <c r="N25" s="117" t="s">
        <v>566</v>
      </c>
    </row>
    <row r="26" spans="1:30" ht="16.2" thickTop="1">
      <c r="A26" s="544"/>
      <c r="B26" s="662" t="s">
        <v>48</v>
      </c>
      <c r="C26" s="662"/>
      <c r="D26" s="662"/>
      <c r="E26" s="662"/>
      <c r="F26" s="662"/>
      <c r="G26" s="662"/>
      <c r="H26" s="662"/>
      <c r="I26" s="662"/>
      <c r="J26" s="662"/>
      <c r="K26" s="662"/>
      <c r="L26" s="662"/>
      <c r="M26" s="663"/>
      <c r="N26" s="544"/>
      <c r="O26" s="662" t="s">
        <v>48</v>
      </c>
      <c r="P26" s="662"/>
      <c r="Q26" s="662"/>
      <c r="R26" s="662"/>
      <c r="S26" s="662"/>
      <c r="T26" s="662"/>
      <c r="U26" s="662"/>
      <c r="V26" s="662"/>
      <c r="W26" s="662"/>
      <c r="X26" s="662"/>
      <c r="Y26" s="662"/>
      <c r="Z26" s="662"/>
      <c r="AA26" s="663"/>
    </row>
    <row r="27" spans="1:30">
      <c r="A27" s="547" t="s">
        <v>334</v>
      </c>
      <c r="B27" s="260">
        <v>22</v>
      </c>
      <c r="C27" s="260">
        <v>23</v>
      </c>
      <c r="D27" s="260">
        <v>24</v>
      </c>
      <c r="E27" s="260">
        <v>25</v>
      </c>
      <c r="F27" s="260">
        <v>26</v>
      </c>
      <c r="G27" s="260">
        <v>27</v>
      </c>
      <c r="H27" s="260">
        <v>28</v>
      </c>
      <c r="I27" s="260">
        <v>29</v>
      </c>
      <c r="J27" s="260">
        <v>30</v>
      </c>
      <c r="K27" s="260">
        <v>31</v>
      </c>
      <c r="L27" s="260">
        <v>32</v>
      </c>
      <c r="M27" s="548">
        <v>33</v>
      </c>
      <c r="N27" s="547" t="s">
        <v>334</v>
      </c>
      <c r="O27" s="260">
        <v>27</v>
      </c>
      <c r="P27" s="260">
        <v>28</v>
      </c>
      <c r="Q27" s="260">
        <v>29</v>
      </c>
      <c r="R27" s="260">
        <v>30</v>
      </c>
      <c r="S27" s="260">
        <v>31</v>
      </c>
      <c r="T27" s="260">
        <v>32</v>
      </c>
      <c r="U27" s="260">
        <v>33</v>
      </c>
      <c r="V27" s="260">
        <v>34</v>
      </c>
      <c r="W27" s="260">
        <v>35</v>
      </c>
      <c r="X27" s="260">
        <v>36</v>
      </c>
      <c r="Y27" s="260">
        <v>37</v>
      </c>
      <c r="Z27" s="260">
        <v>38</v>
      </c>
      <c r="AA27" s="548">
        <v>39</v>
      </c>
    </row>
    <row r="28" spans="1:30">
      <c r="A28" s="547">
        <v>0.3</v>
      </c>
      <c r="B28" s="260">
        <v>152</v>
      </c>
      <c r="C28" s="260">
        <v>157</v>
      </c>
      <c r="D28" s="260">
        <v>163</v>
      </c>
      <c r="E28" s="260">
        <v>166</v>
      </c>
      <c r="F28" s="260">
        <v>170</v>
      </c>
      <c r="G28" s="260">
        <v>173</v>
      </c>
      <c r="H28" s="260">
        <v>175</v>
      </c>
      <c r="I28" s="260">
        <v>177</v>
      </c>
      <c r="J28" s="260">
        <v>179</v>
      </c>
      <c r="K28" s="260">
        <v>182</v>
      </c>
      <c r="L28" s="260">
        <v>184</v>
      </c>
      <c r="M28" s="548">
        <v>187</v>
      </c>
      <c r="N28" s="547">
        <v>0.4</v>
      </c>
      <c r="O28" s="260">
        <v>222</v>
      </c>
      <c r="P28" s="260">
        <v>226</v>
      </c>
      <c r="Q28" s="260">
        <v>229</v>
      </c>
      <c r="R28" s="260">
        <v>231</v>
      </c>
      <c r="S28" s="260">
        <v>234</v>
      </c>
      <c r="T28" s="260">
        <v>236</v>
      </c>
      <c r="U28" s="260">
        <v>239</v>
      </c>
      <c r="V28" s="260">
        <v>241</v>
      </c>
      <c r="W28" s="260">
        <v>244</v>
      </c>
      <c r="X28" s="260">
        <v>246</v>
      </c>
      <c r="Y28" s="260">
        <v>248</v>
      </c>
      <c r="Z28" s="260">
        <v>250</v>
      </c>
      <c r="AA28" s="548">
        <v>252</v>
      </c>
    </row>
    <row r="29" spans="1:30">
      <c r="A29" s="547">
        <v>0.32500000000000001</v>
      </c>
      <c r="B29" s="260">
        <v>163</v>
      </c>
      <c r="C29" s="260">
        <v>169</v>
      </c>
      <c r="D29" s="260">
        <v>174</v>
      </c>
      <c r="E29" s="260">
        <v>177</v>
      </c>
      <c r="F29" s="260">
        <v>181</v>
      </c>
      <c r="G29" s="260">
        <v>183</v>
      </c>
      <c r="H29" s="260">
        <v>186</v>
      </c>
      <c r="I29" s="260">
        <v>188</v>
      </c>
      <c r="J29" s="260">
        <v>190</v>
      </c>
      <c r="K29" s="260">
        <v>192</v>
      </c>
      <c r="L29" s="260">
        <v>195</v>
      </c>
      <c r="M29" s="548">
        <v>197</v>
      </c>
      <c r="N29" s="547">
        <v>0.42499999999999999</v>
      </c>
      <c r="O29" s="260">
        <v>233</v>
      </c>
      <c r="P29" s="260">
        <v>236</v>
      </c>
      <c r="Q29" s="260">
        <v>239</v>
      </c>
      <c r="R29" s="260">
        <v>242</v>
      </c>
      <c r="S29" s="260">
        <v>244</v>
      </c>
      <c r="T29" s="260">
        <v>246</v>
      </c>
      <c r="U29" s="260">
        <v>248</v>
      </c>
      <c r="V29" s="260">
        <v>251</v>
      </c>
      <c r="W29" s="260">
        <v>253</v>
      </c>
      <c r="X29" s="260">
        <v>256</v>
      </c>
      <c r="Y29" s="260">
        <v>258</v>
      </c>
      <c r="Z29" s="260">
        <v>260</v>
      </c>
      <c r="AA29" s="548">
        <v>262</v>
      </c>
    </row>
    <row r="30" spans="1:30">
      <c r="A30" s="547">
        <v>0.35</v>
      </c>
      <c r="B30" s="260">
        <v>175</v>
      </c>
      <c r="C30" s="260">
        <v>180</v>
      </c>
      <c r="D30" s="260">
        <v>185</v>
      </c>
      <c r="E30" s="260">
        <v>188</v>
      </c>
      <c r="F30" s="260">
        <v>191</v>
      </c>
      <c r="G30" s="260">
        <v>194</v>
      </c>
      <c r="H30" s="260">
        <v>196</v>
      </c>
      <c r="I30" s="260">
        <v>198</v>
      </c>
      <c r="J30" s="260">
        <v>200</v>
      </c>
      <c r="K30" s="260">
        <v>202</v>
      </c>
      <c r="L30" s="260">
        <v>205</v>
      </c>
      <c r="M30" s="548">
        <v>207</v>
      </c>
      <c r="N30" s="547">
        <v>0.45</v>
      </c>
      <c r="O30" s="260">
        <v>244</v>
      </c>
      <c r="P30" s="260">
        <v>247</v>
      </c>
      <c r="Q30" s="260">
        <v>249</v>
      </c>
      <c r="R30" s="260">
        <v>252</v>
      </c>
      <c r="S30" s="260">
        <v>254</v>
      </c>
      <c r="T30" s="260">
        <v>256</v>
      </c>
      <c r="U30" s="260">
        <v>258</v>
      </c>
      <c r="V30" s="260">
        <v>260</v>
      </c>
      <c r="W30" s="260">
        <v>263</v>
      </c>
      <c r="X30" s="260">
        <v>265</v>
      </c>
      <c r="Y30" s="260">
        <v>267</v>
      </c>
      <c r="Z30" s="260">
        <v>269</v>
      </c>
      <c r="AA30" s="548">
        <v>271</v>
      </c>
    </row>
    <row r="31" spans="1:30">
      <c r="A31" s="547">
        <v>0.375</v>
      </c>
      <c r="B31" s="260">
        <v>186</v>
      </c>
      <c r="C31" s="260">
        <v>191</v>
      </c>
      <c r="D31" s="260">
        <v>196</v>
      </c>
      <c r="E31" s="260">
        <v>199</v>
      </c>
      <c r="F31" s="260">
        <v>202</v>
      </c>
      <c r="G31" s="260">
        <v>205</v>
      </c>
      <c r="H31" s="260">
        <v>207</v>
      </c>
      <c r="I31" s="260">
        <v>209</v>
      </c>
      <c r="J31" s="260">
        <v>211</v>
      </c>
      <c r="K31" s="260">
        <v>213</v>
      </c>
      <c r="L31" s="260">
        <v>215</v>
      </c>
      <c r="M31" s="548">
        <v>218</v>
      </c>
      <c r="N31" s="547">
        <v>0.47499999999999998</v>
      </c>
      <c r="O31" s="260">
        <v>254</v>
      </c>
      <c r="P31" s="260">
        <v>257</v>
      </c>
      <c r="Q31" s="260">
        <v>260</v>
      </c>
      <c r="R31" s="260">
        <v>262</v>
      </c>
      <c r="S31" s="260">
        <v>264</v>
      </c>
      <c r="T31" s="260">
        <v>266</v>
      </c>
      <c r="U31" s="260">
        <v>268</v>
      </c>
      <c r="V31" s="260">
        <v>270</v>
      </c>
      <c r="W31" s="260">
        <v>273</v>
      </c>
      <c r="X31" s="260">
        <v>275</v>
      </c>
      <c r="Y31" s="260">
        <v>277</v>
      </c>
      <c r="Z31" s="260">
        <v>279</v>
      </c>
      <c r="AA31" s="548">
        <v>281</v>
      </c>
    </row>
    <row r="32" spans="1:30">
      <c r="A32" s="547">
        <v>0.4</v>
      </c>
      <c r="B32" s="260">
        <v>198</v>
      </c>
      <c r="C32" s="260">
        <v>203</v>
      </c>
      <c r="D32" s="260">
        <v>207</v>
      </c>
      <c r="E32" s="260">
        <v>210</v>
      </c>
      <c r="F32" s="260">
        <v>213</v>
      </c>
      <c r="G32" s="260">
        <v>215</v>
      </c>
      <c r="H32" s="260">
        <v>217</v>
      </c>
      <c r="I32" s="260">
        <v>219</v>
      </c>
      <c r="J32" s="260">
        <v>221</v>
      </c>
      <c r="K32" s="260">
        <v>223</v>
      </c>
      <c r="L32" s="260">
        <v>226</v>
      </c>
      <c r="M32" s="548">
        <v>228</v>
      </c>
      <c r="N32" s="547">
        <v>0.5</v>
      </c>
      <c r="O32" s="260">
        <v>265</v>
      </c>
      <c r="P32" s="260">
        <v>267</v>
      </c>
      <c r="Q32" s="260">
        <v>270</v>
      </c>
      <c r="R32" s="260">
        <v>272</v>
      </c>
      <c r="S32" s="260">
        <v>274</v>
      </c>
      <c r="T32" s="260">
        <v>276</v>
      </c>
      <c r="U32" s="260">
        <v>278</v>
      </c>
      <c r="V32" s="260">
        <v>280</v>
      </c>
      <c r="W32" s="260">
        <v>282</v>
      </c>
      <c r="X32" s="260">
        <v>284</v>
      </c>
      <c r="Y32" s="260">
        <v>286</v>
      </c>
      <c r="Z32" s="260">
        <v>288</v>
      </c>
      <c r="AA32" s="548">
        <v>290</v>
      </c>
    </row>
    <row r="33" spans="1:27">
      <c r="A33" s="547">
        <v>0.42499999999999999</v>
      </c>
      <c r="B33" s="260">
        <v>209</v>
      </c>
      <c r="C33" s="260">
        <v>214</v>
      </c>
      <c r="D33" s="260">
        <v>218</v>
      </c>
      <c r="E33" s="260">
        <v>221</v>
      </c>
      <c r="F33" s="260">
        <v>224</v>
      </c>
      <c r="G33" s="260">
        <v>226</v>
      </c>
      <c r="H33" s="260">
        <v>228</v>
      </c>
      <c r="I33" s="260">
        <v>230</v>
      </c>
      <c r="J33" s="260">
        <v>232</v>
      </c>
      <c r="K33" s="260">
        <v>234</v>
      </c>
      <c r="L33" s="260">
        <v>236</v>
      </c>
      <c r="M33" s="548">
        <v>238</v>
      </c>
      <c r="N33" s="547">
        <v>0.52500000000000002</v>
      </c>
      <c r="O33" s="260">
        <v>275</v>
      </c>
      <c r="P33" s="260">
        <v>278</v>
      </c>
      <c r="Q33" s="260">
        <v>280</v>
      </c>
      <c r="R33" s="260">
        <v>282</v>
      </c>
      <c r="S33" s="260">
        <v>284</v>
      </c>
      <c r="T33" s="260">
        <v>286</v>
      </c>
      <c r="U33" s="260">
        <v>288</v>
      </c>
      <c r="V33" s="260">
        <v>290</v>
      </c>
      <c r="W33" s="260">
        <v>292</v>
      </c>
      <c r="X33" s="260">
        <v>294</v>
      </c>
      <c r="Y33" s="260">
        <v>296</v>
      </c>
      <c r="Z33" s="260">
        <v>298</v>
      </c>
      <c r="AA33" s="548">
        <v>300</v>
      </c>
    </row>
    <row r="34" spans="1:27">
      <c r="A34" s="547">
        <v>0.45</v>
      </c>
      <c r="B34" s="260">
        <v>221</v>
      </c>
      <c r="C34" s="260">
        <v>226</v>
      </c>
      <c r="D34" s="260">
        <v>230</v>
      </c>
      <c r="E34" s="260">
        <v>232</v>
      </c>
      <c r="F34" s="260">
        <v>235</v>
      </c>
      <c r="G34" s="260">
        <v>237</v>
      </c>
      <c r="H34" s="260">
        <v>238</v>
      </c>
      <c r="I34" s="260">
        <v>240</v>
      </c>
      <c r="J34" s="260">
        <v>242</v>
      </c>
      <c r="K34" s="260">
        <v>244</v>
      </c>
      <c r="L34" s="260">
        <v>246</v>
      </c>
      <c r="M34" s="548">
        <v>248</v>
      </c>
      <c r="N34" s="547">
        <v>0.55000000000000004</v>
      </c>
      <c r="O34" s="260">
        <v>286</v>
      </c>
      <c r="P34" s="260">
        <v>288</v>
      </c>
      <c r="Q34" s="260">
        <v>290</v>
      </c>
      <c r="R34" s="260">
        <v>292</v>
      </c>
      <c r="S34" s="260">
        <v>294</v>
      </c>
      <c r="T34" s="260">
        <v>296</v>
      </c>
      <c r="U34" s="260">
        <v>298</v>
      </c>
      <c r="V34" s="260">
        <v>299</v>
      </c>
      <c r="W34" s="260">
        <v>301</v>
      </c>
      <c r="X34" s="260">
        <v>303</v>
      </c>
      <c r="Y34" s="260">
        <v>305</v>
      </c>
      <c r="Z34" s="260">
        <v>307</v>
      </c>
      <c r="AA34" s="548">
        <v>309</v>
      </c>
    </row>
    <row r="35" spans="1:27">
      <c r="A35" s="547">
        <v>0.47499999999999998</v>
      </c>
      <c r="B35" s="260">
        <v>233</v>
      </c>
      <c r="C35" s="260">
        <v>237</v>
      </c>
      <c r="D35" s="260">
        <v>241</v>
      </c>
      <c r="E35" s="260">
        <v>243</v>
      </c>
      <c r="F35" s="260">
        <v>245</v>
      </c>
      <c r="G35" s="260">
        <v>247</v>
      </c>
      <c r="H35" s="260">
        <v>249</v>
      </c>
      <c r="I35" s="260">
        <v>251</v>
      </c>
      <c r="J35" s="260">
        <v>253</v>
      </c>
      <c r="K35" s="260">
        <v>254</v>
      </c>
      <c r="L35" s="260">
        <v>256</v>
      </c>
      <c r="M35" s="548">
        <v>258</v>
      </c>
      <c r="N35" s="547">
        <v>0.57499999999999996</v>
      </c>
      <c r="O35" s="260">
        <v>296</v>
      </c>
      <c r="P35" s="260">
        <v>298</v>
      </c>
      <c r="Q35" s="260">
        <v>300</v>
      </c>
      <c r="R35" s="260">
        <v>302</v>
      </c>
      <c r="S35" s="260">
        <v>304</v>
      </c>
      <c r="T35" s="260">
        <v>305</v>
      </c>
      <c r="U35" s="260">
        <v>307</v>
      </c>
      <c r="V35" s="260">
        <v>309</v>
      </c>
      <c r="W35" s="260">
        <v>311</v>
      </c>
      <c r="X35" s="260">
        <v>313</v>
      </c>
      <c r="Y35" s="260">
        <v>315</v>
      </c>
      <c r="Z35" s="260">
        <v>317</v>
      </c>
      <c r="AA35" s="548">
        <v>318</v>
      </c>
    </row>
    <row r="36" spans="1:27">
      <c r="A36" s="547">
        <v>0.5</v>
      </c>
      <c r="B36" s="260">
        <v>244</v>
      </c>
      <c r="C36" s="260">
        <v>248</v>
      </c>
      <c r="D36" s="260">
        <v>252</v>
      </c>
      <c r="E36" s="260">
        <v>254</v>
      </c>
      <c r="F36" s="260">
        <v>256</v>
      </c>
      <c r="G36" s="260">
        <v>258</v>
      </c>
      <c r="H36" s="260">
        <v>260</v>
      </c>
      <c r="I36" s="260">
        <v>261</v>
      </c>
      <c r="J36" s="260">
        <v>263</v>
      </c>
      <c r="K36" s="260">
        <v>265</v>
      </c>
      <c r="L36" s="260">
        <v>267</v>
      </c>
      <c r="M36" s="548">
        <v>269</v>
      </c>
      <c r="N36" s="547">
        <v>0.6</v>
      </c>
      <c r="O36" s="260">
        <v>306</v>
      </c>
      <c r="P36" s="260">
        <v>308</v>
      </c>
      <c r="Q36" s="260">
        <v>310</v>
      </c>
      <c r="R36" s="260">
        <v>312</v>
      </c>
      <c r="S36" s="260">
        <v>313</v>
      </c>
      <c r="T36" s="260">
        <v>315</v>
      </c>
      <c r="U36" s="260">
        <v>317</v>
      </c>
      <c r="V36" s="260">
        <v>319</v>
      </c>
      <c r="W36" s="260">
        <v>320</v>
      </c>
      <c r="X36" s="260">
        <v>322</v>
      </c>
      <c r="Y36" s="260">
        <v>324</v>
      </c>
      <c r="Z36" s="260">
        <v>326</v>
      </c>
      <c r="AA36" s="548">
        <v>328</v>
      </c>
    </row>
    <row r="37" spans="1:27">
      <c r="A37" s="547">
        <v>0.52500000000000002</v>
      </c>
      <c r="B37" s="260">
        <v>256</v>
      </c>
      <c r="C37" s="260">
        <v>260</v>
      </c>
      <c r="D37" s="260">
        <v>263</v>
      </c>
      <c r="E37" s="260">
        <v>265</v>
      </c>
      <c r="F37" s="260">
        <v>267</v>
      </c>
      <c r="G37" s="260">
        <v>269</v>
      </c>
      <c r="H37" s="260">
        <v>270</v>
      </c>
      <c r="I37" s="260">
        <v>272</v>
      </c>
      <c r="J37" s="260">
        <v>273</v>
      </c>
      <c r="K37" s="260">
        <v>275</v>
      </c>
      <c r="L37" s="260">
        <v>277</v>
      </c>
      <c r="M37" s="548">
        <v>279</v>
      </c>
      <c r="N37" s="547">
        <v>0.625</v>
      </c>
      <c r="O37" s="260">
        <v>316</v>
      </c>
      <c r="P37" s="260">
        <v>318</v>
      </c>
      <c r="Q37" s="260">
        <v>320</v>
      </c>
      <c r="R37" s="260">
        <v>322</v>
      </c>
      <c r="S37" s="260">
        <v>323</v>
      </c>
      <c r="T37" s="260">
        <v>325</v>
      </c>
      <c r="U37" s="260">
        <v>326</v>
      </c>
      <c r="V37" s="260">
        <v>328</v>
      </c>
      <c r="W37" s="260">
        <v>330</v>
      </c>
      <c r="X37" s="260">
        <v>332</v>
      </c>
      <c r="Y37" s="260">
        <v>333</v>
      </c>
      <c r="Z37" s="260">
        <v>335</v>
      </c>
      <c r="AA37" s="548">
        <v>337</v>
      </c>
    </row>
    <row r="38" spans="1:27">
      <c r="A38" s="547">
        <v>0.55000000000000004</v>
      </c>
      <c r="B38" s="260">
        <v>267</v>
      </c>
      <c r="C38" s="260">
        <v>271</v>
      </c>
      <c r="D38" s="260">
        <v>274</v>
      </c>
      <c r="E38" s="260">
        <v>276</v>
      </c>
      <c r="F38" s="260">
        <v>278</v>
      </c>
      <c r="G38" s="260">
        <v>279</v>
      </c>
      <c r="H38" s="260">
        <v>281</v>
      </c>
      <c r="I38" s="260">
        <v>282</v>
      </c>
      <c r="J38" s="260">
        <v>284</v>
      </c>
      <c r="K38" s="260">
        <v>285</v>
      </c>
      <c r="L38" s="260">
        <v>287</v>
      </c>
      <c r="M38" s="548">
        <v>289</v>
      </c>
      <c r="N38" s="547">
        <v>0.65</v>
      </c>
      <c r="O38" s="260">
        <v>326</v>
      </c>
      <c r="P38" s="260">
        <v>328</v>
      </c>
      <c r="Q38" s="260">
        <v>330</v>
      </c>
      <c r="R38" s="260">
        <v>331</v>
      </c>
      <c r="S38" s="260">
        <v>333</v>
      </c>
      <c r="T38" s="260">
        <v>334</v>
      </c>
      <c r="U38" s="260">
        <v>336</v>
      </c>
      <c r="V38" s="260">
        <v>338</v>
      </c>
      <c r="W38" s="260">
        <v>339</v>
      </c>
      <c r="X38" s="260">
        <v>341</v>
      </c>
      <c r="Y38" s="260">
        <v>343</v>
      </c>
      <c r="Z38" s="260">
        <v>344</v>
      </c>
      <c r="AA38" s="548">
        <v>346</v>
      </c>
    </row>
    <row r="39" spans="1:27">
      <c r="A39" s="547">
        <v>0.57499999999999996</v>
      </c>
      <c r="B39" s="260">
        <v>279</v>
      </c>
      <c r="C39" s="260">
        <v>282</v>
      </c>
      <c r="D39" s="260">
        <v>285</v>
      </c>
      <c r="E39" s="260">
        <v>287</v>
      </c>
      <c r="F39" s="260">
        <v>288</v>
      </c>
      <c r="G39" s="260">
        <v>290</v>
      </c>
      <c r="H39" s="260">
        <v>291</v>
      </c>
      <c r="I39" s="260">
        <v>292</v>
      </c>
      <c r="J39" s="260">
        <v>294</v>
      </c>
      <c r="K39" s="260">
        <v>296</v>
      </c>
      <c r="L39" s="260">
        <v>297</v>
      </c>
      <c r="M39" s="548">
        <v>299</v>
      </c>
      <c r="N39" s="547">
        <v>0.67500000000000004</v>
      </c>
      <c r="O39" s="260">
        <v>336</v>
      </c>
      <c r="P39" s="260">
        <v>338</v>
      </c>
      <c r="Q39" s="260">
        <v>339</v>
      </c>
      <c r="R39" s="260">
        <v>341</v>
      </c>
      <c r="S39" s="260">
        <v>342</v>
      </c>
      <c r="T39" s="260">
        <v>344</v>
      </c>
      <c r="U39" s="260">
        <v>345</v>
      </c>
      <c r="V39" s="260">
        <v>347</v>
      </c>
      <c r="W39" s="260">
        <v>349</v>
      </c>
      <c r="X39" s="260">
        <v>350</v>
      </c>
      <c r="Y39" s="260">
        <v>352</v>
      </c>
      <c r="Z39" s="260">
        <v>354</v>
      </c>
      <c r="AA39" s="548">
        <v>355</v>
      </c>
    </row>
    <row r="40" spans="1:27">
      <c r="A40" s="547">
        <v>0.6</v>
      </c>
      <c r="B40" s="260">
        <v>290</v>
      </c>
      <c r="C40" s="260">
        <v>293</v>
      </c>
      <c r="D40" s="260">
        <v>296</v>
      </c>
      <c r="E40" s="260">
        <v>297</v>
      </c>
      <c r="F40" s="260">
        <v>299</v>
      </c>
      <c r="G40" s="260">
        <v>300</v>
      </c>
      <c r="H40" s="260">
        <v>301</v>
      </c>
      <c r="I40" s="260">
        <v>303</v>
      </c>
      <c r="J40" s="260">
        <v>304</v>
      </c>
      <c r="K40" s="260">
        <v>306</v>
      </c>
      <c r="L40" s="260">
        <v>308</v>
      </c>
      <c r="M40" s="548">
        <v>310</v>
      </c>
      <c r="N40" s="547">
        <v>0.7</v>
      </c>
      <c r="O40" s="260">
        <v>346</v>
      </c>
      <c r="P40" s="260">
        <v>348</v>
      </c>
      <c r="Q40" s="260">
        <v>349</v>
      </c>
      <c r="R40" s="260">
        <v>350</v>
      </c>
      <c r="S40" s="260">
        <v>352</v>
      </c>
      <c r="T40" s="260">
        <v>353</v>
      </c>
      <c r="U40" s="260">
        <v>355</v>
      </c>
      <c r="V40" s="260">
        <v>356</v>
      </c>
      <c r="W40" s="260">
        <v>358</v>
      </c>
      <c r="X40" s="260">
        <v>359</v>
      </c>
      <c r="Y40" s="260">
        <v>361</v>
      </c>
      <c r="Z40" s="260">
        <v>363</v>
      </c>
      <c r="AA40" s="548">
        <v>364</v>
      </c>
    </row>
    <row r="41" spans="1:27">
      <c r="A41" s="547">
        <v>0.625</v>
      </c>
      <c r="B41" s="260">
        <v>301</v>
      </c>
      <c r="C41" s="260">
        <v>304</v>
      </c>
      <c r="D41" s="260">
        <v>306</v>
      </c>
      <c r="E41" s="260">
        <v>308</v>
      </c>
      <c r="F41" s="260">
        <v>309</v>
      </c>
      <c r="G41" s="260">
        <v>310</v>
      </c>
      <c r="H41" s="260">
        <v>312</v>
      </c>
      <c r="I41" s="260">
        <v>313</v>
      </c>
      <c r="J41" s="260">
        <v>315</v>
      </c>
      <c r="K41" s="260">
        <v>316</v>
      </c>
      <c r="L41" s="260">
        <v>318</v>
      </c>
      <c r="M41" s="548">
        <v>320</v>
      </c>
      <c r="N41" s="547">
        <v>0.72499999999999998</v>
      </c>
      <c r="O41" s="260">
        <v>356</v>
      </c>
      <c r="P41" s="260">
        <v>357</v>
      </c>
      <c r="Q41" s="260">
        <v>358</v>
      </c>
      <c r="R41" s="260">
        <v>360</v>
      </c>
      <c r="S41" s="260">
        <v>361</v>
      </c>
      <c r="T41" s="260">
        <v>362</v>
      </c>
      <c r="U41" s="260">
        <v>364</v>
      </c>
      <c r="V41" s="260">
        <v>365</v>
      </c>
      <c r="W41" s="260">
        <v>367</v>
      </c>
      <c r="X41" s="260">
        <v>368</v>
      </c>
      <c r="Y41" s="260">
        <v>370</v>
      </c>
      <c r="Z41" s="260">
        <v>372</v>
      </c>
      <c r="AA41" s="548">
        <v>373</v>
      </c>
    </row>
    <row r="42" spans="1:27">
      <c r="A42" s="547">
        <v>0.65</v>
      </c>
      <c r="B42" s="260">
        <v>312</v>
      </c>
      <c r="C42" s="260">
        <v>314</v>
      </c>
      <c r="D42" s="260">
        <v>317</v>
      </c>
      <c r="E42" s="260">
        <v>318</v>
      </c>
      <c r="F42" s="260">
        <v>320</v>
      </c>
      <c r="G42" s="260">
        <v>321</v>
      </c>
      <c r="H42" s="260">
        <v>322</v>
      </c>
      <c r="I42" s="260">
        <v>323</v>
      </c>
      <c r="J42" s="260">
        <v>325</v>
      </c>
      <c r="K42" s="260">
        <v>326</v>
      </c>
      <c r="L42" s="260">
        <v>328</v>
      </c>
      <c r="M42" s="548">
        <v>330</v>
      </c>
      <c r="N42" s="547">
        <v>0.75</v>
      </c>
      <c r="O42" s="260">
        <v>365</v>
      </c>
      <c r="P42" s="260">
        <v>367</v>
      </c>
      <c r="Q42" s="260">
        <v>368</v>
      </c>
      <c r="R42" s="260">
        <v>369</v>
      </c>
      <c r="S42" s="260">
        <v>370</v>
      </c>
      <c r="T42" s="260">
        <v>372</v>
      </c>
      <c r="U42" s="260">
        <v>373</v>
      </c>
      <c r="V42" s="260">
        <v>375</v>
      </c>
      <c r="W42" s="260">
        <v>376</v>
      </c>
      <c r="X42" s="260">
        <v>378</v>
      </c>
      <c r="Y42" s="260">
        <v>379</v>
      </c>
      <c r="Z42" s="260">
        <v>381</v>
      </c>
      <c r="AA42" s="548">
        <v>382</v>
      </c>
    </row>
    <row r="43" spans="1:27">
      <c r="A43" s="547">
        <v>0.67500000000000004</v>
      </c>
      <c r="B43" s="260">
        <v>322</v>
      </c>
      <c r="C43" s="260">
        <v>325</v>
      </c>
      <c r="D43" s="260">
        <v>327</v>
      </c>
      <c r="E43" s="260">
        <v>328</v>
      </c>
      <c r="F43" s="260">
        <v>330</v>
      </c>
      <c r="G43" s="260">
        <v>331</v>
      </c>
      <c r="H43" s="260">
        <v>333</v>
      </c>
      <c r="I43" s="260">
        <v>333</v>
      </c>
      <c r="J43" s="260">
        <v>335</v>
      </c>
      <c r="K43" s="260">
        <v>336</v>
      </c>
      <c r="L43" s="260">
        <v>338</v>
      </c>
      <c r="M43" s="548">
        <v>340</v>
      </c>
      <c r="N43" s="547">
        <v>0.77500000000000002</v>
      </c>
      <c r="O43" s="260">
        <v>374</v>
      </c>
      <c r="P43" s="260">
        <v>376</v>
      </c>
      <c r="Q43" s="260">
        <v>377</v>
      </c>
      <c r="R43" s="260">
        <v>378</v>
      </c>
      <c r="S43" s="260">
        <v>379</v>
      </c>
      <c r="T43" s="260">
        <v>381</v>
      </c>
      <c r="U43" s="260">
        <v>382</v>
      </c>
      <c r="V43" s="260">
        <v>383</v>
      </c>
      <c r="W43" s="260">
        <v>385</v>
      </c>
      <c r="X43" s="260">
        <v>386</v>
      </c>
      <c r="Y43" s="260">
        <v>388</v>
      </c>
      <c r="Z43" s="260">
        <v>390</v>
      </c>
      <c r="AA43" s="548">
        <v>391</v>
      </c>
    </row>
    <row r="44" spans="1:27">
      <c r="A44" s="547">
        <v>0.7</v>
      </c>
      <c r="B44" s="260">
        <v>333</v>
      </c>
      <c r="C44" s="260">
        <v>335</v>
      </c>
      <c r="D44" s="260">
        <v>337</v>
      </c>
      <c r="E44" s="260">
        <v>339</v>
      </c>
      <c r="F44" s="260">
        <v>340</v>
      </c>
      <c r="G44" s="260">
        <v>341</v>
      </c>
      <c r="H44" s="260">
        <v>342</v>
      </c>
      <c r="I44" s="260">
        <v>343</v>
      </c>
      <c r="J44" s="260">
        <v>345</v>
      </c>
      <c r="K44" s="260">
        <v>346</v>
      </c>
      <c r="L44" s="260">
        <v>348</v>
      </c>
      <c r="M44" s="548">
        <v>350</v>
      </c>
      <c r="N44" s="547">
        <v>0.8</v>
      </c>
      <c r="O44" s="260">
        <v>384</v>
      </c>
      <c r="P44" s="260">
        <v>385</v>
      </c>
      <c r="Q44" s="260">
        <v>386</v>
      </c>
      <c r="R44" s="260">
        <v>387</v>
      </c>
      <c r="S44" s="260">
        <v>388</v>
      </c>
      <c r="T44" s="260">
        <v>390</v>
      </c>
      <c r="U44" s="260">
        <v>391</v>
      </c>
      <c r="V44" s="260">
        <v>392</v>
      </c>
      <c r="W44" s="260">
        <v>394</v>
      </c>
      <c r="X44" s="260">
        <v>395</v>
      </c>
      <c r="Y44" s="260">
        <v>397</v>
      </c>
      <c r="Z44" s="260">
        <v>398</v>
      </c>
      <c r="AA44" s="548">
        <v>400</v>
      </c>
    </row>
    <row r="45" spans="1:27">
      <c r="A45" s="547">
        <v>0.72499999999999998</v>
      </c>
      <c r="B45" s="260">
        <v>342</v>
      </c>
      <c r="C45" s="260">
        <v>345</v>
      </c>
      <c r="D45" s="260">
        <v>347</v>
      </c>
      <c r="E45" s="260">
        <v>348</v>
      </c>
      <c r="F45" s="260">
        <v>349</v>
      </c>
      <c r="G45" s="260">
        <v>351</v>
      </c>
      <c r="H45" s="260">
        <v>352</v>
      </c>
      <c r="I45" s="260">
        <v>353</v>
      </c>
      <c r="J45" s="260">
        <v>354</v>
      </c>
      <c r="K45" s="260">
        <v>356</v>
      </c>
      <c r="L45" s="260">
        <v>358</v>
      </c>
      <c r="M45" s="548">
        <v>360</v>
      </c>
      <c r="N45" s="547">
        <v>0.82499999999999996</v>
      </c>
      <c r="O45" s="260">
        <v>393</v>
      </c>
      <c r="P45" s="260">
        <v>394</v>
      </c>
      <c r="Q45" s="260">
        <v>395</v>
      </c>
      <c r="R45" s="260">
        <v>396</v>
      </c>
      <c r="S45" s="260">
        <v>397</v>
      </c>
      <c r="T45" s="260">
        <v>399</v>
      </c>
      <c r="U45" s="260">
        <v>400</v>
      </c>
      <c r="V45" s="260">
        <v>401</v>
      </c>
      <c r="W45" s="260">
        <v>403</v>
      </c>
      <c r="X45" s="260">
        <v>404</v>
      </c>
      <c r="Y45" s="260">
        <v>406</v>
      </c>
      <c r="Z45" s="260">
        <v>407</v>
      </c>
      <c r="AA45" s="548">
        <v>408</v>
      </c>
    </row>
    <row r="46" spans="1:27">
      <c r="A46" s="547">
        <v>0.75</v>
      </c>
      <c r="B46" s="260">
        <v>352</v>
      </c>
      <c r="C46" s="260">
        <v>355</v>
      </c>
      <c r="D46" s="260">
        <v>357</v>
      </c>
      <c r="E46" s="260">
        <v>358</v>
      </c>
      <c r="F46" s="260">
        <v>359</v>
      </c>
      <c r="G46" s="260">
        <v>360</v>
      </c>
      <c r="H46" s="260">
        <v>361</v>
      </c>
      <c r="I46" s="260">
        <v>363</v>
      </c>
      <c r="J46" s="260">
        <v>364</v>
      </c>
      <c r="K46" s="260">
        <v>366</v>
      </c>
      <c r="L46" s="260">
        <v>368</v>
      </c>
      <c r="M46" s="548">
        <v>369</v>
      </c>
      <c r="N46" s="552">
        <v>0.85</v>
      </c>
      <c r="O46" s="260">
        <v>402</v>
      </c>
      <c r="P46" s="260">
        <v>403</v>
      </c>
      <c r="Q46" s="260">
        <v>404</v>
      </c>
      <c r="R46" s="260">
        <v>405</v>
      </c>
      <c r="S46" s="260">
        <v>406</v>
      </c>
      <c r="T46" s="260">
        <v>407</v>
      </c>
      <c r="U46" s="260">
        <v>409</v>
      </c>
      <c r="V46" s="260">
        <v>410</v>
      </c>
      <c r="W46" s="260">
        <v>411</v>
      </c>
      <c r="X46" s="260">
        <v>413</v>
      </c>
      <c r="Y46" s="260">
        <v>414</v>
      </c>
      <c r="Z46" s="260">
        <v>416</v>
      </c>
      <c r="AA46" s="548">
        <v>417</v>
      </c>
    </row>
    <row r="47" spans="1:27">
      <c r="A47" s="547">
        <v>0.77500000000000002</v>
      </c>
      <c r="B47" s="260">
        <v>361</v>
      </c>
      <c r="C47" s="260">
        <v>365</v>
      </c>
      <c r="D47" s="260">
        <v>367</v>
      </c>
      <c r="E47" s="260">
        <v>368</v>
      </c>
      <c r="F47" s="260">
        <v>369</v>
      </c>
      <c r="G47" s="260">
        <v>370</v>
      </c>
      <c r="H47" s="260">
        <v>371</v>
      </c>
      <c r="I47" s="260">
        <v>372</v>
      </c>
      <c r="J47" s="260">
        <v>374</v>
      </c>
      <c r="K47" s="260">
        <v>375</v>
      </c>
      <c r="L47" s="260">
        <v>377</v>
      </c>
      <c r="M47" s="548">
        <v>379</v>
      </c>
      <c r="N47" s="552">
        <v>0.875</v>
      </c>
      <c r="O47" s="260">
        <v>410</v>
      </c>
      <c r="P47" s="260">
        <v>411</v>
      </c>
      <c r="Q47" s="260">
        <v>412</v>
      </c>
      <c r="R47" s="260">
        <v>413</v>
      </c>
      <c r="S47" s="260">
        <v>415</v>
      </c>
      <c r="T47" s="260">
        <v>416</v>
      </c>
      <c r="U47" s="260">
        <v>417</v>
      </c>
      <c r="V47" s="260">
        <v>418</v>
      </c>
      <c r="W47" s="260">
        <v>420</v>
      </c>
      <c r="X47" s="260">
        <v>421</v>
      </c>
      <c r="Y47" s="260">
        <v>423</v>
      </c>
      <c r="Z47" s="260">
        <v>424</v>
      </c>
      <c r="AA47" s="548">
        <v>425</v>
      </c>
    </row>
    <row r="48" spans="1:27" ht="16.2" thickBot="1">
      <c r="A48" s="549">
        <v>0.8</v>
      </c>
      <c r="B48" s="550">
        <v>369</v>
      </c>
      <c r="C48" s="550">
        <v>374</v>
      </c>
      <c r="D48" s="550">
        <v>376</v>
      </c>
      <c r="E48" s="550">
        <v>377</v>
      </c>
      <c r="F48" s="550">
        <v>378</v>
      </c>
      <c r="G48" s="550">
        <v>379</v>
      </c>
      <c r="H48" s="550">
        <v>380</v>
      </c>
      <c r="I48" s="550">
        <v>382</v>
      </c>
      <c r="J48" s="550">
        <v>383</v>
      </c>
      <c r="K48" s="550">
        <v>385</v>
      </c>
      <c r="L48" s="550">
        <v>387</v>
      </c>
      <c r="M48" s="551">
        <v>389</v>
      </c>
      <c r="N48" s="550">
        <v>0.9</v>
      </c>
      <c r="O48" s="550">
        <v>419</v>
      </c>
      <c r="P48" s="550">
        <v>420</v>
      </c>
      <c r="Q48" s="550">
        <v>421</v>
      </c>
      <c r="R48" s="550">
        <v>422</v>
      </c>
      <c r="S48" s="550">
        <v>423</v>
      </c>
      <c r="T48" s="550">
        <v>424</v>
      </c>
      <c r="U48" s="550">
        <v>425</v>
      </c>
      <c r="V48" s="550">
        <v>427</v>
      </c>
      <c r="W48" s="550">
        <v>428</v>
      </c>
      <c r="X48" s="550">
        <v>429</v>
      </c>
      <c r="Y48" s="550">
        <v>431</v>
      </c>
      <c r="Z48" s="550">
        <v>432</v>
      </c>
      <c r="AA48" s="551">
        <v>434</v>
      </c>
    </row>
    <row r="49" spans="1:26" ht="16.2" thickTop="1"/>
    <row r="50" spans="1:26" ht="16.2" thickBot="1">
      <c r="A50" s="117" t="s">
        <v>567</v>
      </c>
    </row>
    <row r="51" spans="1:26" ht="16.2" thickTop="1">
      <c r="A51" s="544"/>
      <c r="B51" s="662" t="s">
        <v>48</v>
      </c>
      <c r="C51" s="662"/>
      <c r="D51" s="662"/>
      <c r="E51" s="662"/>
      <c r="F51" s="662"/>
      <c r="G51" s="662"/>
      <c r="H51" s="662"/>
      <c r="I51" s="662"/>
      <c r="J51" s="662"/>
      <c r="K51" s="662"/>
      <c r="L51" s="662"/>
      <c r="M51" s="662"/>
      <c r="N51" s="662"/>
      <c r="O51" s="662"/>
      <c r="P51" s="662"/>
      <c r="Q51" s="662"/>
      <c r="R51" s="662"/>
      <c r="S51" s="662"/>
      <c r="T51" s="662"/>
      <c r="U51" s="662"/>
      <c r="V51" s="662"/>
      <c r="W51" s="662"/>
      <c r="X51" s="662"/>
      <c r="Y51" s="662"/>
      <c r="Z51" s="663"/>
    </row>
    <row r="52" spans="1:26">
      <c r="A52" s="547" t="s">
        <v>334</v>
      </c>
      <c r="B52" s="260">
        <v>25</v>
      </c>
      <c r="C52" s="260">
        <v>26</v>
      </c>
      <c r="D52" s="260">
        <v>27</v>
      </c>
      <c r="E52" s="260">
        <v>28</v>
      </c>
      <c r="F52" s="260">
        <v>29</v>
      </c>
      <c r="G52" s="260">
        <v>30</v>
      </c>
      <c r="H52" s="260">
        <v>31</v>
      </c>
      <c r="I52" s="260">
        <v>32</v>
      </c>
      <c r="J52" s="260">
        <v>33</v>
      </c>
      <c r="K52" s="260">
        <v>34</v>
      </c>
      <c r="L52" s="260">
        <v>35</v>
      </c>
      <c r="M52" s="260">
        <v>36</v>
      </c>
      <c r="N52" s="260">
        <v>37</v>
      </c>
      <c r="O52" s="260">
        <v>38</v>
      </c>
      <c r="P52" s="260">
        <v>39</v>
      </c>
      <c r="Q52" s="260">
        <v>40</v>
      </c>
      <c r="R52" s="260">
        <v>41</v>
      </c>
      <c r="S52" s="260">
        <v>42</v>
      </c>
      <c r="T52" s="260">
        <v>43</v>
      </c>
      <c r="U52" s="260">
        <v>44</v>
      </c>
      <c r="V52" s="260">
        <v>45</v>
      </c>
      <c r="W52" s="260">
        <v>46</v>
      </c>
      <c r="X52" s="260">
        <v>47</v>
      </c>
      <c r="Y52" s="260">
        <v>48</v>
      </c>
      <c r="Z52" s="548">
        <v>49</v>
      </c>
    </row>
    <row r="53" spans="1:26">
      <c r="A53" s="547">
        <v>0.2</v>
      </c>
      <c r="B53" s="260">
        <v>120</v>
      </c>
      <c r="C53" s="260">
        <v>125</v>
      </c>
      <c r="D53" s="260">
        <v>133</v>
      </c>
      <c r="E53" s="260">
        <v>138</v>
      </c>
      <c r="F53" s="260">
        <v>143</v>
      </c>
      <c r="G53" s="260">
        <v>148</v>
      </c>
      <c r="H53" s="260">
        <v>156</v>
      </c>
      <c r="I53" s="260">
        <v>160</v>
      </c>
      <c r="J53" s="260">
        <v>165</v>
      </c>
      <c r="K53" s="260">
        <v>169</v>
      </c>
      <c r="L53" s="260">
        <v>177</v>
      </c>
      <c r="M53" s="260">
        <v>181</v>
      </c>
      <c r="N53" s="260">
        <v>185</v>
      </c>
      <c r="O53" s="260">
        <v>188</v>
      </c>
      <c r="P53" s="260">
        <v>195</v>
      </c>
      <c r="Q53" s="260">
        <v>198</v>
      </c>
      <c r="R53" s="260">
        <v>200</v>
      </c>
      <c r="S53" s="260">
        <v>203</v>
      </c>
      <c r="T53" s="260">
        <v>208</v>
      </c>
      <c r="U53" s="260">
        <v>216</v>
      </c>
      <c r="V53" s="260">
        <v>219</v>
      </c>
      <c r="W53" s="260">
        <v>222</v>
      </c>
      <c r="X53" s="260">
        <v>225</v>
      </c>
      <c r="Y53" s="260">
        <v>231</v>
      </c>
      <c r="Z53" s="548">
        <v>234</v>
      </c>
    </row>
    <row r="54" spans="1:26">
      <c r="A54" s="547">
        <v>0.25</v>
      </c>
      <c r="B54" s="260">
        <v>143</v>
      </c>
      <c r="C54" s="260">
        <v>148</v>
      </c>
      <c r="D54" s="260">
        <v>155</v>
      </c>
      <c r="E54" s="260">
        <v>160</v>
      </c>
      <c r="F54" s="260">
        <v>165</v>
      </c>
      <c r="G54" s="260">
        <v>169</v>
      </c>
      <c r="H54" s="260">
        <v>176</v>
      </c>
      <c r="I54" s="260">
        <v>181</v>
      </c>
      <c r="J54" s="260">
        <v>185</v>
      </c>
      <c r="K54" s="260">
        <v>189</v>
      </c>
      <c r="L54" s="260">
        <v>196</v>
      </c>
      <c r="M54" s="260">
        <v>200</v>
      </c>
      <c r="N54" s="260">
        <v>204</v>
      </c>
      <c r="O54" s="260">
        <v>207</v>
      </c>
      <c r="P54" s="260">
        <v>213</v>
      </c>
      <c r="Q54" s="260">
        <v>216</v>
      </c>
      <c r="R54" s="260">
        <v>219</v>
      </c>
      <c r="S54" s="260">
        <v>221</v>
      </c>
      <c r="T54" s="260">
        <v>226</v>
      </c>
      <c r="U54" s="260">
        <v>233</v>
      </c>
      <c r="V54" s="260">
        <v>236</v>
      </c>
      <c r="W54" s="260">
        <v>239</v>
      </c>
      <c r="X54" s="260">
        <v>241</v>
      </c>
      <c r="Y54" s="260">
        <v>247</v>
      </c>
      <c r="Z54" s="548">
        <v>250</v>
      </c>
    </row>
    <row r="55" spans="1:26">
      <c r="A55" s="547">
        <v>0.3</v>
      </c>
      <c r="B55" s="260">
        <v>166</v>
      </c>
      <c r="C55" s="260">
        <v>171</v>
      </c>
      <c r="D55" s="260">
        <v>177</v>
      </c>
      <c r="E55" s="260">
        <v>182</v>
      </c>
      <c r="F55" s="260">
        <v>187</v>
      </c>
      <c r="G55" s="260">
        <v>191</v>
      </c>
      <c r="H55" s="260">
        <v>197</v>
      </c>
      <c r="I55" s="260">
        <v>202</v>
      </c>
      <c r="J55" s="260">
        <v>206</v>
      </c>
      <c r="K55" s="260">
        <v>210</v>
      </c>
      <c r="L55" s="260">
        <v>216</v>
      </c>
      <c r="M55" s="260">
        <v>220</v>
      </c>
      <c r="N55" s="260">
        <v>223</v>
      </c>
      <c r="O55" s="260">
        <v>226</v>
      </c>
      <c r="P55" s="260">
        <v>232</v>
      </c>
      <c r="Q55" s="260">
        <v>235</v>
      </c>
      <c r="R55" s="260">
        <v>237</v>
      </c>
      <c r="S55" s="260">
        <v>239</v>
      </c>
      <c r="T55" s="260">
        <v>244</v>
      </c>
      <c r="U55" s="260">
        <v>250</v>
      </c>
      <c r="V55" s="260">
        <v>253</v>
      </c>
      <c r="W55" s="260">
        <v>256</v>
      </c>
      <c r="X55" s="260">
        <v>258</v>
      </c>
      <c r="Y55" s="260">
        <v>264</v>
      </c>
      <c r="Z55" s="548">
        <v>266</v>
      </c>
    </row>
    <row r="56" spans="1:26">
      <c r="A56" s="547">
        <v>0.35</v>
      </c>
      <c r="B56" s="260">
        <v>189</v>
      </c>
      <c r="C56" s="260">
        <v>195</v>
      </c>
      <c r="D56" s="260">
        <v>200</v>
      </c>
      <c r="E56" s="260">
        <v>204</v>
      </c>
      <c r="F56" s="260">
        <v>209</v>
      </c>
      <c r="G56" s="260">
        <v>213</v>
      </c>
      <c r="H56" s="260">
        <v>218</v>
      </c>
      <c r="I56" s="260">
        <v>222</v>
      </c>
      <c r="J56" s="260">
        <v>226</v>
      </c>
      <c r="K56" s="260">
        <v>230</v>
      </c>
      <c r="L56" s="260">
        <v>236</v>
      </c>
      <c r="M56" s="260">
        <v>239</v>
      </c>
      <c r="N56" s="260">
        <v>243</v>
      </c>
      <c r="O56" s="260">
        <v>246</v>
      </c>
      <c r="P56" s="260">
        <v>250</v>
      </c>
      <c r="Q56" s="260">
        <v>253</v>
      </c>
      <c r="R56" s="260">
        <v>255</v>
      </c>
      <c r="S56" s="260">
        <v>257</v>
      </c>
      <c r="T56" s="260">
        <v>262</v>
      </c>
      <c r="U56" s="260">
        <v>267</v>
      </c>
      <c r="V56" s="260">
        <v>270</v>
      </c>
      <c r="W56" s="260">
        <v>273</v>
      </c>
      <c r="X56" s="260">
        <v>275</v>
      </c>
      <c r="Y56" s="260">
        <v>280</v>
      </c>
      <c r="Z56" s="548">
        <v>282</v>
      </c>
    </row>
    <row r="57" spans="1:26">
      <c r="A57" s="547">
        <v>0.4</v>
      </c>
      <c r="B57" s="260">
        <v>212</v>
      </c>
      <c r="C57" s="260">
        <v>217</v>
      </c>
      <c r="D57" s="260">
        <v>222</v>
      </c>
      <c r="E57" s="260">
        <v>226</v>
      </c>
      <c r="F57" s="260">
        <v>231</v>
      </c>
      <c r="G57" s="260">
        <v>235</v>
      </c>
      <c r="H57" s="260">
        <v>239</v>
      </c>
      <c r="I57" s="260">
        <v>243</v>
      </c>
      <c r="J57" s="260">
        <v>247</v>
      </c>
      <c r="K57" s="260">
        <v>251</v>
      </c>
      <c r="L57" s="260">
        <v>255</v>
      </c>
      <c r="M57" s="260">
        <v>258</v>
      </c>
      <c r="N57" s="260">
        <v>262</v>
      </c>
      <c r="O57" s="260">
        <v>265</v>
      </c>
      <c r="P57" s="260">
        <v>269</v>
      </c>
      <c r="Q57" s="260">
        <v>271</v>
      </c>
      <c r="R57" s="260">
        <v>273</v>
      </c>
      <c r="S57" s="260">
        <v>275</v>
      </c>
      <c r="T57" s="260">
        <v>280</v>
      </c>
      <c r="U57" s="260">
        <v>285</v>
      </c>
      <c r="V57" s="260">
        <v>287</v>
      </c>
      <c r="W57" s="260">
        <v>290</v>
      </c>
      <c r="X57" s="260">
        <v>292</v>
      </c>
      <c r="Y57" s="260">
        <v>296</v>
      </c>
      <c r="Z57" s="548">
        <v>298</v>
      </c>
    </row>
    <row r="58" spans="1:26">
      <c r="A58" s="547">
        <v>0.45</v>
      </c>
      <c r="B58" s="260">
        <v>234</v>
      </c>
      <c r="C58" s="260">
        <v>239</v>
      </c>
      <c r="D58" s="260">
        <v>244</v>
      </c>
      <c r="E58" s="260">
        <v>248</v>
      </c>
      <c r="F58" s="260">
        <v>252</v>
      </c>
      <c r="G58" s="260">
        <v>256</v>
      </c>
      <c r="H58" s="260">
        <v>260</v>
      </c>
      <c r="I58" s="260">
        <v>264</v>
      </c>
      <c r="J58" s="260">
        <v>268</v>
      </c>
      <c r="K58" s="260">
        <v>271</v>
      </c>
      <c r="L58" s="260">
        <v>275</v>
      </c>
      <c r="M58" s="260">
        <v>278</v>
      </c>
      <c r="N58" s="260">
        <v>281</v>
      </c>
      <c r="O58" s="260">
        <v>284</v>
      </c>
      <c r="P58" s="260">
        <v>287</v>
      </c>
      <c r="Q58" s="260">
        <v>290</v>
      </c>
      <c r="R58" s="260">
        <v>292</v>
      </c>
      <c r="S58" s="260">
        <v>294</v>
      </c>
      <c r="T58" s="260">
        <v>298</v>
      </c>
      <c r="U58" s="260">
        <v>302</v>
      </c>
      <c r="V58" s="260">
        <v>304</v>
      </c>
      <c r="W58" s="260">
        <v>307</v>
      </c>
      <c r="X58" s="260">
        <v>309</v>
      </c>
      <c r="Y58" s="260">
        <v>313</v>
      </c>
      <c r="Z58" s="548">
        <v>315</v>
      </c>
    </row>
    <row r="59" spans="1:26">
      <c r="A59" s="547">
        <v>0.5</v>
      </c>
      <c r="B59" s="260">
        <v>256</v>
      </c>
      <c r="C59" s="260">
        <v>261</v>
      </c>
      <c r="D59" s="260">
        <v>265</v>
      </c>
      <c r="E59" s="260">
        <v>269</v>
      </c>
      <c r="F59" s="260">
        <v>273</v>
      </c>
      <c r="G59" s="260">
        <v>277</v>
      </c>
      <c r="H59" s="260">
        <v>280</v>
      </c>
      <c r="I59" s="260">
        <v>284</v>
      </c>
      <c r="J59" s="260">
        <v>288</v>
      </c>
      <c r="K59" s="260">
        <v>291</v>
      </c>
      <c r="L59" s="260">
        <v>294</v>
      </c>
      <c r="M59" s="260">
        <v>297</v>
      </c>
      <c r="N59" s="260">
        <v>300</v>
      </c>
      <c r="O59" s="260">
        <v>303</v>
      </c>
      <c r="P59" s="260">
        <v>306</v>
      </c>
      <c r="Q59" s="260">
        <v>308</v>
      </c>
      <c r="R59" s="260">
        <v>310</v>
      </c>
      <c r="S59" s="260">
        <v>312</v>
      </c>
      <c r="T59" s="260">
        <v>316</v>
      </c>
      <c r="U59" s="260">
        <v>319</v>
      </c>
      <c r="V59" s="260">
        <v>321</v>
      </c>
      <c r="W59" s="260">
        <v>324</v>
      </c>
      <c r="X59" s="260">
        <v>326</v>
      </c>
      <c r="Y59" s="260">
        <v>329</v>
      </c>
      <c r="Z59" s="548">
        <v>331</v>
      </c>
    </row>
    <row r="60" spans="1:26">
      <c r="A60" s="547">
        <v>0.55000000000000004</v>
      </c>
      <c r="B60" s="260">
        <v>278</v>
      </c>
      <c r="C60" s="260">
        <v>282</v>
      </c>
      <c r="D60" s="260">
        <v>286</v>
      </c>
      <c r="E60" s="260">
        <v>290</v>
      </c>
      <c r="F60" s="260">
        <v>293</v>
      </c>
      <c r="G60" s="260">
        <v>297</v>
      </c>
      <c r="H60" s="260">
        <v>300</v>
      </c>
      <c r="I60" s="260">
        <v>304</v>
      </c>
      <c r="J60" s="260">
        <v>307</v>
      </c>
      <c r="K60" s="260">
        <v>310</v>
      </c>
      <c r="L60" s="260">
        <v>313</v>
      </c>
      <c r="M60" s="260">
        <v>316</v>
      </c>
      <c r="N60" s="260">
        <v>319</v>
      </c>
      <c r="O60" s="260">
        <v>322</v>
      </c>
      <c r="P60" s="260">
        <v>324</v>
      </c>
      <c r="Q60" s="260">
        <v>326</v>
      </c>
      <c r="R60" s="260">
        <v>328</v>
      </c>
      <c r="S60" s="260">
        <v>330</v>
      </c>
      <c r="T60" s="260">
        <v>334</v>
      </c>
      <c r="U60" s="260">
        <v>336</v>
      </c>
      <c r="V60" s="260">
        <v>339</v>
      </c>
      <c r="W60" s="260">
        <v>341</v>
      </c>
      <c r="X60" s="260">
        <v>343</v>
      </c>
      <c r="Y60" s="260">
        <v>345</v>
      </c>
      <c r="Z60" s="548">
        <v>347</v>
      </c>
    </row>
    <row r="61" spans="1:26">
      <c r="A61" s="547">
        <v>0.6</v>
      </c>
      <c r="B61" s="260">
        <v>300</v>
      </c>
      <c r="C61" s="260">
        <v>303</v>
      </c>
      <c r="D61" s="260">
        <v>307</v>
      </c>
      <c r="E61" s="260">
        <v>310</v>
      </c>
      <c r="F61" s="260">
        <v>313</v>
      </c>
      <c r="G61" s="260">
        <v>317</v>
      </c>
      <c r="H61" s="260">
        <v>320</v>
      </c>
      <c r="I61" s="260">
        <v>323</v>
      </c>
      <c r="J61" s="260">
        <v>326</v>
      </c>
      <c r="K61" s="260">
        <v>329</v>
      </c>
      <c r="L61" s="260">
        <v>332</v>
      </c>
      <c r="M61" s="260">
        <v>335</v>
      </c>
      <c r="N61" s="260">
        <v>337</v>
      </c>
      <c r="O61" s="260">
        <v>340</v>
      </c>
      <c r="P61" s="260">
        <v>342</v>
      </c>
      <c r="Q61" s="260">
        <v>344</v>
      </c>
      <c r="R61" s="260">
        <v>346</v>
      </c>
      <c r="S61" s="260">
        <v>348</v>
      </c>
      <c r="T61" s="260">
        <v>351</v>
      </c>
      <c r="U61" s="260">
        <v>354</v>
      </c>
      <c r="V61" s="260">
        <v>356</v>
      </c>
      <c r="W61" s="260">
        <v>358</v>
      </c>
      <c r="X61" s="260">
        <v>360</v>
      </c>
      <c r="Y61" s="260">
        <v>362</v>
      </c>
      <c r="Z61" s="548">
        <v>363</v>
      </c>
    </row>
    <row r="62" spans="1:26">
      <c r="A62" s="547">
        <v>0.65</v>
      </c>
      <c r="B62" s="260">
        <v>321</v>
      </c>
      <c r="C62" s="260">
        <v>324</v>
      </c>
      <c r="D62" s="260">
        <v>327</v>
      </c>
      <c r="E62" s="260">
        <v>330</v>
      </c>
      <c r="F62" s="260">
        <v>333</v>
      </c>
      <c r="G62" s="260">
        <v>336</v>
      </c>
      <c r="H62" s="260">
        <v>339</v>
      </c>
      <c r="I62" s="260">
        <v>342</v>
      </c>
      <c r="J62" s="260">
        <v>345</v>
      </c>
      <c r="K62" s="260">
        <v>347</v>
      </c>
      <c r="L62" s="260">
        <v>350</v>
      </c>
      <c r="M62" s="260">
        <v>353</v>
      </c>
      <c r="N62" s="260">
        <v>355</v>
      </c>
      <c r="O62" s="260">
        <v>358</v>
      </c>
      <c r="P62" s="260">
        <v>360</v>
      </c>
      <c r="Q62" s="260">
        <v>362</v>
      </c>
      <c r="R62" s="260">
        <v>363</v>
      </c>
      <c r="S62" s="260">
        <v>365</v>
      </c>
      <c r="T62" s="260">
        <v>368</v>
      </c>
      <c r="U62" s="260">
        <v>370</v>
      </c>
      <c r="V62" s="260">
        <v>372</v>
      </c>
      <c r="W62" s="260">
        <v>374</v>
      </c>
      <c r="X62" s="260">
        <v>376</v>
      </c>
      <c r="Y62" s="260">
        <v>378</v>
      </c>
      <c r="Z62" s="548">
        <v>380</v>
      </c>
    </row>
    <row r="63" spans="1:26">
      <c r="A63" s="547">
        <v>0.7</v>
      </c>
      <c r="B63" s="260">
        <v>341</v>
      </c>
      <c r="C63" s="260">
        <v>344</v>
      </c>
      <c r="D63" s="260">
        <v>347</v>
      </c>
      <c r="E63" s="260">
        <v>350</v>
      </c>
      <c r="F63" s="260">
        <v>352</v>
      </c>
      <c r="G63" s="260">
        <v>355</v>
      </c>
      <c r="H63" s="260">
        <v>358</v>
      </c>
      <c r="I63" s="260">
        <v>361</v>
      </c>
      <c r="J63" s="260">
        <v>363</v>
      </c>
      <c r="K63" s="260">
        <v>366</v>
      </c>
      <c r="L63" s="260">
        <v>368</v>
      </c>
      <c r="M63" s="260">
        <v>370</v>
      </c>
      <c r="N63" s="260">
        <v>373</v>
      </c>
      <c r="O63" s="260">
        <v>375</v>
      </c>
      <c r="P63" s="260">
        <v>377</v>
      </c>
      <c r="Q63" s="260">
        <v>379</v>
      </c>
      <c r="R63" s="260">
        <v>380</v>
      </c>
      <c r="S63" s="260">
        <v>382</v>
      </c>
      <c r="T63" s="260">
        <v>385</v>
      </c>
      <c r="U63" s="260">
        <v>387</v>
      </c>
      <c r="V63" s="260">
        <v>389</v>
      </c>
      <c r="W63" s="260">
        <v>390</v>
      </c>
      <c r="X63" s="260">
        <v>392</v>
      </c>
      <c r="Y63" s="260">
        <v>394</v>
      </c>
      <c r="Z63" s="548">
        <v>395</v>
      </c>
    </row>
    <row r="64" spans="1:26">
      <c r="A64" s="547">
        <v>0.75</v>
      </c>
      <c r="B64" s="260">
        <v>360</v>
      </c>
      <c r="C64" s="260">
        <v>363</v>
      </c>
      <c r="D64" s="260">
        <v>366</v>
      </c>
      <c r="E64" s="260">
        <v>369</v>
      </c>
      <c r="F64" s="260">
        <v>370</v>
      </c>
      <c r="G64" s="260">
        <v>374</v>
      </c>
      <c r="H64" s="260">
        <v>376</v>
      </c>
      <c r="I64" s="260">
        <v>379</v>
      </c>
      <c r="J64" s="260">
        <v>381</v>
      </c>
      <c r="K64" s="260">
        <v>383</v>
      </c>
      <c r="L64" s="260">
        <v>386</v>
      </c>
      <c r="M64" s="260">
        <v>388</v>
      </c>
      <c r="N64" s="260">
        <v>390</v>
      </c>
      <c r="O64" s="260">
        <v>392</v>
      </c>
      <c r="P64" s="260">
        <v>394</v>
      </c>
      <c r="Q64" s="260">
        <v>395</v>
      </c>
      <c r="R64" s="260">
        <v>397</v>
      </c>
      <c r="S64" s="260">
        <v>398</v>
      </c>
      <c r="T64" s="260">
        <v>401</v>
      </c>
      <c r="U64" s="260">
        <v>403</v>
      </c>
      <c r="V64" s="260">
        <v>404</v>
      </c>
      <c r="W64" s="260">
        <v>406</v>
      </c>
      <c r="X64" s="260">
        <v>408</v>
      </c>
      <c r="Y64" s="260">
        <v>409</v>
      </c>
      <c r="Z64" s="548">
        <v>411</v>
      </c>
    </row>
    <row r="65" spans="1:26">
      <c r="A65" s="547">
        <v>0.8</v>
      </c>
      <c r="B65" s="260">
        <v>379</v>
      </c>
      <c r="C65" s="260">
        <v>382</v>
      </c>
      <c r="D65" s="260">
        <v>385</v>
      </c>
      <c r="E65" s="260">
        <v>387</v>
      </c>
      <c r="F65" s="260">
        <v>389</v>
      </c>
      <c r="G65" s="260">
        <v>392</v>
      </c>
      <c r="H65" s="260">
        <v>394</v>
      </c>
      <c r="I65" s="260">
        <v>396</v>
      </c>
      <c r="J65" s="260">
        <v>398</v>
      </c>
      <c r="K65" s="260">
        <v>401</v>
      </c>
      <c r="L65" s="260">
        <v>403</v>
      </c>
      <c r="M65" s="260">
        <v>405</v>
      </c>
      <c r="N65" s="260">
        <v>407</v>
      </c>
      <c r="O65" s="260">
        <v>408</v>
      </c>
      <c r="P65" s="260">
        <v>410</v>
      </c>
      <c r="Q65" s="260">
        <v>412</v>
      </c>
      <c r="R65" s="260">
        <v>413</v>
      </c>
      <c r="S65" s="260">
        <v>414</v>
      </c>
      <c r="T65" s="260">
        <v>417</v>
      </c>
      <c r="U65" s="260">
        <v>418</v>
      </c>
      <c r="V65" s="260">
        <v>420</v>
      </c>
      <c r="W65" s="260">
        <v>421</v>
      </c>
      <c r="X65" s="260">
        <v>423</v>
      </c>
      <c r="Y65" s="260">
        <v>424</v>
      </c>
      <c r="Z65" s="548">
        <v>426</v>
      </c>
    </row>
    <row r="66" spans="1:26">
      <c r="A66" s="547">
        <v>0.85</v>
      </c>
      <c r="B66" s="260">
        <v>398</v>
      </c>
      <c r="C66" s="260">
        <v>400</v>
      </c>
      <c r="D66" s="260">
        <v>403</v>
      </c>
      <c r="E66" s="260">
        <v>405</v>
      </c>
      <c r="F66" s="260">
        <v>407</v>
      </c>
      <c r="G66" s="260">
        <v>409</v>
      </c>
      <c r="H66" s="260">
        <v>411</v>
      </c>
      <c r="I66" s="260">
        <v>413</v>
      </c>
      <c r="J66" s="260">
        <v>415</v>
      </c>
      <c r="K66" s="260">
        <v>417</v>
      </c>
      <c r="L66" s="260">
        <v>419</v>
      </c>
      <c r="M66" s="260">
        <v>421</v>
      </c>
      <c r="N66" s="260">
        <v>423</v>
      </c>
      <c r="O66" s="260">
        <v>425</v>
      </c>
      <c r="P66" s="260">
        <v>426</v>
      </c>
      <c r="Q66" s="260">
        <v>427</v>
      </c>
      <c r="R66" s="260">
        <v>429</v>
      </c>
      <c r="S66" s="260">
        <v>430</v>
      </c>
      <c r="T66" s="260">
        <v>432</v>
      </c>
      <c r="U66" s="260">
        <v>434</v>
      </c>
      <c r="V66" s="260">
        <v>435</v>
      </c>
      <c r="W66" s="260">
        <v>436</v>
      </c>
      <c r="X66" s="260">
        <v>438</v>
      </c>
      <c r="Y66" s="260">
        <v>439</v>
      </c>
      <c r="Z66" s="548">
        <v>440</v>
      </c>
    </row>
    <row r="67" spans="1:26">
      <c r="A67" s="547">
        <v>0.9</v>
      </c>
      <c r="B67" s="260">
        <v>415</v>
      </c>
      <c r="C67" s="260">
        <v>418</v>
      </c>
      <c r="D67" s="260">
        <v>420</v>
      </c>
      <c r="E67" s="260">
        <v>422</v>
      </c>
      <c r="F67" s="260">
        <v>424</v>
      </c>
      <c r="G67" s="117">
        <v>426</v>
      </c>
      <c r="H67" s="260">
        <v>428</v>
      </c>
      <c r="I67" s="260">
        <v>430</v>
      </c>
      <c r="J67" s="260">
        <v>432</v>
      </c>
      <c r="K67" s="260">
        <v>434</v>
      </c>
      <c r="L67" s="260">
        <v>435</v>
      </c>
      <c r="M67" s="260">
        <v>437</v>
      </c>
      <c r="N67" s="260">
        <v>439</v>
      </c>
      <c r="O67" s="260">
        <v>440</v>
      </c>
      <c r="P67" s="260">
        <v>442</v>
      </c>
      <c r="Q67" s="260">
        <v>443</v>
      </c>
      <c r="R67" s="260">
        <v>444</v>
      </c>
      <c r="S67" s="260">
        <v>445</v>
      </c>
      <c r="T67" s="260">
        <v>447</v>
      </c>
      <c r="U67" s="260">
        <v>449</v>
      </c>
      <c r="V67" s="260">
        <v>450</v>
      </c>
      <c r="W67" s="260">
        <v>451</v>
      </c>
      <c r="X67" s="260">
        <v>452</v>
      </c>
      <c r="Y67" s="260">
        <v>454</v>
      </c>
      <c r="Z67" s="548">
        <v>455</v>
      </c>
    </row>
    <row r="68" spans="1:26">
      <c r="A68" s="547">
        <v>0.95</v>
      </c>
      <c r="B68" s="260">
        <v>432</v>
      </c>
      <c r="C68" s="260">
        <v>435</v>
      </c>
      <c r="D68" s="260">
        <v>437</v>
      </c>
      <c r="E68" s="260">
        <v>438</v>
      </c>
      <c r="F68" s="260">
        <v>440</v>
      </c>
      <c r="G68" s="260">
        <v>442</v>
      </c>
      <c r="H68" s="260">
        <v>444</v>
      </c>
      <c r="I68" s="260">
        <v>446</v>
      </c>
      <c r="J68" s="260">
        <v>448</v>
      </c>
      <c r="K68" s="260">
        <v>449</v>
      </c>
      <c r="L68" s="260">
        <v>451</v>
      </c>
      <c r="M68" s="260">
        <v>453</v>
      </c>
      <c r="N68" s="260">
        <v>454</v>
      </c>
      <c r="O68" s="260">
        <v>455</v>
      </c>
      <c r="P68" s="260">
        <v>457</v>
      </c>
      <c r="Q68" s="260">
        <v>458</v>
      </c>
      <c r="R68" s="260">
        <v>459</v>
      </c>
      <c r="S68" s="260">
        <v>460</v>
      </c>
      <c r="T68" s="260">
        <v>462</v>
      </c>
      <c r="U68" s="260">
        <v>463</v>
      </c>
      <c r="V68" s="260">
        <v>464</v>
      </c>
      <c r="W68" s="260">
        <v>465</v>
      </c>
      <c r="X68" s="260">
        <v>467</v>
      </c>
      <c r="Y68" s="260">
        <v>468</v>
      </c>
      <c r="Z68" s="548">
        <v>469</v>
      </c>
    </row>
    <row r="69" spans="1:26" ht="16.2" thickBot="1">
      <c r="A69" s="549">
        <v>1</v>
      </c>
      <c r="B69" s="550">
        <v>448</v>
      </c>
      <c r="C69" s="550">
        <v>451</v>
      </c>
      <c r="D69" s="550">
        <v>453</v>
      </c>
      <c r="E69" s="550">
        <v>454</v>
      </c>
      <c r="F69" s="550">
        <v>456</v>
      </c>
      <c r="G69" s="550">
        <v>458</v>
      </c>
      <c r="H69" s="550">
        <v>460</v>
      </c>
      <c r="I69" s="550">
        <v>461</v>
      </c>
      <c r="J69" s="550">
        <v>463</v>
      </c>
      <c r="K69" s="550">
        <v>465</v>
      </c>
      <c r="L69" s="550">
        <v>466</v>
      </c>
      <c r="M69" s="550">
        <v>467</v>
      </c>
      <c r="N69" s="550">
        <v>469</v>
      </c>
      <c r="O69" s="550">
        <v>470</v>
      </c>
      <c r="P69" s="550">
        <v>471</v>
      </c>
      <c r="Q69" s="550">
        <v>472</v>
      </c>
      <c r="R69" s="550">
        <v>474</v>
      </c>
      <c r="S69" s="550">
        <v>475</v>
      </c>
      <c r="T69" s="550">
        <v>476</v>
      </c>
      <c r="U69" s="550">
        <v>477</v>
      </c>
      <c r="V69" s="550">
        <v>478</v>
      </c>
      <c r="W69" s="550">
        <v>479</v>
      </c>
      <c r="X69" s="550">
        <v>480</v>
      </c>
      <c r="Y69" s="550">
        <v>481</v>
      </c>
      <c r="Z69" s="551">
        <v>482</v>
      </c>
    </row>
    <row r="70" spans="1:26" ht="16.2" thickTop="1"/>
    <row r="71" spans="1:26" ht="16.2" thickBot="1">
      <c r="A71" s="553" t="s">
        <v>798</v>
      </c>
      <c r="B71" s="553"/>
      <c r="C71" s="553"/>
      <c r="D71" s="553"/>
      <c r="E71" s="553"/>
      <c r="F71" s="553"/>
      <c r="G71" s="553"/>
      <c r="H71" s="553"/>
      <c r="I71" s="553"/>
      <c r="J71" s="553"/>
      <c r="K71" s="553"/>
    </row>
    <row r="72" spans="1:26">
      <c r="A72" s="556"/>
      <c r="B72" s="664" t="s">
        <v>48</v>
      </c>
      <c r="C72" s="664"/>
      <c r="D72" s="664"/>
      <c r="E72" s="664"/>
      <c r="F72" s="664"/>
      <c r="G72" s="664"/>
      <c r="H72" s="664"/>
      <c r="I72" s="664"/>
      <c r="J72" s="664"/>
      <c r="K72" s="665"/>
    </row>
    <row r="73" spans="1:26">
      <c r="A73" s="557" t="s">
        <v>334</v>
      </c>
      <c r="B73" s="555">
        <v>40</v>
      </c>
      <c r="C73" s="555">
        <v>41</v>
      </c>
      <c r="D73" s="555">
        <v>42</v>
      </c>
      <c r="E73" s="555">
        <v>43</v>
      </c>
      <c r="F73" s="555">
        <v>44</v>
      </c>
      <c r="G73" s="555">
        <v>45</v>
      </c>
      <c r="H73" s="555">
        <v>46</v>
      </c>
      <c r="I73" s="555">
        <v>47</v>
      </c>
      <c r="J73" s="555">
        <v>48</v>
      </c>
      <c r="K73" s="558">
        <v>49</v>
      </c>
    </row>
    <row r="74" spans="1:26">
      <c r="A74" s="557">
        <v>2</v>
      </c>
      <c r="B74" s="555">
        <v>677</v>
      </c>
      <c r="C74" s="555">
        <v>675</v>
      </c>
      <c r="D74" s="555">
        <v>674</v>
      </c>
      <c r="E74" s="555">
        <v>672</v>
      </c>
      <c r="F74" s="555">
        <v>671</v>
      </c>
      <c r="G74" s="555">
        <v>669</v>
      </c>
      <c r="H74" s="555">
        <v>668</v>
      </c>
      <c r="I74" s="555">
        <v>667</v>
      </c>
      <c r="J74" s="555">
        <v>666</v>
      </c>
      <c r="K74" s="558">
        <v>665</v>
      </c>
    </row>
    <row r="75" spans="1:26">
      <c r="A75" s="557">
        <v>2.1</v>
      </c>
      <c r="B75" s="555">
        <v>694</v>
      </c>
      <c r="C75" s="555">
        <v>692</v>
      </c>
      <c r="D75" s="555">
        <v>690</v>
      </c>
      <c r="E75" s="555">
        <v>689</v>
      </c>
      <c r="F75" s="555">
        <v>687</v>
      </c>
      <c r="G75" s="555">
        <v>686</v>
      </c>
      <c r="H75" s="555">
        <v>684</v>
      </c>
      <c r="I75" s="555">
        <v>683</v>
      </c>
      <c r="J75" s="555">
        <v>681</v>
      </c>
      <c r="K75" s="558">
        <v>680</v>
      </c>
    </row>
    <row r="76" spans="1:26">
      <c r="A76" s="557">
        <v>2.2000000000000002</v>
      </c>
      <c r="B76" s="555">
        <v>711</v>
      </c>
      <c r="C76" s="555">
        <v>709</v>
      </c>
      <c r="D76" s="555">
        <v>707</v>
      </c>
      <c r="E76" s="555">
        <v>705</v>
      </c>
      <c r="F76" s="555">
        <v>704</v>
      </c>
      <c r="G76" s="555">
        <v>702</v>
      </c>
      <c r="H76" s="555">
        <v>700</v>
      </c>
      <c r="I76" s="555">
        <v>699</v>
      </c>
      <c r="J76" s="555">
        <v>697</v>
      </c>
      <c r="K76" s="558">
        <v>696</v>
      </c>
    </row>
    <row r="77" spans="1:26">
      <c r="A77" s="557">
        <v>2.2999999999999998</v>
      </c>
      <c r="B77" s="555">
        <v>726</v>
      </c>
      <c r="C77" s="555">
        <v>724</v>
      </c>
      <c r="D77" s="555">
        <v>722</v>
      </c>
      <c r="E77" s="555">
        <v>721</v>
      </c>
      <c r="F77" s="555">
        <v>719</v>
      </c>
      <c r="G77" s="555">
        <v>717</v>
      </c>
      <c r="H77" s="555">
        <v>715</v>
      </c>
      <c r="I77" s="555">
        <v>714</v>
      </c>
      <c r="J77" s="555">
        <v>712</v>
      </c>
      <c r="K77" s="558">
        <v>711</v>
      </c>
    </row>
    <row r="78" spans="1:26">
      <c r="A78" s="557">
        <v>2.4</v>
      </c>
      <c r="B78" s="555">
        <v>740</v>
      </c>
      <c r="C78" s="555">
        <v>739</v>
      </c>
      <c r="D78" s="555">
        <v>737</v>
      </c>
      <c r="E78" s="555">
        <v>736</v>
      </c>
      <c r="F78" s="555">
        <v>734</v>
      </c>
      <c r="G78" s="555">
        <v>732</v>
      </c>
      <c r="H78" s="555">
        <v>731</v>
      </c>
      <c r="I78" s="555">
        <v>729</v>
      </c>
      <c r="J78" s="555">
        <v>727</v>
      </c>
      <c r="K78" s="558">
        <v>725</v>
      </c>
    </row>
    <row r="79" spans="1:26">
      <c r="A79" s="557">
        <v>2.5</v>
      </c>
      <c r="B79" s="555">
        <v>753</v>
      </c>
      <c r="C79" s="555">
        <v>752</v>
      </c>
      <c r="D79" s="555">
        <v>751</v>
      </c>
      <c r="E79" s="555">
        <v>750</v>
      </c>
      <c r="F79" s="555">
        <v>748</v>
      </c>
      <c r="G79" s="555">
        <v>747</v>
      </c>
      <c r="H79" s="555">
        <v>745</v>
      </c>
      <c r="I79" s="555">
        <v>743</v>
      </c>
      <c r="J79" s="555">
        <v>741</v>
      </c>
      <c r="K79" s="558">
        <v>739</v>
      </c>
    </row>
    <row r="80" spans="1:26">
      <c r="A80" s="557">
        <v>2.6</v>
      </c>
      <c r="B80" s="555">
        <v>766</v>
      </c>
      <c r="C80" s="555">
        <v>765</v>
      </c>
      <c r="D80" s="555">
        <v>764</v>
      </c>
      <c r="E80" s="555">
        <v>763</v>
      </c>
      <c r="F80" s="555">
        <v>762</v>
      </c>
      <c r="G80" s="555">
        <v>760</v>
      </c>
      <c r="H80" s="555">
        <v>758</v>
      </c>
      <c r="I80" s="555">
        <v>757</v>
      </c>
      <c r="J80" s="555">
        <v>755</v>
      </c>
      <c r="K80" s="558">
        <v>753</v>
      </c>
    </row>
    <row r="81" spans="1:20">
      <c r="A81" s="557">
        <v>2.7</v>
      </c>
      <c r="B81" s="555">
        <v>777</v>
      </c>
      <c r="C81" s="555">
        <v>777</v>
      </c>
      <c r="D81" s="555">
        <v>776</v>
      </c>
      <c r="E81" s="555">
        <v>775</v>
      </c>
      <c r="F81" s="555">
        <v>774</v>
      </c>
      <c r="G81" s="555">
        <v>773</v>
      </c>
      <c r="H81" s="555">
        <v>771</v>
      </c>
      <c r="I81" s="555">
        <v>770</v>
      </c>
      <c r="J81" s="555">
        <v>768</v>
      </c>
      <c r="K81" s="558">
        <v>766</v>
      </c>
    </row>
    <row r="82" spans="1:20">
      <c r="A82" s="557">
        <v>2.8</v>
      </c>
      <c r="B82" s="555">
        <v>788</v>
      </c>
      <c r="C82" s="555">
        <v>788</v>
      </c>
      <c r="D82" s="555">
        <v>787</v>
      </c>
      <c r="E82" s="555">
        <v>787</v>
      </c>
      <c r="F82" s="555">
        <v>786</v>
      </c>
      <c r="G82" s="555">
        <v>785</v>
      </c>
      <c r="H82" s="555">
        <v>783</v>
      </c>
      <c r="I82" s="555">
        <v>782</v>
      </c>
      <c r="J82" s="555">
        <v>780</v>
      </c>
      <c r="K82" s="558">
        <v>779</v>
      </c>
    </row>
    <row r="83" spans="1:20">
      <c r="A83" s="557">
        <v>2.9</v>
      </c>
      <c r="B83" s="555">
        <v>799</v>
      </c>
      <c r="C83" s="555">
        <v>799</v>
      </c>
      <c r="D83" s="555">
        <v>798</v>
      </c>
      <c r="E83" s="555">
        <v>798</v>
      </c>
      <c r="F83" s="555">
        <v>797</v>
      </c>
      <c r="G83" s="555">
        <v>796</v>
      </c>
      <c r="H83" s="555">
        <v>795</v>
      </c>
      <c r="I83" s="555">
        <v>794</v>
      </c>
      <c r="J83" s="555">
        <v>792</v>
      </c>
      <c r="K83" s="558">
        <v>791</v>
      </c>
    </row>
    <row r="84" spans="1:20">
      <c r="A84" s="557">
        <v>3</v>
      </c>
      <c r="B84" s="555">
        <v>809</v>
      </c>
      <c r="C84" s="555">
        <v>808</v>
      </c>
      <c r="D84" s="555">
        <v>808</v>
      </c>
      <c r="E84" s="555">
        <v>807</v>
      </c>
      <c r="F84" s="555">
        <v>807</v>
      </c>
      <c r="G84" s="555">
        <v>806</v>
      </c>
      <c r="H84" s="555">
        <v>805</v>
      </c>
      <c r="I84" s="555">
        <v>804</v>
      </c>
      <c r="J84" s="555">
        <v>803</v>
      </c>
      <c r="K84" s="558">
        <v>802</v>
      </c>
    </row>
    <row r="85" spans="1:20">
      <c r="A85" s="557">
        <v>3.1</v>
      </c>
      <c r="B85" s="555">
        <v>818</v>
      </c>
      <c r="C85" s="555">
        <v>818</v>
      </c>
      <c r="D85" s="555">
        <v>818</v>
      </c>
      <c r="E85" s="555">
        <v>817</v>
      </c>
      <c r="F85" s="555">
        <v>817</v>
      </c>
      <c r="G85" s="555">
        <v>816</v>
      </c>
      <c r="H85" s="555">
        <v>815</v>
      </c>
      <c r="I85" s="555">
        <v>814</v>
      </c>
      <c r="J85" s="555">
        <v>813</v>
      </c>
      <c r="K85" s="558">
        <v>812</v>
      </c>
    </row>
    <row r="86" spans="1:20">
      <c r="A86" s="557">
        <v>3.2</v>
      </c>
      <c r="B86" s="555">
        <v>827</v>
      </c>
      <c r="C86" s="555">
        <v>827</v>
      </c>
      <c r="D86" s="555">
        <v>827</v>
      </c>
      <c r="E86" s="555">
        <v>826</v>
      </c>
      <c r="F86" s="555">
        <v>826</v>
      </c>
      <c r="G86" s="555">
        <v>825</v>
      </c>
      <c r="H86" s="555">
        <v>824</v>
      </c>
      <c r="I86" s="555">
        <v>824</v>
      </c>
      <c r="J86" s="555">
        <v>823</v>
      </c>
      <c r="K86" s="558">
        <v>822</v>
      </c>
    </row>
    <row r="87" spans="1:20">
      <c r="A87" s="557">
        <v>3.3</v>
      </c>
      <c r="B87" s="555">
        <v>836</v>
      </c>
      <c r="C87" s="555">
        <v>836</v>
      </c>
      <c r="D87" s="555">
        <v>835</v>
      </c>
      <c r="E87" s="555">
        <v>835</v>
      </c>
      <c r="F87" s="555">
        <v>834</v>
      </c>
      <c r="G87" s="555">
        <v>834</v>
      </c>
      <c r="H87" s="555">
        <v>833</v>
      </c>
      <c r="I87" s="555">
        <v>833</v>
      </c>
      <c r="J87" s="555">
        <v>832</v>
      </c>
      <c r="K87" s="558">
        <v>831</v>
      </c>
    </row>
    <row r="88" spans="1:20">
      <c r="A88" s="557">
        <v>3.4</v>
      </c>
      <c r="B88" s="555">
        <v>843</v>
      </c>
      <c r="C88" s="555">
        <v>844</v>
      </c>
      <c r="D88" s="555">
        <v>844</v>
      </c>
      <c r="E88" s="555">
        <v>843</v>
      </c>
      <c r="F88" s="555">
        <v>843</v>
      </c>
      <c r="G88" s="555">
        <v>842</v>
      </c>
      <c r="H88" s="555">
        <v>842</v>
      </c>
      <c r="I88" s="555">
        <v>841</v>
      </c>
      <c r="J88" s="555">
        <v>840</v>
      </c>
      <c r="K88" s="558">
        <v>840</v>
      </c>
    </row>
    <row r="89" spans="1:20">
      <c r="A89" s="557">
        <v>3.5</v>
      </c>
      <c r="B89" s="555">
        <v>849</v>
      </c>
      <c r="C89" s="555">
        <v>851</v>
      </c>
      <c r="D89" s="555">
        <v>852</v>
      </c>
      <c r="E89" s="555">
        <v>851</v>
      </c>
      <c r="F89" s="555">
        <v>851</v>
      </c>
      <c r="G89" s="555">
        <v>850</v>
      </c>
      <c r="H89" s="555">
        <v>850</v>
      </c>
      <c r="I89" s="555">
        <v>849</v>
      </c>
      <c r="J89" s="555">
        <v>848</v>
      </c>
      <c r="K89" s="558">
        <v>848</v>
      </c>
    </row>
    <row r="90" spans="1:20">
      <c r="A90" s="557">
        <v>3.6</v>
      </c>
      <c r="B90" s="555">
        <v>854</v>
      </c>
      <c r="C90" s="555">
        <v>858</v>
      </c>
      <c r="D90" s="555">
        <v>859</v>
      </c>
      <c r="E90" s="555">
        <v>859</v>
      </c>
      <c r="F90" s="555">
        <v>859</v>
      </c>
      <c r="G90" s="555">
        <v>858</v>
      </c>
      <c r="H90" s="555">
        <v>857</v>
      </c>
      <c r="I90" s="555">
        <v>857</v>
      </c>
      <c r="J90" s="555">
        <v>856</v>
      </c>
      <c r="K90" s="558">
        <v>856</v>
      </c>
    </row>
    <row r="91" spans="1:20">
      <c r="A91" s="557">
        <v>3.7</v>
      </c>
      <c r="B91" s="555">
        <v>858</v>
      </c>
      <c r="C91" s="555">
        <v>863</v>
      </c>
      <c r="D91" s="555">
        <v>865</v>
      </c>
      <c r="E91" s="555">
        <v>866</v>
      </c>
      <c r="F91" s="555">
        <v>866</v>
      </c>
      <c r="G91" s="555">
        <v>865</v>
      </c>
      <c r="H91" s="555">
        <v>865</v>
      </c>
      <c r="I91" s="555">
        <v>864</v>
      </c>
      <c r="J91" s="555">
        <v>864</v>
      </c>
      <c r="K91" s="558">
        <v>863</v>
      </c>
    </row>
    <row r="92" spans="1:20">
      <c r="A92" s="557">
        <v>3.8</v>
      </c>
      <c r="B92" s="555">
        <v>862</v>
      </c>
      <c r="C92" s="555">
        <v>867</v>
      </c>
      <c r="D92" s="555">
        <v>871</v>
      </c>
      <c r="E92" s="555">
        <v>873</v>
      </c>
      <c r="F92" s="555">
        <v>873</v>
      </c>
      <c r="G92" s="555">
        <v>872</v>
      </c>
      <c r="H92" s="555">
        <v>872</v>
      </c>
      <c r="I92" s="555">
        <v>871</v>
      </c>
      <c r="J92" s="555">
        <v>871</v>
      </c>
      <c r="K92" s="558">
        <v>870</v>
      </c>
    </row>
    <row r="93" spans="1:20">
      <c r="A93" s="557">
        <v>3.9</v>
      </c>
      <c r="B93" s="555">
        <v>865</v>
      </c>
      <c r="C93" s="555">
        <v>871</v>
      </c>
      <c r="D93" s="555">
        <v>876</v>
      </c>
      <c r="E93" s="555">
        <v>878</v>
      </c>
      <c r="F93" s="555">
        <v>879</v>
      </c>
      <c r="G93" s="555">
        <v>879</v>
      </c>
      <c r="H93" s="555">
        <v>879</v>
      </c>
      <c r="I93" s="555">
        <v>878</v>
      </c>
      <c r="J93" s="555">
        <v>877</v>
      </c>
      <c r="K93" s="558">
        <v>877</v>
      </c>
    </row>
    <row r="94" spans="1:20" ht="16.2" thickBot="1">
      <c r="A94" s="559">
        <v>4</v>
      </c>
      <c r="B94" s="560">
        <v>868</v>
      </c>
      <c r="C94" s="560">
        <v>875</v>
      </c>
      <c r="D94" s="560">
        <v>880</v>
      </c>
      <c r="E94" s="560">
        <v>883</v>
      </c>
      <c r="F94" s="560">
        <v>885</v>
      </c>
      <c r="G94" s="560">
        <v>885</v>
      </c>
      <c r="H94" s="560">
        <v>885</v>
      </c>
      <c r="I94" s="560">
        <v>885</v>
      </c>
      <c r="J94" s="560">
        <v>884</v>
      </c>
      <c r="K94" s="561">
        <v>883</v>
      </c>
    </row>
    <row r="96" spans="1:20">
      <c r="A96" s="117" t="s">
        <v>568</v>
      </c>
      <c r="C96" s="117" t="s">
        <v>765</v>
      </c>
      <c r="T96" s="117" t="s">
        <v>569</v>
      </c>
    </row>
    <row r="97" spans="1:25">
      <c r="A97" s="117" t="s">
        <v>390</v>
      </c>
      <c r="B97" s="117" t="s">
        <v>234</v>
      </c>
      <c r="C97" s="117" t="s">
        <v>303</v>
      </c>
      <c r="D97" s="117" t="s">
        <v>304</v>
      </c>
      <c r="E97" s="117" t="s">
        <v>390</v>
      </c>
      <c r="F97" s="117" t="s">
        <v>234</v>
      </c>
      <c r="G97" s="117" t="s">
        <v>303</v>
      </c>
      <c r="H97" s="117" t="s">
        <v>304</v>
      </c>
      <c r="I97" s="117" t="s">
        <v>390</v>
      </c>
      <c r="J97" s="117" t="s">
        <v>234</v>
      </c>
      <c r="K97" s="117" t="s">
        <v>303</v>
      </c>
      <c r="L97" s="117" t="s">
        <v>304</v>
      </c>
      <c r="M97" s="117" t="s">
        <v>390</v>
      </c>
      <c r="N97" s="117" t="s">
        <v>234</v>
      </c>
      <c r="O97" s="117" t="s">
        <v>303</v>
      </c>
      <c r="P97" s="117" t="s">
        <v>304</v>
      </c>
      <c r="U97" s="117" t="s">
        <v>571</v>
      </c>
      <c r="W97" s="117" t="s">
        <v>572</v>
      </c>
    </row>
    <row r="98" spans="1:25">
      <c r="A98" s="117" t="str">
        <f>Sheet1!P402</f>
        <v/>
      </c>
      <c r="B98" s="117">
        <v>24</v>
      </c>
      <c r="C98" s="554" t="str">
        <f>Sheet1!W402</f>
        <v/>
      </c>
      <c r="D98" s="554" t="str">
        <f>Sheet1!X402</f>
        <v/>
      </c>
      <c r="E98" s="117" t="str">
        <f>Sheet1!P414</f>
        <v/>
      </c>
      <c r="F98" s="117">
        <v>28</v>
      </c>
      <c r="G98" s="117" t="str">
        <f>Sheet1!W414</f>
        <v/>
      </c>
      <c r="H98" s="554" t="str">
        <f>Sheet1!X414</f>
        <v/>
      </c>
      <c r="I98" s="117" t="str">
        <f>Sheet1!P423</f>
        <v/>
      </c>
      <c r="J98" s="117">
        <v>28</v>
      </c>
      <c r="K98" s="117" t="str">
        <f>Sheet1!W423</f>
        <v/>
      </c>
      <c r="L98" s="554" t="str">
        <f>Sheet1!X423</f>
        <v/>
      </c>
      <c r="M98" s="117" t="str">
        <f>Sheet1!P432</f>
        <v/>
      </c>
      <c r="N98" s="117">
        <v>32</v>
      </c>
      <c r="O98" s="117" t="e">
        <f>Sheet1!W432</f>
        <v>#REF!</v>
      </c>
      <c r="P98" s="554" t="e">
        <f>Sheet1!X432</f>
        <v>#REF!</v>
      </c>
      <c r="T98" s="117" t="s">
        <v>153</v>
      </c>
      <c r="U98" s="117" t="s">
        <v>574</v>
      </c>
      <c r="V98" s="117" t="s">
        <v>575</v>
      </c>
      <c r="W98" s="117" t="s">
        <v>574</v>
      </c>
      <c r="X98" s="117" t="s">
        <v>575</v>
      </c>
      <c r="Y98" s="117" t="s">
        <v>576</v>
      </c>
    </row>
    <row r="99" spans="1:25">
      <c r="A99" s="117" t="s">
        <v>233</v>
      </c>
      <c r="B99" s="117">
        <v>25</v>
      </c>
      <c r="C99" s="117" t="str">
        <f>Sheet1!W403</f>
        <v/>
      </c>
      <c r="D99" s="117" t="str">
        <f>Sheet1!X403</f>
        <v/>
      </c>
      <c r="E99" s="117" t="s">
        <v>233</v>
      </c>
      <c r="F99" s="117">
        <v>30</v>
      </c>
      <c r="G99" s="117" t="str">
        <f>Sheet1!W415</f>
        <v/>
      </c>
      <c r="H99" s="117" t="str">
        <f>Sheet1!X415</f>
        <v/>
      </c>
      <c r="I99" s="117" t="s">
        <v>233</v>
      </c>
      <c r="J99" s="117">
        <v>30</v>
      </c>
      <c r="K99" s="117" t="str">
        <f>Sheet1!W424</f>
        <v/>
      </c>
      <c r="L99" s="117" t="str">
        <f>Sheet1!X424</f>
        <v/>
      </c>
      <c r="M99" s="117" t="s">
        <v>233</v>
      </c>
      <c r="N99" s="117">
        <v>34</v>
      </c>
      <c r="O99" s="117" t="e">
        <f>Sheet1!W433</f>
        <v>#REF!</v>
      </c>
      <c r="P99" s="554" t="e">
        <f>Sheet1!X433</f>
        <v>#REF!</v>
      </c>
      <c r="T99" s="117" t="s">
        <v>573</v>
      </c>
      <c r="U99" s="117" t="s">
        <v>573</v>
      </c>
      <c r="V99" s="117" t="s">
        <v>573</v>
      </c>
      <c r="W99" s="117" t="s">
        <v>573</v>
      </c>
      <c r="X99" s="117" t="s">
        <v>573</v>
      </c>
      <c r="Y99" s="117" t="s">
        <v>573</v>
      </c>
    </row>
    <row r="100" spans="1:25">
      <c r="A100" s="117" t="str">
        <f>Sheet1!Q402</f>
        <v/>
      </c>
      <c r="B100" s="117">
        <v>26</v>
      </c>
      <c r="C100" s="117" t="str">
        <f>Sheet1!W404</f>
        <v/>
      </c>
      <c r="D100" s="117" t="str">
        <f>Sheet1!X404</f>
        <v/>
      </c>
      <c r="E100" s="117" t="str">
        <f>Sheet1!Q414</f>
        <v/>
      </c>
      <c r="F100" s="117">
        <v>32</v>
      </c>
      <c r="G100" s="117" t="str">
        <f>Sheet1!W416</f>
        <v/>
      </c>
      <c r="H100" s="117" t="str">
        <f>Sheet1!X416</f>
        <v/>
      </c>
      <c r="I100" s="117" t="str">
        <f>Sheet1!Q423</f>
        <v/>
      </c>
      <c r="J100" s="117">
        <v>32</v>
      </c>
      <c r="K100" s="117" t="str">
        <f>Sheet1!W425</f>
        <v/>
      </c>
      <c r="L100" s="117" t="str">
        <f>Sheet1!X425</f>
        <v/>
      </c>
      <c r="M100" s="117" t="str">
        <f>Sheet1!Q432</f>
        <v/>
      </c>
      <c r="N100" s="117">
        <v>36</v>
      </c>
      <c r="O100" s="117" t="e">
        <f>Sheet1!W434</f>
        <v>#REF!</v>
      </c>
      <c r="P100" s="554" t="e">
        <f>Sheet1!X434</f>
        <v>#REF!</v>
      </c>
      <c r="T100" s="117" t="s">
        <v>573</v>
      </c>
      <c r="U100" s="117" t="s">
        <v>573</v>
      </c>
      <c r="V100" s="117" t="s">
        <v>573</v>
      </c>
      <c r="W100" s="117" t="s">
        <v>573</v>
      </c>
      <c r="X100" s="117" t="s">
        <v>573</v>
      </c>
      <c r="Y100" s="117" t="s">
        <v>573</v>
      </c>
    </row>
    <row r="101" spans="1:25">
      <c r="B101" s="117">
        <v>28</v>
      </c>
      <c r="C101" s="117" t="str">
        <f>Sheet1!W405</f>
        <v/>
      </c>
      <c r="D101" s="117" t="str">
        <f>Sheet1!X405</f>
        <v/>
      </c>
      <c r="F101" s="117">
        <v>34</v>
      </c>
      <c r="G101" s="117" t="str">
        <f>Sheet1!W417</f>
        <v/>
      </c>
      <c r="H101" s="117" t="str">
        <f>Sheet1!X417</f>
        <v/>
      </c>
      <c r="J101" s="117">
        <v>34</v>
      </c>
      <c r="K101" s="117" t="str">
        <f>Sheet1!W426</f>
        <v/>
      </c>
      <c r="L101" s="117" t="str">
        <f>Sheet1!X426</f>
        <v/>
      </c>
      <c r="N101" s="117">
        <v>38</v>
      </c>
      <c r="O101" s="117" t="e">
        <f>Sheet1!W435</f>
        <v>#REF!</v>
      </c>
      <c r="P101" s="554" t="e">
        <f>Sheet1!X435</f>
        <v>#REF!</v>
      </c>
      <c r="T101" s="117" t="s">
        <v>573</v>
      </c>
      <c r="U101" s="117" t="s">
        <v>573</v>
      </c>
      <c r="V101" s="117" t="s">
        <v>573</v>
      </c>
      <c r="W101" s="117" t="s">
        <v>573</v>
      </c>
      <c r="X101" s="117" t="s">
        <v>573</v>
      </c>
      <c r="Y101" s="117" t="s">
        <v>573</v>
      </c>
    </row>
    <row r="102" spans="1:25">
      <c r="B102" s="117">
        <v>30</v>
      </c>
      <c r="C102" s="117" t="str">
        <f>Sheet1!W406</f>
        <v/>
      </c>
      <c r="D102" s="117" t="str">
        <f>Sheet1!X406</f>
        <v/>
      </c>
      <c r="F102" s="117">
        <v>36</v>
      </c>
      <c r="G102" s="117" t="str">
        <f>Sheet1!W418</f>
        <v/>
      </c>
      <c r="H102" s="117" t="str">
        <f>Sheet1!X418</f>
        <v/>
      </c>
      <c r="J102" s="117">
        <v>38</v>
      </c>
      <c r="K102" s="117" t="str">
        <f>Sheet1!W427</f>
        <v/>
      </c>
      <c r="L102" s="117" t="str">
        <f>Sheet1!X427</f>
        <v/>
      </c>
      <c r="N102" s="117">
        <v>40</v>
      </c>
      <c r="O102" s="117" t="e">
        <f>Sheet1!W436</f>
        <v>#REF!</v>
      </c>
      <c r="P102" s="554" t="e">
        <f>Sheet1!X436</f>
        <v>#REF!</v>
      </c>
      <c r="T102" s="117" t="s">
        <v>573</v>
      </c>
      <c r="U102" s="117" t="s">
        <v>573</v>
      </c>
      <c r="V102" s="117" t="s">
        <v>573</v>
      </c>
      <c r="W102" s="117" t="s">
        <v>573</v>
      </c>
      <c r="X102" s="117" t="s">
        <v>573</v>
      </c>
      <c r="Y102" s="117" t="s">
        <v>573</v>
      </c>
    </row>
    <row r="103" spans="1:25">
      <c r="B103" s="117">
        <v>32</v>
      </c>
      <c r="C103" s="117" t="str">
        <f>Sheet1!W407</f>
        <v/>
      </c>
      <c r="D103" s="117" t="str">
        <f>Sheet1!X407</f>
        <v/>
      </c>
      <c r="F103" s="117">
        <v>38</v>
      </c>
      <c r="G103" s="117" t="str">
        <f>Sheet1!W419</f>
        <v/>
      </c>
      <c r="H103" s="117" t="str">
        <f>Sheet1!X419</f>
        <v/>
      </c>
      <c r="N103" s="117">
        <v>45</v>
      </c>
      <c r="O103" s="117" t="e">
        <f>Sheet1!W437</f>
        <v>#REF!</v>
      </c>
      <c r="P103" s="554" t="e">
        <f>Sheet1!X437</f>
        <v>#REF!</v>
      </c>
      <c r="T103" s="117" t="s">
        <v>573</v>
      </c>
      <c r="U103" s="117" t="s">
        <v>573</v>
      </c>
      <c r="V103" s="117" t="s">
        <v>573</v>
      </c>
      <c r="W103" s="117" t="s">
        <v>573</v>
      </c>
      <c r="X103" s="117" t="s">
        <v>573</v>
      </c>
      <c r="Y103" s="117" t="s">
        <v>573</v>
      </c>
    </row>
    <row r="104" spans="1:25">
      <c r="B104" s="117">
        <v>34</v>
      </c>
      <c r="C104" s="117" t="str">
        <f>Sheet1!W408</f>
        <v/>
      </c>
      <c r="D104" s="117" t="str">
        <f>Sheet1!X408</f>
        <v/>
      </c>
      <c r="F104" s="117" t="s">
        <v>573</v>
      </c>
      <c r="T104" s="117" t="s">
        <v>573</v>
      </c>
      <c r="U104" s="117" t="s">
        <v>573</v>
      </c>
      <c r="V104" s="117" t="s">
        <v>573</v>
      </c>
      <c r="W104" s="117" t="s">
        <v>573</v>
      </c>
      <c r="X104" s="117" t="s">
        <v>573</v>
      </c>
      <c r="Y104" s="117" t="s">
        <v>573</v>
      </c>
    </row>
    <row r="105" spans="1:25">
      <c r="B105" s="117">
        <v>36</v>
      </c>
      <c r="C105" s="117" t="e">
        <f>IF(Sheet1!#REF!="","",Sheet1!#REF!/Sheet1!AI24)</f>
        <v>#REF!</v>
      </c>
      <c r="D105" s="117" t="e">
        <f>IF(Sheet1!#REF!="","",Sheet1!#REF!)</f>
        <v>#REF!</v>
      </c>
    </row>
    <row r="106" spans="1:25">
      <c r="B106" s="117">
        <v>38</v>
      </c>
      <c r="C106" s="117" t="e">
        <f>IF(Sheet1!#REF!="","",Sheet1!#REF!/Sheet1!AI25)</f>
        <v>#REF!</v>
      </c>
      <c r="D106" s="117" t="e">
        <f>IF(Sheet1!#REF!="","",Sheet1!#REF!)</f>
        <v>#REF!</v>
      </c>
    </row>
    <row r="107" spans="1:25">
      <c r="B107" s="117" t="s">
        <v>577</v>
      </c>
      <c r="C107" s="117" t="e">
        <f>SLOPE(C98:C106,B98:B106)</f>
        <v>#REF!</v>
      </c>
      <c r="D107" s="117" t="e">
        <f>SLOPE(D98:D106,B98:B106)</f>
        <v>#REF!</v>
      </c>
      <c r="F107" s="117" t="s">
        <v>577</v>
      </c>
      <c r="G107" s="117" t="e">
        <f>SLOPE(G98:G103,F98:F103)</f>
        <v>#DIV/0!</v>
      </c>
      <c r="H107" s="117" t="e">
        <f>SLOPE(H98:H103,F98:F103)</f>
        <v>#DIV/0!</v>
      </c>
      <c r="J107" s="117" t="s">
        <v>577</v>
      </c>
      <c r="K107" s="117" t="e">
        <f>SLOPE(K98:K102,J98:J102)</f>
        <v>#DIV/0!</v>
      </c>
      <c r="L107" s="117" t="e">
        <f>SLOPE(L98:L102,J98:J102)</f>
        <v>#DIV/0!</v>
      </c>
      <c r="N107" s="117" t="s">
        <v>577</v>
      </c>
      <c r="O107" s="117" t="e">
        <f>SLOPE(O98:O103,N98:N103)</f>
        <v>#REF!</v>
      </c>
      <c r="P107" s="117" t="e">
        <f>SLOPE(P98:P103,N98:N103)</f>
        <v>#REF!</v>
      </c>
      <c r="T107" s="117" t="s">
        <v>573</v>
      </c>
      <c r="U107" s="117" t="s">
        <v>573</v>
      </c>
      <c r="V107" s="117" t="s">
        <v>573</v>
      </c>
      <c r="W107" s="117" t="s">
        <v>573</v>
      </c>
      <c r="X107" s="117" t="s">
        <v>573</v>
      </c>
      <c r="Y107" s="117" t="s">
        <v>573</v>
      </c>
    </row>
    <row r="108" spans="1:25">
      <c r="B108" s="117" t="s">
        <v>578</v>
      </c>
      <c r="C108" s="117" t="e">
        <f>INTERCEPT(C98:C106,B98:B106)</f>
        <v>#REF!</v>
      </c>
      <c r="D108" s="117" t="e">
        <f>INTERCEPT(D98:D106,B98:B106)</f>
        <v>#REF!</v>
      </c>
      <c r="F108" s="117" t="s">
        <v>578</v>
      </c>
      <c r="G108" s="117" t="e">
        <f>INTERCEPT(G98:G103,F98:F103)</f>
        <v>#DIV/0!</v>
      </c>
      <c r="H108" s="117" t="e">
        <f>INTERCEPT(H98:H103,F98:F103)</f>
        <v>#DIV/0!</v>
      </c>
      <c r="J108" s="117" t="s">
        <v>578</v>
      </c>
      <c r="K108" s="117" t="e">
        <f>INTERCEPT(K98:K102,J98:J102)</f>
        <v>#DIV/0!</v>
      </c>
      <c r="L108" s="117" t="e">
        <f>INTERCEPT(L98:L102,J98:J102)</f>
        <v>#DIV/0!</v>
      </c>
      <c r="N108" s="117" t="s">
        <v>578</v>
      </c>
      <c r="O108" s="117" t="e">
        <f>INTERCEPT(O98:O103,N98:N103)</f>
        <v>#REF!</v>
      </c>
      <c r="P108" s="117" t="e">
        <f>INTERCEPT(P98:P103,N98:N103)</f>
        <v>#REF!</v>
      </c>
      <c r="T108" s="117" t="s">
        <v>573</v>
      </c>
      <c r="U108" s="117" t="s">
        <v>573</v>
      </c>
      <c r="V108" s="117" t="s">
        <v>573</v>
      </c>
      <c r="W108" s="117" t="s">
        <v>573</v>
      </c>
      <c r="X108" s="117" t="s">
        <v>573</v>
      </c>
      <c r="Y108" s="117" t="s">
        <v>573</v>
      </c>
    </row>
    <row r="109" spans="1:25">
      <c r="B109" s="117" t="s">
        <v>579</v>
      </c>
      <c r="C109" s="117" t="e">
        <f>RSQ(C98:C106,B98:B106)</f>
        <v>#REF!</v>
      </c>
      <c r="D109" s="117" t="e">
        <f>RSQ(D98:D106,B98:B106)</f>
        <v>#REF!</v>
      </c>
      <c r="F109" s="117" t="s">
        <v>579</v>
      </c>
      <c r="G109" s="117" t="e">
        <f>RSQ(G98:G103,F98:F103)</f>
        <v>#DIV/0!</v>
      </c>
      <c r="H109" s="117" t="e">
        <f>RSQ(H98:H103,F98:F103)</f>
        <v>#DIV/0!</v>
      </c>
      <c r="J109" s="117" t="s">
        <v>579</v>
      </c>
      <c r="K109" s="117" t="e">
        <f>RSQ(K98:K102,J98:J102)</f>
        <v>#DIV/0!</v>
      </c>
      <c r="L109" s="117" t="e">
        <f>RSQ(L98:L102,J98:J102)</f>
        <v>#DIV/0!</v>
      </c>
      <c r="N109" s="117" t="s">
        <v>579</v>
      </c>
      <c r="O109" s="117" t="e">
        <f>RSQ(O98:O103,N98:N103)</f>
        <v>#REF!</v>
      </c>
      <c r="P109" s="117" t="e">
        <f>RSQ(P98:P103,N98:N103)</f>
        <v>#REF!</v>
      </c>
      <c r="T109" s="117" t="s">
        <v>573</v>
      </c>
      <c r="U109" s="117" t="s">
        <v>573</v>
      </c>
      <c r="V109" s="117" t="s">
        <v>573</v>
      </c>
      <c r="W109" s="117" t="s">
        <v>573</v>
      </c>
      <c r="X109" s="117" t="s">
        <v>573</v>
      </c>
      <c r="Y109" s="117" t="s">
        <v>573</v>
      </c>
    </row>
    <row r="110" spans="1:25">
      <c r="A110" s="117" t="s">
        <v>338</v>
      </c>
      <c r="T110" s="117" t="s">
        <v>573</v>
      </c>
      <c r="U110" s="117" t="s">
        <v>573</v>
      </c>
      <c r="V110" s="117" t="s">
        <v>573</v>
      </c>
      <c r="W110" s="117" t="s">
        <v>573</v>
      </c>
      <c r="X110" s="117" t="s">
        <v>573</v>
      </c>
      <c r="Y110" s="117" t="s">
        <v>573</v>
      </c>
    </row>
    <row r="111" spans="1:25">
      <c r="A111" s="117" t="s">
        <v>390</v>
      </c>
      <c r="B111" s="117" t="s">
        <v>234</v>
      </c>
      <c r="C111" s="117" t="s">
        <v>334</v>
      </c>
      <c r="D111" s="117" t="s">
        <v>390</v>
      </c>
      <c r="E111" s="117" t="s">
        <v>234</v>
      </c>
      <c r="F111" s="117" t="s">
        <v>334</v>
      </c>
      <c r="G111" s="117" t="s">
        <v>390</v>
      </c>
      <c r="H111" s="117" t="s">
        <v>234</v>
      </c>
      <c r="I111" s="117" t="s">
        <v>334</v>
      </c>
      <c r="J111" s="117" t="s">
        <v>390</v>
      </c>
      <c r="K111" s="117" t="s">
        <v>234</v>
      </c>
      <c r="L111" s="117" t="s">
        <v>334</v>
      </c>
      <c r="T111" s="117" t="s">
        <v>573</v>
      </c>
      <c r="U111" s="117" t="s">
        <v>573</v>
      </c>
      <c r="V111" s="117" t="s">
        <v>573</v>
      </c>
      <c r="W111" s="117" t="s">
        <v>573</v>
      </c>
      <c r="X111" s="117" t="s">
        <v>573</v>
      </c>
      <c r="Y111" s="117" t="s">
        <v>573</v>
      </c>
    </row>
    <row r="112" spans="1:25">
      <c r="A112" s="117" t="str">
        <f>A98</f>
        <v/>
      </c>
      <c r="B112" s="117">
        <v>24</v>
      </c>
      <c r="C112" s="554" t="str">
        <f>Sheet1!Q470</f>
        <v/>
      </c>
      <c r="D112" s="117" t="str">
        <f>E98</f>
        <v/>
      </c>
      <c r="E112" s="117">
        <v>28</v>
      </c>
      <c r="F112" s="554" t="str">
        <f>Sheet1!U470</f>
        <v/>
      </c>
      <c r="G112" s="117" t="str">
        <f>I98</f>
        <v/>
      </c>
      <c r="H112" s="117">
        <v>28</v>
      </c>
      <c r="I112" s="554" t="str">
        <f>Sheet1!Q482</f>
        <v/>
      </c>
      <c r="J112" s="117" t="str">
        <f>M98</f>
        <v/>
      </c>
      <c r="K112" s="117">
        <v>32</v>
      </c>
      <c r="L112" s="554" t="e">
        <f>Sheet1!Q492</f>
        <v>#REF!</v>
      </c>
      <c r="T112" s="117" t="s">
        <v>573</v>
      </c>
      <c r="U112" s="117" t="s">
        <v>573</v>
      </c>
      <c r="V112" s="117" t="s">
        <v>573</v>
      </c>
      <c r="W112" s="117" t="s">
        <v>573</v>
      </c>
      <c r="X112" s="117" t="s">
        <v>573</v>
      </c>
      <c r="Y112" s="117" t="s">
        <v>573</v>
      </c>
    </row>
    <row r="113" spans="1:25">
      <c r="A113" s="117" t="s">
        <v>233</v>
      </c>
      <c r="B113" s="117">
        <v>25</v>
      </c>
      <c r="C113" s="554" t="str">
        <f>Sheet1!R470</f>
        <v/>
      </c>
      <c r="D113" s="117" t="s">
        <v>233</v>
      </c>
      <c r="E113" s="117">
        <v>30</v>
      </c>
      <c r="F113" s="554" t="str">
        <f>Sheet1!V470</f>
        <v/>
      </c>
      <c r="G113" s="117" t="s">
        <v>233</v>
      </c>
      <c r="H113" s="117">
        <v>30</v>
      </c>
      <c r="I113" s="554" t="str">
        <f>Sheet1!R482</f>
        <v/>
      </c>
      <c r="J113" s="117" t="s">
        <v>233</v>
      </c>
      <c r="K113" s="117">
        <v>34</v>
      </c>
      <c r="L113" s="554" t="e">
        <f>Sheet1!R492</f>
        <v>#REF!</v>
      </c>
      <c r="M113" s="554" t="e">
        <f>Sheet1!S492</f>
        <v>#REF!</v>
      </c>
      <c r="T113" s="117" t="s">
        <v>573</v>
      </c>
      <c r="U113" s="117" t="s">
        <v>573</v>
      </c>
      <c r="V113" s="117" t="s">
        <v>573</v>
      </c>
      <c r="W113" s="117" t="s">
        <v>573</v>
      </c>
      <c r="X113" s="117" t="s">
        <v>573</v>
      </c>
      <c r="Y113" s="117" t="s">
        <v>573</v>
      </c>
    </row>
    <row r="114" spans="1:25">
      <c r="A114" s="117" t="str">
        <f>A100</f>
        <v/>
      </c>
      <c r="B114" s="117">
        <v>26</v>
      </c>
      <c r="C114" s="554" t="e">
        <f>Sheet1!#REF!</f>
        <v>#REF!</v>
      </c>
      <c r="D114" s="117" t="str">
        <f>E100</f>
        <v/>
      </c>
      <c r="E114" s="117">
        <v>32</v>
      </c>
      <c r="F114" s="554" t="str">
        <f>Sheet1!W470</f>
        <v/>
      </c>
      <c r="G114" s="117" t="str">
        <f>I100</f>
        <v/>
      </c>
      <c r="H114" s="117">
        <v>32</v>
      </c>
      <c r="I114" s="554" t="str">
        <f>Sheet1!S482</f>
        <v/>
      </c>
      <c r="J114" s="117" t="str">
        <f>M100</f>
        <v/>
      </c>
      <c r="K114" s="117">
        <v>36</v>
      </c>
      <c r="L114" s="554" t="e">
        <f>Sheet1!S492</f>
        <v>#REF!</v>
      </c>
      <c r="T114" s="117" t="s">
        <v>573</v>
      </c>
      <c r="U114" s="117" t="s">
        <v>573</v>
      </c>
      <c r="V114" s="117" t="s">
        <v>573</v>
      </c>
      <c r="W114" s="117" t="s">
        <v>573</v>
      </c>
      <c r="X114" s="117" t="s">
        <v>573</v>
      </c>
      <c r="Y114" s="117" t="s">
        <v>573</v>
      </c>
    </row>
    <row r="115" spans="1:25">
      <c r="B115" s="117">
        <v>28</v>
      </c>
      <c r="C115" s="554" t="str">
        <f>Sheet1!S470</f>
        <v/>
      </c>
      <c r="E115" s="117">
        <v>34</v>
      </c>
      <c r="F115" s="554" t="str">
        <f>Sheet1!X470</f>
        <v/>
      </c>
      <c r="H115" s="117">
        <v>34</v>
      </c>
      <c r="I115" s="554" t="str">
        <f>Sheet1!T482</f>
        <v/>
      </c>
      <c r="K115" s="117">
        <v>38</v>
      </c>
      <c r="L115" s="554" t="e">
        <f>Sheet1!T492</f>
        <v>#REF!</v>
      </c>
      <c r="T115" s="117" t="s">
        <v>573</v>
      </c>
      <c r="U115" s="117" t="s">
        <v>573</v>
      </c>
      <c r="V115" s="117" t="s">
        <v>573</v>
      </c>
      <c r="W115" s="117" t="s">
        <v>573</v>
      </c>
      <c r="X115" s="117" t="s">
        <v>573</v>
      </c>
      <c r="Y115" s="117" t="s">
        <v>573</v>
      </c>
    </row>
    <row r="116" spans="1:25">
      <c r="B116" s="117">
        <v>30</v>
      </c>
      <c r="C116" s="554" t="e">
        <f>Sheet1!#REF!</f>
        <v>#REF!</v>
      </c>
      <c r="E116" s="117">
        <v>36</v>
      </c>
      <c r="F116" s="554" t="e">
        <f>Sheet1!#REF!</f>
        <v>#REF!</v>
      </c>
      <c r="H116" s="117">
        <v>36</v>
      </c>
      <c r="I116" s="554" t="str">
        <f>Sheet1!U482</f>
        <v/>
      </c>
      <c r="K116" s="117">
        <v>40</v>
      </c>
      <c r="L116" s="554" t="e">
        <f>Sheet1!U492</f>
        <v>#REF!</v>
      </c>
      <c r="T116" s="117" t="s">
        <v>573</v>
      </c>
      <c r="U116" s="117" t="s">
        <v>573</v>
      </c>
      <c r="V116" s="117" t="s">
        <v>573</v>
      </c>
      <c r="W116" s="117" t="s">
        <v>573</v>
      </c>
      <c r="X116" s="117" t="s">
        <v>573</v>
      </c>
      <c r="Y116" s="117" t="s">
        <v>573</v>
      </c>
    </row>
    <row r="117" spans="1:25">
      <c r="B117" s="117">
        <v>32</v>
      </c>
      <c r="C117" s="554" t="str">
        <f>Sheet1!T470</f>
        <v/>
      </c>
      <c r="E117" s="117">
        <v>38</v>
      </c>
      <c r="F117" s="554" t="e">
        <f>Sheet1!#REF!</f>
        <v>#REF!</v>
      </c>
      <c r="H117" s="117">
        <v>38</v>
      </c>
      <c r="I117" s="554" t="str">
        <f>Sheet1!V482</f>
        <v/>
      </c>
      <c r="K117" s="117">
        <v>45</v>
      </c>
      <c r="L117" s="554" t="e">
        <f>Sheet1!V492</f>
        <v>#REF!</v>
      </c>
    </row>
    <row r="118" spans="1:25">
      <c r="B118" s="117">
        <v>34</v>
      </c>
      <c r="C118" s="554" t="e">
        <f>AVERAGE(Sheet1!#REF!)</f>
        <v>#REF!</v>
      </c>
      <c r="F118" s="554"/>
      <c r="I118" s="554"/>
    </row>
    <row r="119" spans="1:25">
      <c r="B119" s="117">
        <v>36</v>
      </c>
      <c r="C119" s="554" t="e">
        <f>Sheet1!#REF!</f>
        <v>#REF!</v>
      </c>
      <c r="F119" s="554"/>
      <c r="I119" s="554"/>
    </row>
    <row r="120" spans="1:25">
      <c r="B120" s="117">
        <v>38</v>
      </c>
      <c r="C120" s="554" t="e">
        <f>Sheet1!#REF!</f>
        <v>#REF!</v>
      </c>
      <c r="F120" s="554"/>
      <c r="I120" s="554"/>
    </row>
    <row r="121" spans="1:25">
      <c r="B121" s="117" t="s">
        <v>577</v>
      </c>
      <c r="C121" s="117" t="e">
        <f>SLOPE(C112:C120,B112:B120)</f>
        <v>#REF!</v>
      </c>
      <c r="E121" s="117" t="s">
        <v>577</v>
      </c>
      <c r="F121" s="117" t="e">
        <f>SLOPE(F112:F117,E112:E117)</f>
        <v>#REF!</v>
      </c>
      <c r="H121" s="117" t="s">
        <v>577</v>
      </c>
      <c r="I121" s="117" t="e">
        <f>SLOPE(I112:I117,H112:H117)</f>
        <v>#DIV/0!</v>
      </c>
      <c r="K121" s="117" t="s">
        <v>577</v>
      </c>
      <c r="L121" s="117" t="e">
        <f>SLOPE(L112:L117,K112:K117)</f>
        <v>#REF!</v>
      </c>
      <c r="T121" s="117" t="s">
        <v>573</v>
      </c>
      <c r="U121" s="117" t="s">
        <v>573</v>
      </c>
      <c r="V121" s="117" t="s">
        <v>573</v>
      </c>
      <c r="W121" s="117" t="s">
        <v>573</v>
      </c>
      <c r="X121" s="117" t="s">
        <v>573</v>
      </c>
      <c r="Y121" s="117" t="s">
        <v>573</v>
      </c>
    </row>
    <row r="122" spans="1:25">
      <c r="B122" s="117" t="s">
        <v>578</v>
      </c>
      <c r="C122" s="117" t="e">
        <f>INTERCEPT(C112:C120,B112:B120)</f>
        <v>#REF!</v>
      </c>
      <c r="E122" s="117" t="s">
        <v>578</v>
      </c>
      <c r="F122" s="117" t="e">
        <f>INTERCEPT(F112:F117,E112:E117)</f>
        <v>#REF!</v>
      </c>
      <c r="H122" s="117" t="s">
        <v>578</v>
      </c>
      <c r="I122" s="117" t="e">
        <f>INTERCEPT(I112:I117,H112:H117)</f>
        <v>#DIV/0!</v>
      </c>
      <c r="K122" s="117" t="s">
        <v>578</v>
      </c>
      <c r="L122" s="117" t="e">
        <f>INTERCEPT(L112:L117,K112:K117)</f>
        <v>#REF!</v>
      </c>
      <c r="T122" s="117" t="s">
        <v>573</v>
      </c>
      <c r="U122" s="117" t="s">
        <v>573</v>
      </c>
      <c r="V122" s="117" t="s">
        <v>573</v>
      </c>
      <c r="W122" s="117" t="s">
        <v>573</v>
      </c>
      <c r="X122" s="117" t="s">
        <v>573</v>
      </c>
      <c r="Y122" s="117" t="s">
        <v>573</v>
      </c>
    </row>
    <row r="123" spans="1:25">
      <c r="B123" s="117" t="s">
        <v>579</v>
      </c>
      <c r="C123" s="117" t="e">
        <f>RSQ(C112:C120,B112:B120)</f>
        <v>#REF!</v>
      </c>
      <c r="E123" s="117" t="s">
        <v>579</v>
      </c>
      <c r="F123" s="117" t="e">
        <f>RSQ(F112:F117,E112:E117)</f>
        <v>#REF!</v>
      </c>
      <c r="H123" s="117" t="s">
        <v>579</v>
      </c>
      <c r="I123" s="117" t="e">
        <f>RSQ(I112:I117,H112:H117)</f>
        <v>#DIV/0!</v>
      </c>
      <c r="K123" s="117" t="s">
        <v>579</v>
      </c>
      <c r="L123" s="117" t="e">
        <f>RSQ(L112:L117,K112:K117)</f>
        <v>#REF!</v>
      </c>
      <c r="T123" s="117" t="s">
        <v>573</v>
      </c>
      <c r="U123" s="117" t="s">
        <v>573</v>
      </c>
      <c r="V123" s="117" t="s">
        <v>573</v>
      </c>
      <c r="W123" s="117" t="s">
        <v>573</v>
      </c>
      <c r="X123" s="117" t="s">
        <v>573</v>
      </c>
      <c r="Y123" s="117" t="s">
        <v>573</v>
      </c>
    </row>
    <row r="124" spans="1:25">
      <c r="A124" s="484" t="s">
        <v>390</v>
      </c>
      <c r="B124" s="484" t="s">
        <v>233</v>
      </c>
      <c r="C124" s="484" t="s">
        <v>580</v>
      </c>
      <c r="E124" s="117" t="s">
        <v>581</v>
      </c>
      <c r="F124" s="117" t="s">
        <v>582</v>
      </c>
      <c r="T124" s="117" t="s">
        <v>573</v>
      </c>
      <c r="U124" s="117" t="s">
        <v>573</v>
      </c>
      <c r="V124" s="117" t="s">
        <v>573</v>
      </c>
      <c r="W124" s="117" t="s">
        <v>573</v>
      </c>
      <c r="X124" s="117" t="s">
        <v>573</v>
      </c>
      <c r="Y124" s="117" t="s">
        <v>573</v>
      </c>
    </row>
    <row r="125" spans="1:25">
      <c r="A125" s="484" t="s">
        <v>583</v>
      </c>
      <c r="B125" s="484" t="s">
        <v>583</v>
      </c>
      <c r="C125" s="484">
        <v>0.12</v>
      </c>
      <c r="F125" s="117" t="s">
        <v>584</v>
      </c>
      <c r="T125" s="117" t="s">
        <v>573</v>
      </c>
      <c r="U125" s="117" t="s">
        <v>573</v>
      </c>
      <c r="V125" s="117" t="s">
        <v>573</v>
      </c>
      <c r="W125" s="117" t="s">
        <v>573</v>
      </c>
      <c r="X125" s="117" t="s">
        <v>573</v>
      </c>
      <c r="Y125" s="117" t="s">
        <v>573</v>
      </c>
    </row>
    <row r="126" spans="1:25">
      <c r="A126" s="484" t="s">
        <v>583</v>
      </c>
      <c r="B126" s="484" t="s">
        <v>585</v>
      </c>
      <c r="C126" s="484">
        <v>0.19</v>
      </c>
      <c r="F126" s="117" t="s">
        <v>586</v>
      </c>
      <c r="T126" s="117" t="s">
        <v>573</v>
      </c>
      <c r="U126" s="117" t="s">
        <v>573</v>
      </c>
      <c r="V126" s="117" t="s">
        <v>573</v>
      </c>
      <c r="W126" s="117" t="s">
        <v>573</v>
      </c>
      <c r="X126" s="117" t="s">
        <v>573</v>
      </c>
      <c r="Y126" s="117" t="s">
        <v>573</v>
      </c>
    </row>
    <row r="127" spans="1:25">
      <c r="A127" s="484" t="s">
        <v>585</v>
      </c>
      <c r="B127" s="484" t="s">
        <v>585</v>
      </c>
      <c r="C127" s="484">
        <v>0.22</v>
      </c>
      <c r="T127" s="117" t="s">
        <v>573</v>
      </c>
      <c r="U127" s="117" t="s">
        <v>573</v>
      </c>
      <c r="V127" s="117" t="s">
        <v>573</v>
      </c>
      <c r="W127" s="117" t="s">
        <v>573</v>
      </c>
      <c r="X127" s="117" t="s">
        <v>573</v>
      </c>
      <c r="Y127" s="117" t="s">
        <v>573</v>
      </c>
    </row>
    <row r="128" spans="1:25">
      <c r="T128" s="117" t="s">
        <v>573</v>
      </c>
      <c r="U128" s="117" t="s">
        <v>573</v>
      </c>
      <c r="V128" s="117" t="s">
        <v>573</v>
      </c>
      <c r="W128" s="117" t="s">
        <v>573</v>
      </c>
      <c r="X128" s="117" t="s">
        <v>573</v>
      </c>
      <c r="Y128" s="117" t="s">
        <v>573</v>
      </c>
    </row>
    <row r="129" spans="1:25">
      <c r="A129" s="117" t="s">
        <v>587</v>
      </c>
      <c r="B129" s="117" t="e">
        <f>"DGN values (mrad/R) for "&amp;Sheet1!$T$291&amp;" kV and HVL="&amp;ROUND(Sheet1!$X$294,2)&amp;" mm Al"</f>
        <v>#VALUE!</v>
      </c>
      <c r="G129" s="661" t="s">
        <v>424</v>
      </c>
      <c r="H129" s="661"/>
      <c r="I129" s="661"/>
      <c r="T129" s="117" t="s">
        <v>573</v>
      </c>
      <c r="U129" s="117" t="s">
        <v>573</v>
      </c>
      <c r="V129" s="117" t="s">
        <v>573</v>
      </c>
      <c r="W129" s="117" t="s">
        <v>573</v>
      </c>
      <c r="X129" s="117" t="s">
        <v>573</v>
      </c>
      <c r="Y129" s="117" t="s">
        <v>573</v>
      </c>
    </row>
    <row r="130" spans="1:25">
      <c r="A130" s="117" t="s">
        <v>588</v>
      </c>
      <c r="B130" s="117" t="s">
        <v>589</v>
      </c>
      <c r="C130" s="117" t="s">
        <v>590</v>
      </c>
      <c r="D130" s="117" t="s">
        <v>574</v>
      </c>
      <c r="E130" s="117" t="s">
        <v>575</v>
      </c>
      <c r="F130" s="117" t="s">
        <v>576</v>
      </c>
      <c r="G130" s="117" t="s">
        <v>574</v>
      </c>
      <c r="H130" s="117" t="s">
        <v>575</v>
      </c>
      <c r="I130" s="117" t="s">
        <v>576</v>
      </c>
      <c r="T130" s="117" t="s">
        <v>573</v>
      </c>
      <c r="U130" s="117" t="s">
        <v>573</v>
      </c>
      <c r="V130" s="117" t="s">
        <v>573</v>
      </c>
      <c r="W130" s="117" t="s">
        <v>573</v>
      </c>
      <c r="X130" s="117" t="s">
        <v>573</v>
      </c>
      <c r="Y130" s="117" t="s">
        <v>573</v>
      </c>
    </row>
    <row r="131" spans="1:25">
      <c r="A131" s="117" t="e">
        <f>IF(ISERR(Sheet1!$T$291),"TBD",VLOOKUP(Sheet1!$X$294,A3:J23,MATCH(Sheet1!$T$291,A3:J3,0)))</f>
        <v>#N/A</v>
      </c>
      <c r="B131" s="117" t="e">
        <f>IF(ISERR(Sheet1!$T$291),"TBD",VLOOKUP(Sheet1!$X$294,K3:T23,MATCH(Sheet1!$T$291,K3:T3,0)))</f>
        <v>#N/A</v>
      </c>
      <c r="C131" s="117" t="e">
        <f>IF(ISERR(Sheet1!$T$291),"TBD",VLOOKUP(Sheet1!$X$294,U3:AD23,MATCH(Sheet1!$T$291,U3:AD3,0)))</f>
        <v>#N/A</v>
      </c>
      <c r="D131" s="117" t="e">
        <f>IF(ISERR(Sheet1!$X$294),"TBD",VLOOKUP(Sheet1!$X$294,A27:M48,MATCH(Sheet1!$T$291,A27:M27,0)))</f>
        <v>#N/A</v>
      </c>
      <c r="E131" s="117" t="e">
        <f>IF(ISERR(Sheet1!$X$294),"TBD",VLOOKUP(Sheet1!$X$294,N27:AA48,MATCH(Sheet1!$T$291,N27:AA27,0)))</f>
        <v>#N/A</v>
      </c>
      <c r="F131" s="117" t="e">
        <f>IF(ISERR(Sheet1!$X$309),"TBD",VLOOKUP(Sheet1!$X$309,A52:Z69,MATCH(Sheet1!$T$306,A52:Z52,0)))</f>
        <v>#N/A</v>
      </c>
      <c r="G131" s="117" t="e">
        <f>IF(ISERR(Sheet1!$X$329),"TBD",VLOOKUP(Sheet1!$X$329,A27:M48,MATCH(Sheet1!$T$326,A27:M27,0)))</f>
        <v>#N/A</v>
      </c>
      <c r="H131" s="117" t="e">
        <f>IF(ISERR(Sheet1!$X$329),"TBD",VLOOKUP(Sheet1!$X$329,N27:AA48,MATCH(Sheet1!$T$326,N27:AA27,0)))</f>
        <v>#N/A</v>
      </c>
      <c r="I131" s="117" t="e">
        <f>IF(ISERR(Sheet1!$X$341),"TBD",VLOOKUP(Sheet1!$X$341,A52:Z69,MATCH(Sheet1!$T$338,A52:Z52,0)))</f>
        <v>#N/A</v>
      </c>
      <c r="T131" s="117" t="s">
        <v>573</v>
      </c>
      <c r="U131" s="117" t="s">
        <v>573</v>
      </c>
      <c r="V131" s="117" t="s">
        <v>573</v>
      </c>
      <c r="W131" s="117" t="s">
        <v>573</v>
      </c>
      <c r="X131" s="117" t="s">
        <v>573</v>
      </c>
      <c r="Y131" s="117" t="s">
        <v>573</v>
      </c>
    </row>
    <row r="132" spans="1:25">
      <c r="T132" s="117" t="s">
        <v>573</v>
      </c>
      <c r="U132" s="117" t="s">
        <v>573</v>
      </c>
      <c r="V132" s="117" t="s">
        <v>573</v>
      </c>
      <c r="W132" s="117" t="s">
        <v>573</v>
      </c>
      <c r="X132" s="117" t="s">
        <v>573</v>
      </c>
      <c r="Y132" s="117" t="s">
        <v>573</v>
      </c>
    </row>
    <row r="133" spans="1:25">
      <c r="A133" s="117" t="s">
        <v>591</v>
      </c>
      <c r="T133" s="117" t="s">
        <v>573</v>
      </c>
      <c r="U133" s="117" t="s">
        <v>573</v>
      </c>
      <c r="V133" s="117" t="s">
        <v>573</v>
      </c>
      <c r="W133" s="117" t="s">
        <v>573</v>
      </c>
      <c r="X133" s="117" t="s">
        <v>573</v>
      </c>
      <c r="Y133" s="117" t="s">
        <v>573</v>
      </c>
    </row>
    <row r="134" spans="1:25">
      <c r="B134" s="117" t="s">
        <v>234</v>
      </c>
      <c r="D134" s="117" t="s">
        <v>592</v>
      </c>
      <c r="E134" s="117" t="s">
        <v>593</v>
      </c>
      <c r="F134" s="117" t="s">
        <v>570</v>
      </c>
      <c r="G134" s="117" t="s">
        <v>594</v>
      </c>
      <c r="H134" s="117" t="s">
        <v>595</v>
      </c>
      <c r="I134" s="117" t="s">
        <v>596</v>
      </c>
      <c r="J134" s="117" t="s">
        <v>597</v>
      </c>
      <c r="T134" s="117" t="s">
        <v>573</v>
      </c>
      <c r="U134" s="117" t="s">
        <v>573</v>
      </c>
      <c r="V134" s="117" t="s">
        <v>573</v>
      </c>
      <c r="W134" s="117" t="s">
        <v>573</v>
      </c>
      <c r="X134" s="117" t="s">
        <v>573</v>
      </c>
      <c r="Y134" s="117" t="s">
        <v>573</v>
      </c>
    </row>
    <row r="135" spans="1:25">
      <c r="A135" s="117" t="s">
        <v>574</v>
      </c>
      <c r="B135" s="117" t="s">
        <v>598</v>
      </c>
      <c r="C135" s="117">
        <v>27.585999999999999</v>
      </c>
      <c r="D135" s="117">
        <v>-8375.0727645925508</v>
      </c>
      <c r="E135" s="117">
        <v>975.92543560432796</v>
      </c>
      <c r="F135" s="117">
        <v>-37.913729682039403</v>
      </c>
      <c r="G135" s="117">
        <v>0.49086583472609402</v>
      </c>
      <c r="H135" s="117">
        <v>0</v>
      </c>
      <c r="I135" s="117">
        <v>0</v>
      </c>
      <c r="J135" s="117">
        <v>0</v>
      </c>
      <c r="T135" s="117" t="s">
        <v>573</v>
      </c>
      <c r="U135" s="117" t="s">
        <v>573</v>
      </c>
      <c r="V135" s="117" t="s">
        <v>573</v>
      </c>
      <c r="W135" s="117" t="s">
        <v>573</v>
      </c>
      <c r="X135" s="117" t="s">
        <v>573</v>
      </c>
      <c r="Y135" s="117" t="s">
        <v>573</v>
      </c>
    </row>
    <row r="136" spans="1:25">
      <c r="B136" s="117" t="s">
        <v>599</v>
      </c>
      <c r="C136" s="117">
        <v>27.585999999999999</v>
      </c>
      <c r="D136" s="117">
        <v>-9984.6167916494396</v>
      </c>
      <c r="E136" s="117">
        <v>1436.52454571413</v>
      </c>
      <c r="F136" s="117">
        <v>-82.505102185254898</v>
      </c>
      <c r="G136" s="117">
        <v>2.36559081763837</v>
      </c>
      <c r="H136" s="117">
        <v>-3.38672433779705E-2</v>
      </c>
      <c r="I136" s="117">
        <v>1.93686920423126E-4</v>
      </c>
      <c r="J136" s="117">
        <v>0</v>
      </c>
      <c r="T136" s="117" t="s">
        <v>573</v>
      </c>
      <c r="U136" s="117" t="s">
        <v>573</v>
      </c>
      <c r="V136" s="117" t="s">
        <v>573</v>
      </c>
      <c r="W136" s="117" t="s">
        <v>573</v>
      </c>
      <c r="X136" s="117" t="s">
        <v>573</v>
      </c>
      <c r="Y136" s="117" t="s">
        <v>573</v>
      </c>
    </row>
    <row r="137" spans="1:25">
      <c r="C137" s="117" t="s">
        <v>548</v>
      </c>
      <c r="T137" s="117" t="s">
        <v>573</v>
      </c>
      <c r="U137" s="117" t="s">
        <v>573</v>
      </c>
      <c r="V137" s="117" t="s">
        <v>573</v>
      </c>
      <c r="W137" s="117" t="s">
        <v>573</v>
      </c>
      <c r="X137" s="117" t="s">
        <v>573</v>
      </c>
      <c r="Y137" s="117" t="s">
        <v>573</v>
      </c>
    </row>
    <row r="138" spans="1:25">
      <c r="C138" s="117" t="s">
        <v>549</v>
      </c>
      <c r="T138" s="117" t="s">
        <v>573</v>
      </c>
      <c r="U138" s="117" t="s">
        <v>573</v>
      </c>
      <c r="V138" s="117" t="s">
        <v>573</v>
      </c>
      <c r="W138" s="117" t="s">
        <v>573</v>
      </c>
      <c r="X138" s="117" t="s">
        <v>573</v>
      </c>
      <c r="Y138" s="117" t="s">
        <v>573</v>
      </c>
    </row>
    <row r="139" spans="1:25">
      <c r="B139" s="117" t="s">
        <v>234</v>
      </c>
      <c r="D139" s="117" t="s">
        <v>592</v>
      </c>
      <c r="E139" s="117" t="s">
        <v>593</v>
      </c>
      <c r="F139" s="117" t="s">
        <v>570</v>
      </c>
      <c r="G139" s="117" t="s">
        <v>594</v>
      </c>
      <c r="H139" s="117" t="s">
        <v>595</v>
      </c>
      <c r="I139" s="117" t="s">
        <v>596</v>
      </c>
      <c r="J139" s="117" t="s">
        <v>597</v>
      </c>
      <c r="T139" s="117" t="s">
        <v>573</v>
      </c>
      <c r="U139" s="117" t="s">
        <v>573</v>
      </c>
      <c r="V139" s="117" t="s">
        <v>573</v>
      </c>
      <c r="W139" s="117" t="s">
        <v>573</v>
      </c>
      <c r="X139" s="117" t="s">
        <v>573</v>
      </c>
      <c r="Y139" s="117" t="s">
        <v>573</v>
      </c>
    </row>
    <row r="140" spans="1:25">
      <c r="A140" s="117" t="s">
        <v>575</v>
      </c>
      <c r="B140" s="117" t="s">
        <v>598</v>
      </c>
      <c r="C140" s="117">
        <v>30.1</v>
      </c>
      <c r="D140" s="117">
        <v>-540847.69550077303</v>
      </c>
      <c r="E140" s="117">
        <v>100186.23364273099</v>
      </c>
      <c r="F140" s="117">
        <v>-7418.4790179812599</v>
      </c>
      <c r="G140" s="117">
        <v>274.47660929577501</v>
      </c>
      <c r="H140" s="117">
        <v>-5.07436954359087</v>
      </c>
      <c r="I140" s="117">
        <v>3.7500574787580898E-2</v>
      </c>
      <c r="J140" s="117">
        <v>0</v>
      </c>
      <c r="T140" s="117" t="s">
        <v>573</v>
      </c>
      <c r="U140" s="117" t="s">
        <v>573</v>
      </c>
      <c r="V140" s="117" t="s">
        <v>573</v>
      </c>
      <c r="W140" s="117" t="s">
        <v>573</v>
      </c>
      <c r="X140" s="117" t="s">
        <v>573</v>
      </c>
      <c r="Y140" s="117" t="s">
        <v>573</v>
      </c>
    </row>
    <row r="141" spans="1:25">
      <c r="B141" s="117" t="s">
        <v>599</v>
      </c>
      <c r="C141" s="117">
        <v>30.1</v>
      </c>
      <c r="D141" s="117">
        <v>-11057.773936199201</v>
      </c>
      <c r="E141" s="117">
        <v>1297.2285673766901</v>
      </c>
      <c r="F141" s="117">
        <v>-56.989188989725697</v>
      </c>
      <c r="G141" s="117">
        <v>1.1115828564217201</v>
      </c>
      <c r="H141" s="117">
        <v>-8.1233997365129599E-3</v>
      </c>
      <c r="I141" s="117">
        <v>0</v>
      </c>
      <c r="J141" s="117">
        <v>0</v>
      </c>
      <c r="T141" s="117" t="s">
        <v>573</v>
      </c>
      <c r="U141" s="117" t="s">
        <v>573</v>
      </c>
      <c r="V141" s="117" t="s">
        <v>573</v>
      </c>
      <c r="W141" s="117" t="s">
        <v>573</v>
      </c>
      <c r="X141" s="117" t="s">
        <v>573</v>
      </c>
      <c r="Y141" s="117" t="s">
        <v>573</v>
      </c>
    </row>
    <row r="142" spans="1:25">
      <c r="C142" s="117" t="s">
        <v>553</v>
      </c>
      <c r="T142" s="117" t="s">
        <v>573</v>
      </c>
      <c r="U142" s="117" t="s">
        <v>573</v>
      </c>
      <c r="V142" s="117" t="s">
        <v>573</v>
      </c>
      <c r="W142" s="117" t="s">
        <v>573</v>
      </c>
      <c r="X142" s="117" t="s">
        <v>573</v>
      </c>
      <c r="Y142" s="117" t="s">
        <v>573</v>
      </c>
    </row>
    <row r="143" spans="1:25">
      <c r="C143" s="117" t="s">
        <v>554</v>
      </c>
      <c r="T143" s="117" t="s">
        <v>573</v>
      </c>
      <c r="U143" s="117" t="s">
        <v>573</v>
      </c>
      <c r="V143" s="117" t="s">
        <v>573</v>
      </c>
      <c r="W143" s="117" t="s">
        <v>573</v>
      </c>
      <c r="X143" s="117" t="s">
        <v>573</v>
      </c>
      <c r="Y143" s="117" t="s">
        <v>573</v>
      </c>
    </row>
    <row r="144" spans="1:25">
      <c r="T144" s="117" t="s">
        <v>573</v>
      </c>
      <c r="U144" s="117" t="s">
        <v>573</v>
      </c>
      <c r="V144" s="117" t="s">
        <v>573</v>
      </c>
      <c r="W144" s="117" t="s">
        <v>573</v>
      </c>
      <c r="X144" s="117" t="s">
        <v>573</v>
      </c>
      <c r="Y144" s="117" t="s">
        <v>573</v>
      </c>
    </row>
    <row r="145" spans="1:25">
      <c r="A145" s="117" t="s">
        <v>600</v>
      </c>
      <c r="K145" s="117" t="s">
        <v>601</v>
      </c>
      <c r="T145" s="117" t="s">
        <v>573</v>
      </c>
      <c r="U145" s="117" t="s">
        <v>573</v>
      </c>
      <c r="V145" s="117" t="s">
        <v>573</v>
      </c>
      <c r="W145" s="117" t="s">
        <v>573</v>
      </c>
      <c r="X145" s="117" t="s">
        <v>573</v>
      </c>
      <c r="Y145" s="117" t="s">
        <v>573</v>
      </c>
    </row>
    <row r="146" spans="1:25">
      <c r="B146" s="117" t="s">
        <v>234</v>
      </c>
      <c r="D146" s="117" t="s">
        <v>592</v>
      </c>
      <c r="E146" s="117" t="s">
        <v>593</v>
      </c>
      <c r="F146" s="117" t="s">
        <v>570</v>
      </c>
      <c r="G146" s="117" t="s">
        <v>594</v>
      </c>
      <c r="H146" s="117" t="s">
        <v>595</v>
      </c>
      <c r="K146" s="117" t="s">
        <v>602</v>
      </c>
      <c r="N146" s="117" t="s">
        <v>603</v>
      </c>
      <c r="T146" s="117" t="s">
        <v>573</v>
      </c>
      <c r="U146" s="117" t="s">
        <v>573</v>
      </c>
      <c r="V146" s="117" t="s">
        <v>573</v>
      </c>
      <c r="W146" s="117" t="s">
        <v>573</v>
      </c>
      <c r="X146" s="117" t="s">
        <v>573</v>
      </c>
      <c r="Y146" s="117" t="s">
        <v>573</v>
      </c>
    </row>
    <row r="147" spans="1:25">
      <c r="A147" s="117" t="s">
        <v>574</v>
      </c>
      <c r="B147" s="117" t="s">
        <v>598</v>
      </c>
      <c r="C147" s="117">
        <v>26.9</v>
      </c>
      <c r="D147" s="117">
        <v>138.88667000000001</v>
      </c>
      <c r="E147" s="117">
        <v>-10.72639</v>
      </c>
      <c r="F147" s="117">
        <v>0.26216</v>
      </c>
      <c r="G147" s="117">
        <v>-8.1999999999999998E-4</v>
      </c>
      <c r="K147" s="117" t="s">
        <v>234</v>
      </c>
      <c r="L147" s="117" t="s">
        <v>604</v>
      </c>
      <c r="M147" s="117" t="s">
        <v>605</v>
      </c>
      <c r="N147" s="117" t="s">
        <v>234</v>
      </c>
      <c r="O147" s="117" t="s">
        <v>604</v>
      </c>
      <c r="P147" s="117" t="s">
        <v>605</v>
      </c>
      <c r="T147" s="117" t="s">
        <v>573</v>
      </c>
      <c r="U147" s="117" t="s">
        <v>573</v>
      </c>
      <c r="V147" s="117" t="s">
        <v>573</v>
      </c>
      <c r="W147" s="117" t="s">
        <v>573</v>
      </c>
      <c r="X147" s="117" t="s">
        <v>573</v>
      </c>
      <c r="Y147" s="117" t="s">
        <v>573</v>
      </c>
    </row>
    <row r="148" spans="1:25">
      <c r="B148" s="117" t="s">
        <v>599</v>
      </c>
      <c r="C148" s="117">
        <v>26.9</v>
      </c>
      <c r="D148" s="117">
        <v>-5009.7751651999997</v>
      </c>
      <c r="E148" s="117">
        <v>605.73200599999996</v>
      </c>
      <c r="F148" s="117">
        <v>-27.3018617</v>
      </c>
      <c r="G148" s="117">
        <v>0.54671139999999996</v>
      </c>
      <c r="H148" s="117">
        <v>-4.0986E-3</v>
      </c>
      <c r="K148" s="117">
        <v>22</v>
      </c>
      <c r="L148" s="117">
        <v>0.2</v>
      </c>
      <c r="M148" s="117">
        <v>0.1</v>
      </c>
      <c r="N148" s="117">
        <v>22</v>
      </c>
      <c r="O148" s="117">
        <v>0.2</v>
      </c>
      <c r="P148" s="117">
        <v>-0.2</v>
      </c>
      <c r="T148" s="117" t="s">
        <v>573</v>
      </c>
      <c r="U148" s="117" t="s">
        <v>573</v>
      </c>
      <c r="V148" s="117" t="s">
        <v>573</v>
      </c>
      <c r="W148" s="117" t="s">
        <v>573</v>
      </c>
      <c r="X148" s="117" t="s">
        <v>573</v>
      </c>
      <c r="Y148" s="117" t="s">
        <v>573</v>
      </c>
    </row>
    <row r="149" spans="1:25">
      <c r="K149" s="117">
        <v>23</v>
      </c>
      <c r="L149" s="117">
        <v>0.2</v>
      </c>
      <c r="M149" s="117">
        <v>-0.1</v>
      </c>
      <c r="N149" s="117">
        <v>23</v>
      </c>
      <c r="O149" s="117">
        <v>0.4</v>
      </c>
      <c r="P149" s="117">
        <v>-0.1</v>
      </c>
      <c r="T149" s="117" t="s">
        <v>573</v>
      </c>
      <c r="U149" s="117" t="s">
        <v>573</v>
      </c>
      <c r="V149" s="117" t="s">
        <v>573</v>
      </c>
      <c r="W149" s="117" t="s">
        <v>573</v>
      </c>
      <c r="X149" s="117" t="s">
        <v>573</v>
      </c>
      <c r="Y149" s="117" t="s">
        <v>573</v>
      </c>
    </row>
    <row r="150" spans="1:25">
      <c r="A150" s="117" t="s">
        <v>575</v>
      </c>
      <c r="B150" s="117" t="s">
        <v>234</v>
      </c>
      <c r="D150" s="117" t="s">
        <v>592</v>
      </c>
      <c r="E150" s="117" t="s">
        <v>593</v>
      </c>
      <c r="F150" s="117" t="s">
        <v>570</v>
      </c>
      <c r="G150" s="117" t="s">
        <v>594</v>
      </c>
      <c r="H150" s="117" t="s">
        <v>595</v>
      </c>
      <c r="K150" s="117">
        <v>24</v>
      </c>
      <c r="L150" s="117">
        <v>0.1</v>
      </c>
      <c r="M150" s="117">
        <v>-0.4</v>
      </c>
      <c r="N150" s="117">
        <v>24</v>
      </c>
      <c r="O150" s="117">
        <v>0.4</v>
      </c>
      <c r="P150" s="117">
        <v>0</v>
      </c>
      <c r="T150" s="117" t="s">
        <v>573</v>
      </c>
      <c r="U150" s="117" t="s">
        <v>573</v>
      </c>
      <c r="V150" s="117" t="s">
        <v>573</v>
      </c>
      <c r="W150" s="117" t="s">
        <v>573</v>
      </c>
      <c r="X150" s="117" t="s">
        <v>573</v>
      </c>
      <c r="Y150" s="117" t="s">
        <v>573</v>
      </c>
    </row>
    <row r="151" spans="1:25">
      <c r="B151" s="117" t="s">
        <v>598</v>
      </c>
      <c r="C151" s="117">
        <v>28.7</v>
      </c>
      <c r="D151" s="117">
        <v>296.34185000000002</v>
      </c>
      <c r="E151" s="117">
        <v>-31.629249999999999</v>
      </c>
      <c r="F151" s="117">
        <v>1.18025</v>
      </c>
      <c r="G151" s="117">
        <v>-1.417E-2</v>
      </c>
      <c r="K151" s="117">
        <v>25</v>
      </c>
      <c r="L151" s="117">
        <v>0.1</v>
      </c>
      <c r="M151" s="117">
        <v>-0.3</v>
      </c>
      <c r="N151" s="117">
        <v>25</v>
      </c>
      <c r="O151" s="117">
        <v>0.5</v>
      </c>
      <c r="P151" s="117">
        <v>-0.1</v>
      </c>
      <c r="T151" s="117" t="s">
        <v>573</v>
      </c>
      <c r="U151" s="117" t="s">
        <v>573</v>
      </c>
      <c r="V151" s="117" t="s">
        <v>573</v>
      </c>
      <c r="W151" s="117" t="s">
        <v>573</v>
      </c>
      <c r="X151" s="117" t="s">
        <v>573</v>
      </c>
      <c r="Y151" s="117" t="s">
        <v>573</v>
      </c>
    </row>
    <row r="152" spans="1:25">
      <c r="B152" s="117" t="s">
        <v>599</v>
      </c>
      <c r="C152" s="117">
        <v>28.7</v>
      </c>
      <c r="D152" s="117">
        <v>4.8344690000000003</v>
      </c>
      <c r="E152" s="117">
        <v>0.919242</v>
      </c>
      <c r="K152" s="117">
        <v>26</v>
      </c>
      <c r="L152" s="117">
        <v>0</v>
      </c>
      <c r="M152" s="117">
        <v>-0.2</v>
      </c>
      <c r="N152" s="117">
        <v>26</v>
      </c>
      <c r="O152" s="117">
        <v>0.5</v>
      </c>
      <c r="P152" s="117">
        <v>-0.2</v>
      </c>
      <c r="T152" s="117" t="s">
        <v>573</v>
      </c>
      <c r="U152" s="117" t="s">
        <v>573</v>
      </c>
      <c r="V152" s="117" t="s">
        <v>573</v>
      </c>
      <c r="W152" s="117" t="s">
        <v>573</v>
      </c>
      <c r="X152" s="117" t="s">
        <v>573</v>
      </c>
      <c r="Y152" s="117" t="s">
        <v>573</v>
      </c>
    </row>
    <row r="153" spans="1:25">
      <c r="K153" s="117">
        <v>27</v>
      </c>
      <c r="L153" s="117">
        <v>0.1</v>
      </c>
      <c r="M153" s="117">
        <v>-0.3</v>
      </c>
      <c r="N153" s="117">
        <v>27</v>
      </c>
      <c r="O153" s="117">
        <v>0.7</v>
      </c>
      <c r="P153" s="117">
        <v>-0.2</v>
      </c>
      <c r="T153" s="117" t="s">
        <v>573</v>
      </c>
      <c r="U153" s="117" t="s">
        <v>573</v>
      </c>
      <c r="V153" s="117" t="s">
        <v>573</v>
      </c>
      <c r="W153" s="117" t="s">
        <v>573</v>
      </c>
      <c r="X153" s="117" t="s">
        <v>573</v>
      </c>
      <c r="Y153" s="117" t="s">
        <v>573</v>
      </c>
    </row>
    <row r="154" spans="1:25">
      <c r="A154" s="117" t="s">
        <v>576</v>
      </c>
      <c r="D154" s="117" t="s">
        <v>592</v>
      </c>
      <c r="E154" s="117" t="s">
        <v>593</v>
      </c>
      <c r="F154" s="117" t="s">
        <v>570</v>
      </c>
      <c r="G154" s="117" t="s">
        <v>594</v>
      </c>
      <c r="H154" s="117" t="s">
        <v>595</v>
      </c>
      <c r="K154" s="117">
        <v>28</v>
      </c>
      <c r="L154" s="117">
        <v>0.2</v>
      </c>
      <c r="M154" s="117">
        <v>-0.5</v>
      </c>
      <c r="N154" s="117">
        <v>28</v>
      </c>
      <c r="O154" s="117">
        <v>0.9</v>
      </c>
      <c r="P154" s="117">
        <v>-0.1</v>
      </c>
      <c r="T154" s="117" t="s">
        <v>573</v>
      </c>
      <c r="U154" s="117" t="s">
        <v>573</v>
      </c>
      <c r="V154" s="117" t="s">
        <v>573</v>
      </c>
      <c r="W154" s="117" t="s">
        <v>573</v>
      </c>
      <c r="X154" s="117" t="s">
        <v>573</v>
      </c>
      <c r="Y154" s="117" t="s">
        <v>573</v>
      </c>
    </row>
    <row r="155" spans="1:25">
      <c r="B155" s="117" t="s">
        <v>598</v>
      </c>
      <c r="C155" s="117">
        <v>28.7</v>
      </c>
      <c r="D155" s="117">
        <v>49.311149999999998</v>
      </c>
      <c r="E155" s="117">
        <v>-2.9301699999999999</v>
      </c>
      <c r="F155" s="117">
        <v>7.3789999999999994E-2</v>
      </c>
      <c r="K155" s="117">
        <v>29</v>
      </c>
      <c r="L155" s="117">
        <v>0.4</v>
      </c>
      <c r="M155" s="117">
        <v>-0.2</v>
      </c>
      <c r="N155" s="117">
        <v>29</v>
      </c>
      <c r="O155" s="117">
        <v>0.8</v>
      </c>
      <c r="P155" s="117">
        <v>-0.3</v>
      </c>
      <c r="T155" s="117" t="s">
        <v>573</v>
      </c>
      <c r="U155" s="117" t="s">
        <v>573</v>
      </c>
      <c r="V155" s="117" t="s">
        <v>573</v>
      </c>
      <c r="W155" s="117" t="s">
        <v>573</v>
      </c>
      <c r="X155" s="117" t="s">
        <v>573</v>
      </c>
      <c r="Y155" s="117" t="s">
        <v>573</v>
      </c>
    </row>
    <row r="156" spans="1:25">
      <c r="C156" s="117" t="s">
        <v>606</v>
      </c>
      <c r="D156" s="117">
        <v>-24.875</v>
      </c>
      <c r="E156" s="117">
        <v>1.8031999999999999</v>
      </c>
      <c r="K156" s="117">
        <v>30</v>
      </c>
      <c r="L156" s="117">
        <v>0.6</v>
      </c>
      <c r="M156" s="117">
        <v>0</v>
      </c>
      <c r="N156" s="117">
        <v>30</v>
      </c>
      <c r="O156" s="117">
        <v>0.8</v>
      </c>
      <c r="P156" s="117">
        <v>-0.4</v>
      </c>
      <c r="T156" s="117" t="s">
        <v>573</v>
      </c>
      <c r="U156" s="117" t="s">
        <v>573</v>
      </c>
      <c r="V156" s="117" t="s">
        <v>573</v>
      </c>
      <c r="W156" s="117" t="s">
        <v>573</v>
      </c>
      <c r="X156" s="117" t="s">
        <v>573</v>
      </c>
      <c r="Y156" s="117" t="s">
        <v>573</v>
      </c>
    </row>
    <row r="157" spans="1:25">
      <c r="B157" s="117" t="s">
        <v>599</v>
      </c>
      <c r="C157" s="117">
        <v>30.1</v>
      </c>
      <c r="D157" s="117">
        <v>-4.8346099999999996</v>
      </c>
      <c r="E157" s="117">
        <v>1.1571499999999999</v>
      </c>
      <c r="K157" s="117">
        <v>31</v>
      </c>
      <c r="L157" s="117">
        <v>0.8</v>
      </c>
      <c r="M157" s="117">
        <v>0.1</v>
      </c>
      <c r="N157" s="117">
        <v>31</v>
      </c>
      <c r="O157" s="117">
        <v>0.8</v>
      </c>
      <c r="P157" s="117">
        <v>-0.3</v>
      </c>
      <c r="T157" s="117" t="s">
        <v>573</v>
      </c>
      <c r="U157" s="117" t="s">
        <v>573</v>
      </c>
      <c r="V157" s="117" t="s">
        <v>573</v>
      </c>
      <c r="W157" s="117" t="s">
        <v>573</v>
      </c>
      <c r="X157" s="117" t="s">
        <v>573</v>
      </c>
      <c r="Y157" s="117" t="s">
        <v>573</v>
      </c>
    </row>
    <row r="158" spans="1:25">
      <c r="K158" s="117">
        <v>32</v>
      </c>
      <c r="L158" s="117">
        <v>1</v>
      </c>
      <c r="M158" s="117">
        <v>0.2</v>
      </c>
      <c r="N158" s="117">
        <v>32</v>
      </c>
      <c r="O158" s="117">
        <v>0.8</v>
      </c>
      <c r="P158" s="117">
        <v>-0.3</v>
      </c>
      <c r="T158" s="117" t="s">
        <v>573</v>
      </c>
      <c r="U158" s="117" t="s">
        <v>573</v>
      </c>
      <c r="V158" s="117" t="s">
        <v>573</v>
      </c>
      <c r="W158" s="117" t="s">
        <v>573</v>
      </c>
      <c r="X158" s="117" t="s">
        <v>573</v>
      </c>
      <c r="Y158" s="117" t="s">
        <v>573</v>
      </c>
    </row>
    <row r="159" spans="1:25">
      <c r="A159" s="117" t="s">
        <v>772</v>
      </c>
      <c r="K159" s="117">
        <v>33</v>
      </c>
      <c r="L159" s="117">
        <v>1</v>
      </c>
      <c r="M159" s="117">
        <v>0.4</v>
      </c>
      <c r="N159" s="117">
        <v>33</v>
      </c>
      <c r="O159" s="117">
        <v>0.9</v>
      </c>
      <c r="P159" s="117">
        <v>-0.3</v>
      </c>
      <c r="T159" s="117" t="s">
        <v>573</v>
      </c>
      <c r="U159" s="117" t="s">
        <v>573</v>
      </c>
      <c r="V159" s="117" t="s">
        <v>573</v>
      </c>
      <c r="W159" s="117" t="s">
        <v>573</v>
      </c>
      <c r="X159" s="117" t="s">
        <v>573</v>
      </c>
      <c r="Y159" s="117" t="s">
        <v>573</v>
      </c>
    </row>
    <row r="160" spans="1:25">
      <c r="A160" s="117" t="s">
        <v>773</v>
      </c>
      <c r="K160" s="117">
        <v>34</v>
      </c>
      <c r="L160" s="117">
        <v>1.1000000000000001</v>
      </c>
      <c r="M160" s="117">
        <v>0.6</v>
      </c>
      <c r="N160" s="117">
        <v>34</v>
      </c>
      <c r="O160" s="117">
        <v>1.1000000000000001</v>
      </c>
      <c r="P160" s="117">
        <v>-0.3</v>
      </c>
      <c r="T160" s="117" t="s">
        <v>573</v>
      </c>
      <c r="U160" s="117" t="s">
        <v>573</v>
      </c>
      <c r="V160" s="117" t="s">
        <v>573</v>
      </c>
      <c r="W160" s="117" t="s">
        <v>573</v>
      </c>
      <c r="X160" s="117" t="s">
        <v>573</v>
      </c>
      <c r="Y160" s="117" t="s">
        <v>573</v>
      </c>
    </row>
    <row r="161" spans="1:25">
      <c r="A161" s="117" t="s">
        <v>607</v>
      </c>
      <c r="B161" s="117">
        <v>0</v>
      </c>
      <c r="C161" s="117">
        <v>1</v>
      </c>
      <c r="D161" s="117">
        <v>2</v>
      </c>
      <c r="E161" s="117">
        <v>3</v>
      </c>
      <c r="F161" s="117">
        <v>4</v>
      </c>
      <c r="G161" s="117">
        <v>5</v>
      </c>
      <c r="H161" s="117">
        <v>6</v>
      </c>
      <c r="I161" s="117">
        <v>7</v>
      </c>
      <c r="K161" s="117">
        <v>35</v>
      </c>
      <c r="L161" s="117">
        <v>1.2</v>
      </c>
      <c r="M161" s="117">
        <v>0.6</v>
      </c>
      <c r="N161" s="117">
        <v>35</v>
      </c>
      <c r="O161" s="117">
        <v>1.1000000000000001</v>
      </c>
      <c r="P161" s="117">
        <v>-0.2</v>
      </c>
      <c r="T161" s="117" t="s">
        <v>573</v>
      </c>
      <c r="U161" s="117" t="s">
        <v>573</v>
      </c>
      <c r="V161" s="117" t="s">
        <v>573</v>
      </c>
      <c r="W161" s="117" t="s">
        <v>573</v>
      </c>
      <c r="X161" s="117" t="s">
        <v>573</v>
      </c>
      <c r="Y161" s="117" t="s">
        <v>573</v>
      </c>
    </row>
    <row r="162" spans="1:25">
      <c r="A162" s="117">
        <v>2</v>
      </c>
      <c r="B162" s="117">
        <v>1</v>
      </c>
      <c r="C162" s="117">
        <v>1</v>
      </c>
      <c r="D162" s="117">
        <v>1</v>
      </c>
      <c r="E162" s="117">
        <v>1</v>
      </c>
      <c r="F162" s="117">
        <v>1</v>
      </c>
      <c r="G162" s="117">
        <v>1</v>
      </c>
      <c r="H162" s="117">
        <v>1</v>
      </c>
      <c r="I162" s="117">
        <v>1.25</v>
      </c>
      <c r="K162" s="117">
        <v>36</v>
      </c>
      <c r="L162" s="117">
        <v>1.4</v>
      </c>
      <c r="M162" s="117">
        <v>0.6</v>
      </c>
      <c r="N162" s="117">
        <v>36</v>
      </c>
      <c r="O162" s="117">
        <v>1.2</v>
      </c>
      <c r="P162" s="117">
        <v>-0.2</v>
      </c>
      <c r="T162" s="117" t="s">
        <v>573</v>
      </c>
      <c r="U162" s="117" t="s">
        <v>573</v>
      </c>
      <c r="V162" s="117" t="s">
        <v>573</v>
      </c>
      <c r="W162" s="117" t="s">
        <v>573</v>
      </c>
      <c r="X162" s="117" t="s">
        <v>573</v>
      </c>
      <c r="Y162" s="117" t="s">
        <v>573</v>
      </c>
    </row>
    <row r="163" spans="1:25">
      <c r="A163" s="117">
        <v>4</v>
      </c>
      <c r="B163" s="117">
        <v>1</v>
      </c>
      <c r="C163" s="117">
        <v>1</v>
      </c>
      <c r="D163" s="117">
        <v>1</v>
      </c>
      <c r="E163" s="117">
        <v>1</v>
      </c>
      <c r="F163" s="117">
        <v>1</v>
      </c>
      <c r="G163" s="117">
        <v>1</v>
      </c>
      <c r="H163" s="117">
        <v>1</v>
      </c>
      <c r="I163" s="117">
        <v>1.2</v>
      </c>
      <c r="K163" s="117">
        <v>37</v>
      </c>
      <c r="L163" s="117">
        <v>1.5</v>
      </c>
      <c r="M163" s="117">
        <v>0.7</v>
      </c>
      <c r="N163" s="117">
        <v>37</v>
      </c>
      <c r="O163" s="117">
        <v>1.1000000000000001</v>
      </c>
      <c r="P163" s="117">
        <v>-0.1</v>
      </c>
      <c r="T163" s="117" t="s">
        <v>573</v>
      </c>
      <c r="U163" s="117" t="s">
        <v>573</v>
      </c>
      <c r="V163" s="117" t="s">
        <v>573</v>
      </c>
      <c r="W163" s="117" t="s">
        <v>573</v>
      </c>
      <c r="X163" s="117" t="s">
        <v>573</v>
      </c>
      <c r="Y163" s="117" t="s">
        <v>573</v>
      </c>
    </row>
    <row r="164" spans="1:25">
      <c r="A164" s="117">
        <v>6</v>
      </c>
      <c r="B164" s="117">
        <v>1.04</v>
      </c>
      <c r="C164" s="117">
        <v>1.02</v>
      </c>
      <c r="D164" s="117">
        <v>1.01</v>
      </c>
      <c r="E164" s="117">
        <v>1.08</v>
      </c>
      <c r="F164" s="117">
        <v>1.35</v>
      </c>
      <c r="G164" s="117">
        <v>1.35</v>
      </c>
      <c r="H164" s="117">
        <v>1.31</v>
      </c>
      <c r="I164" s="117">
        <v>1.35</v>
      </c>
      <c r="K164" s="117">
        <v>38</v>
      </c>
      <c r="L164" s="117">
        <v>1.6</v>
      </c>
      <c r="M164" s="117">
        <v>0.9</v>
      </c>
      <c r="N164" s="117">
        <v>38</v>
      </c>
      <c r="O164" s="117">
        <v>1.1000000000000001</v>
      </c>
      <c r="P164" s="117">
        <v>0</v>
      </c>
      <c r="T164" s="117" t="s">
        <v>573</v>
      </c>
      <c r="U164" s="117" t="s">
        <v>573</v>
      </c>
      <c r="V164" s="117" t="s">
        <v>573</v>
      </c>
      <c r="W164" s="117" t="s">
        <v>573</v>
      </c>
      <c r="X164" s="117" t="s">
        <v>573</v>
      </c>
      <c r="Y164" s="117" t="s">
        <v>573</v>
      </c>
    </row>
    <row r="165" spans="1:25">
      <c r="A165" s="117">
        <v>8</v>
      </c>
      <c r="B165" s="117">
        <v>1.23</v>
      </c>
      <c r="C165" s="117">
        <v>1.2</v>
      </c>
      <c r="D165" s="117">
        <v>1.18</v>
      </c>
      <c r="E165" s="117">
        <v>1.1000000000000001</v>
      </c>
      <c r="F165" s="117">
        <v>1.82</v>
      </c>
      <c r="G165" s="117">
        <v>1.85</v>
      </c>
      <c r="H165" s="117">
        <v>1.82</v>
      </c>
      <c r="I165" s="117">
        <v>1.82</v>
      </c>
      <c r="K165" s="117">
        <v>39</v>
      </c>
      <c r="L165" s="117">
        <v>1.7</v>
      </c>
      <c r="M165" s="117">
        <v>0.8</v>
      </c>
      <c r="N165" s="117">
        <v>39</v>
      </c>
      <c r="O165" s="117">
        <v>1.3</v>
      </c>
      <c r="P165" s="117">
        <v>0.3</v>
      </c>
      <c r="T165" s="117" t="s">
        <v>573</v>
      </c>
      <c r="U165" s="117" t="s">
        <v>573</v>
      </c>
      <c r="V165" s="117" t="s">
        <v>573</v>
      </c>
      <c r="W165" s="117" t="s">
        <v>573</v>
      </c>
      <c r="X165" s="117" t="s">
        <v>573</v>
      </c>
      <c r="Y165" s="117" t="s">
        <v>573</v>
      </c>
    </row>
    <row r="166" spans="1:25">
      <c r="A166" s="117" t="s">
        <v>774</v>
      </c>
      <c r="T166" s="117" t="s">
        <v>573</v>
      </c>
      <c r="U166" s="117" t="s">
        <v>573</v>
      </c>
      <c r="V166" s="117" t="s">
        <v>573</v>
      </c>
      <c r="W166" s="117" t="s">
        <v>573</v>
      </c>
      <c r="X166" s="117" t="s">
        <v>573</v>
      </c>
      <c r="Y166" s="117" t="s">
        <v>573</v>
      </c>
    </row>
    <row r="167" spans="1:25">
      <c r="A167" s="117" t="s">
        <v>607</v>
      </c>
      <c r="B167" s="117">
        <v>0</v>
      </c>
      <c r="C167" s="117">
        <v>1</v>
      </c>
      <c r="D167" s="117">
        <v>2</v>
      </c>
      <c r="E167" s="117">
        <v>3</v>
      </c>
      <c r="F167" s="117">
        <v>4</v>
      </c>
      <c r="T167" s="117" t="s">
        <v>573</v>
      </c>
      <c r="U167" s="117" t="s">
        <v>573</v>
      </c>
      <c r="V167" s="117" t="s">
        <v>573</v>
      </c>
      <c r="W167" s="117" t="s">
        <v>573</v>
      </c>
      <c r="X167" s="117" t="s">
        <v>573</v>
      </c>
      <c r="Y167" s="117" t="s">
        <v>573</v>
      </c>
    </row>
    <row r="168" spans="1:25">
      <c r="A168" s="117">
        <v>2</v>
      </c>
      <c r="B168" s="117">
        <v>1.1499999999999999</v>
      </c>
      <c r="C168" s="117">
        <v>1.1499999999999999</v>
      </c>
      <c r="D168" s="117">
        <v>1.1499999999999999</v>
      </c>
      <c r="E168" s="117">
        <v>1.1499999999999999</v>
      </c>
      <c r="F168" s="117">
        <v>1.5</v>
      </c>
      <c r="T168" s="117" t="s">
        <v>573</v>
      </c>
      <c r="U168" s="117" t="s">
        <v>573</v>
      </c>
      <c r="V168" s="117" t="s">
        <v>573</v>
      </c>
      <c r="W168" s="117" t="s">
        <v>573</v>
      </c>
      <c r="X168" s="117" t="s">
        <v>573</v>
      </c>
      <c r="Y168" s="117" t="s">
        <v>573</v>
      </c>
    </row>
    <row r="169" spans="1:25">
      <c r="A169" s="117">
        <v>4</v>
      </c>
      <c r="B169" s="117">
        <v>1.1499999999999999</v>
      </c>
      <c r="C169" s="117">
        <v>1.1499999999999999</v>
      </c>
      <c r="D169" s="117">
        <v>1.1499999999999999</v>
      </c>
      <c r="E169" s="117">
        <v>1.1499999999999999</v>
      </c>
      <c r="F169" s="117">
        <v>1.5</v>
      </c>
      <c r="T169" s="117" t="s">
        <v>573</v>
      </c>
      <c r="U169" s="117" t="s">
        <v>573</v>
      </c>
      <c r="V169" s="117" t="s">
        <v>573</v>
      </c>
      <c r="W169" s="117" t="s">
        <v>573</v>
      </c>
      <c r="X169" s="117" t="s">
        <v>573</v>
      </c>
      <c r="Y169" s="117" t="s">
        <v>573</v>
      </c>
    </row>
    <row r="170" spans="1:25">
      <c r="A170" s="117">
        <v>6</v>
      </c>
      <c r="B170" s="117">
        <v>1.19</v>
      </c>
      <c r="C170" s="117">
        <v>1.18</v>
      </c>
      <c r="D170" s="117">
        <v>1.18</v>
      </c>
      <c r="E170" s="117">
        <v>1.18</v>
      </c>
      <c r="F170" s="117">
        <v>1.55</v>
      </c>
      <c r="T170" s="117" t="s">
        <v>573</v>
      </c>
      <c r="U170" s="117" t="s">
        <v>573</v>
      </c>
      <c r="V170" s="117" t="s">
        <v>573</v>
      </c>
      <c r="W170" s="117" t="s">
        <v>573</v>
      </c>
      <c r="X170" s="117" t="s">
        <v>573</v>
      </c>
      <c r="Y170" s="117" t="s">
        <v>573</v>
      </c>
    </row>
    <row r="171" spans="1:25">
      <c r="A171" s="117">
        <v>8</v>
      </c>
      <c r="B171" s="117">
        <v>1.28</v>
      </c>
      <c r="C171" s="117">
        <v>1.24</v>
      </c>
      <c r="D171" s="117">
        <v>1.22</v>
      </c>
      <c r="E171" s="117">
        <v>1.29</v>
      </c>
      <c r="F171" s="117">
        <v>1.67</v>
      </c>
      <c r="T171" s="117" t="s">
        <v>573</v>
      </c>
      <c r="U171" s="117" t="s">
        <v>573</v>
      </c>
      <c r="V171" s="117" t="s">
        <v>573</v>
      </c>
      <c r="W171" s="117" t="s">
        <v>573</v>
      </c>
      <c r="X171" s="117" t="s">
        <v>573</v>
      </c>
      <c r="Y171" s="117" t="s">
        <v>573</v>
      </c>
    </row>
    <row r="172" spans="1:25">
      <c r="A172" s="117" t="s">
        <v>775</v>
      </c>
      <c r="E172" s="117" t="s">
        <v>776</v>
      </c>
      <c r="T172" s="117" t="s">
        <v>573</v>
      </c>
      <c r="U172" s="117" t="s">
        <v>573</v>
      </c>
      <c r="V172" s="117" t="s">
        <v>573</v>
      </c>
      <c r="W172" s="117" t="s">
        <v>573</v>
      </c>
      <c r="X172" s="117" t="s">
        <v>573</v>
      </c>
      <c r="Y172" s="117" t="s">
        <v>573</v>
      </c>
    </row>
    <row r="173" spans="1:25">
      <c r="A173" s="117" t="s">
        <v>607</v>
      </c>
      <c r="B173" s="117">
        <v>0</v>
      </c>
      <c r="E173" s="117" t="s">
        <v>46</v>
      </c>
      <c r="F173" s="117" t="s">
        <v>779</v>
      </c>
      <c r="G173" s="117" t="s">
        <v>780</v>
      </c>
      <c r="T173" s="117" t="s">
        <v>573</v>
      </c>
      <c r="U173" s="117" t="s">
        <v>573</v>
      </c>
      <c r="V173" s="117" t="s">
        <v>573</v>
      </c>
      <c r="W173" s="117" t="s">
        <v>573</v>
      </c>
      <c r="X173" s="117" t="s">
        <v>573</v>
      </c>
      <c r="Y173" s="117" t="s">
        <v>573</v>
      </c>
    </row>
    <row r="174" spans="1:25">
      <c r="A174" s="117">
        <v>2</v>
      </c>
      <c r="B174" s="117">
        <v>0.91</v>
      </c>
      <c r="E174" s="117">
        <v>2</v>
      </c>
      <c r="F174" s="117">
        <v>1</v>
      </c>
      <c r="G174" s="117">
        <v>0.72</v>
      </c>
      <c r="T174" s="117" t="s">
        <v>573</v>
      </c>
      <c r="U174" s="117" t="s">
        <v>573</v>
      </c>
      <c r="V174" s="117" t="s">
        <v>573</v>
      </c>
      <c r="W174" s="117" t="s">
        <v>573</v>
      </c>
      <c r="X174" s="117" t="s">
        <v>573</v>
      </c>
      <c r="Y174" s="117" t="s">
        <v>573</v>
      </c>
    </row>
    <row r="175" spans="1:25">
      <c r="A175" s="117">
        <v>4</v>
      </c>
      <c r="B175" s="117">
        <v>1</v>
      </c>
      <c r="E175" s="117">
        <v>4</v>
      </c>
      <c r="F175" s="117">
        <v>1</v>
      </c>
      <c r="G175" s="117">
        <v>0.9</v>
      </c>
      <c r="T175" s="117" t="s">
        <v>573</v>
      </c>
      <c r="U175" s="117" t="s">
        <v>573</v>
      </c>
      <c r="V175" s="117" t="s">
        <v>573</v>
      </c>
      <c r="W175" s="117" t="s">
        <v>573</v>
      </c>
      <c r="X175" s="117" t="s">
        <v>573</v>
      </c>
      <c r="Y175" s="117" t="s">
        <v>573</v>
      </c>
    </row>
    <row r="176" spans="1:25">
      <c r="A176" s="117">
        <v>6</v>
      </c>
      <c r="B176" s="117">
        <v>1.32</v>
      </c>
      <c r="E176" s="117">
        <v>6</v>
      </c>
      <c r="F176" s="117">
        <v>1.91</v>
      </c>
      <c r="G176" s="117">
        <v>1.71</v>
      </c>
      <c r="T176" s="117" t="s">
        <v>573</v>
      </c>
      <c r="U176" s="117" t="s">
        <v>573</v>
      </c>
      <c r="V176" s="117" t="s">
        <v>573</v>
      </c>
      <c r="W176" s="117" t="s">
        <v>573</v>
      </c>
      <c r="X176" s="117" t="s">
        <v>573</v>
      </c>
      <c r="Y176" s="117" t="s">
        <v>573</v>
      </c>
    </row>
    <row r="177" spans="1:25">
      <c r="A177" s="117">
        <v>8</v>
      </c>
      <c r="B177" s="117">
        <v>1.88</v>
      </c>
      <c r="E177" s="117">
        <v>8</v>
      </c>
      <c r="F177" s="117">
        <v>1.81</v>
      </c>
      <c r="G177" s="117">
        <v>2.2200000000000002</v>
      </c>
      <c r="T177" s="117" t="s">
        <v>573</v>
      </c>
      <c r="U177" s="117" t="s">
        <v>573</v>
      </c>
      <c r="V177" s="117" t="s">
        <v>573</v>
      </c>
      <c r="W177" s="117" t="s">
        <v>573</v>
      </c>
      <c r="X177" s="117" t="s">
        <v>573</v>
      </c>
      <c r="Y177" s="117" t="s">
        <v>573</v>
      </c>
    </row>
    <row r="179" spans="1:25">
      <c r="A179" s="117" t="s">
        <v>770</v>
      </c>
    </row>
    <row r="180" spans="1:25">
      <c r="A180" s="117" t="s">
        <v>777</v>
      </c>
      <c r="F180" s="117" t="s">
        <v>778</v>
      </c>
      <c r="T180" s="117" t="s">
        <v>573</v>
      </c>
      <c r="U180" s="117" t="s">
        <v>573</v>
      </c>
      <c r="V180" s="117" t="s">
        <v>573</v>
      </c>
      <c r="W180" s="117" t="s">
        <v>573</v>
      </c>
      <c r="X180" s="117" t="s">
        <v>573</v>
      </c>
      <c r="Y180" s="117" t="s">
        <v>573</v>
      </c>
    </row>
    <row r="181" spans="1:25">
      <c r="A181" s="117" t="s">
        <v>607</v>
      </c>
      <c r="B181" s="117">
        <v>0</v>
      </c>
      <c r="C181" s="117">
        <v>1</v>
      </c>
      <c r="D181" s="117">
        <v>2</v>
      </c>
      <c r="F181" s="117" t="s">
        <v>46</v>
      </c>
      <c r="G181" s="117">
        <v>0</v>
      </c>
      <c r="T181" s="117" t="s">
        <v>573</v>
      </c>
      <c r="U181" s="117" t="s">
        <v>573</v>
      </c>
      <c r="V181" s="117" t="s">
        <v>573</v>
      </c>
      <c r="W181" s="117" t="s">
        <v>573</v>
      </c>
      <c r="X181" s="117" t="s">
        <v>573</v>
      </c>
      <c r="Y181" s="117" t="s">
        <v>573</v>
      </c>
    </row>
    <row r="182" spans="1:25">
      <c r="A182" s="117">
        <v>2</v>
      </c>
      <c r="B182" s="117">
        <v>0.7</v>
      </c>
      <c r="C182" s="117">
        <v>0.7</v>
      </c>
      <c r="D182" s="117">
        <v>0.88</v>
      </c>
      <c r="F182" s="117">
        <v>2</v>
      </c>
      <c r="G182" s="117">
        <v>0.56999999999999995</v>
      </c>
      <c r="T182" s="117" t="s">
        <v>573</v>
      </c>
      <c r="U182" s="117" t="s">
        <v>573</v>
      </c>
      <c r="V182" s="117" t="s">
        <v>573</v>
      </c>
      <c r="W182" s="117" t="s">
        <v>573</v>
      </c>
      <c r="X182" s="117" t="s">
        <v>573</v>
      </c>
      <c r="Y182" s="117" t="s">
        <v>573</v>
      </c>
    </row>
    <row r="183" spans="1:25">
      <c r="A183" s="117">
        <v>4</v>
      </c>
      <c r="B183" s="117">
        <v>0.91</v>
      </c>
      <c r="C183" s="117">
        <v>0.91</v>
      </c>
      <c r="D183" s="117">
        <v>0.89</v>
      </c>
      <c r="F183" s="117">
        <v>4</v>
      </c>
      <c r="G183" s="117">
        <v>0.91</v>
      </c>
      <c r="T183" s="117" t="s">
        <v>573</v>
      </c>
      <c r="U183" s="117" t="s">
        <v>573</v>
      </c>
      <c r="V183" s="117" t="s">
        <v>573</v>
      </c>
      <c r="W183" s="117" t="s">
        <v>573</v>
      </c>
      <c r="X183" s="117" t="s">
        <v>573</v>
      </c>
      <c r="Y183" s="117" t="s">
        <v>573</v>
      </c>
    </row>
    <row r="184" spans="1:25">
      <c r="A184" s="117">
        <v>6</v>
      </c>
      <c r="B184" s="117">
        <v>1.55</v>
      </c>
      <c r="C184" s="117">
        <v>1.55</v>
      </c>
      <c r="D184" s="117">
        <v>1.59</v>
      </c>
      <c r="F184" s="117">
        <v>6</v>
      </c>
      <c r="G184" s="117">
        <v>1.68</v>
      </c>
      <c r="T184" s="117" t="s">
        <v>573</v>
      </c>
      <c r="U184" s="117" t="s">
        <v>573</v>
      </c>
      <c r="V184" s="117" t="s">
        <v>573</v>
      </c>
      <c r="W184" s="117" t="s">
        <v>573</v>
      </c>
      <c r="X184" s="117" t="s">
        <v>573</v>
      </c>
      <c r="Y184" s="117" t="s">
        <v>573</v>
      </c>
    </row>
    <row r="185" spans="1:25">
      <c r="A185" s="117">
        <v>8</v>
      </c>
      <c r="B185" s="117">
        <v>2.78</v>
      </c>
      <c r="C185" s="117">
        <v>2.78</v>
      </c>
      <c r="D185" s="117">
        <v>2.68</v>
      </c>
      <c r="F185" s="117">
        <v>8</v>
      </c>
      <c r="G185" s="117">
        <v>1.93</v>
      </c>
      <c r="T185" s="117" t="s">
        <v>573</v>
      </c>
      <c r="U185" s="117" t="s">
        <v>573</v>
      </c>
      <c r="V185" s="117" t="s">
        <v>573</v>
      </c>
      <c r="W185" s="117" t="s">
        <v>573</v>
      </c>
      <c r="X185" s="117" t="s">
        <v>573</v>
      </c>
      <c r="Y185" s="117" t="s">
        <v>573</v>
      </c>
    </row>
    <row r="187" spans="1:25">
      <c r="A187" s="117" t="s">
        <v>771</v>
      </c>
    </row>
    <row r="188" spans="1:25">
      <c r="A188" s="117" t="s">
        <v>777</v>
      </c>
    </row>
    <row r="189" spans="1:25">
      <c r="A189" s="117" t="s">
        <v>607</v>
      </c>
      <c r="B189" s="117">
        <v>0</v>
      </c>
      <c r="C189" s="117">
        <v>1</v>
      </c>
      <c r="D189" s="117">
        <v>2</v>
      </c>
    </row>
    <row r="190" spans="1:25">
      <c r="A190" s="117">
        <v>2</v>
      </c>
      <c r="B190" s="117">
        <v>0.64</v>
      </c>
      <c r="C190" s="117">
        <v>0.7</v>
      </c>
      <c r="D190" s="117">
        <v>0.88</v>
      </c>
    </row>
    <row r="191" spans="1:25">
      <c r="A191" s="117">
        <v>4</v>
      </c>
      <c r="B191" s="117">
        <v>0.91</v>
      </c>
      <c r="C191" s="117">
        <v>0.91</v>
      </c>
      <c r="D191" s="117">
        <v>0.89</v>
      </c>
    </row>
    <row r="192" spans="1:25">
      <c r="A192" s="117">
        <v>6</v>
      </c>
      <c r="B192" s="117">
        <v>1.55</v>
      </c>
      <c r="C192" s="117">
        <v>1.55</v>
      </c>
      <c r="D192" s="117">
        <v>1.59</v>
      </c>
    </row>
    <row r="193" spans="1:25">
      <c r="A193" s="117">
        <v>8</v>
      </c>
      <c r="B193" s="117">
        <v>2.78</v>
      </c>
      <c r="C193" s="117">
        <v>2.78</v>
      </c>
      <c r="D193" s="117">
        <v>2.68</v>
      </c>
    </row>
    <row r="194" spans="1:25">
      <c r="T194" s="117" t="s">
        <v>573</v>
      </c>
      <c r="U194" s="117" t="s">
        <v>573</v>
      </c>
      <c r="V194" s="117" t="s">
        <v>573</v>
      </c>
      <c r="W194" s="117" t="s">
        <v>573</v>
      </c>
      <c r="X194" s="117" t="s">
        <v>573</v>
      </c>
      <c r="Y194" s="117" t="s">
        <v>573</v>
      </c>
    </row>
    <row r="195" spans="1:25">
      <c r="A195" s="117" t="s">
        <v>608</v>
      </c>
      <c r="T195" s="117" t="s">
        <v>573</v>
      </c>
      <c r="U195" s="117" t="s">
        <v>573</v>
      </c>
      <c r="V195" s="117" t="s">
        <v>573</v>
      </c>
      <c r="W195" s="117" t="s">
        <v>573</v>
      </c>
      <c r="X195" s="117" t="s">
        <v>573</v>
      </c>
      <c r="Y195" s="117" t="s">
        <v>573</v>
      </c>
    </row>
    <row r="196" spans="1:25">
      <c r="A196" s="117" t="s">
        <v>607</v>
      </c>
      <c r="B196" s="117">
        <v>0</v>
      </c>
      <c r="D196" s="117">
        <v>1</v>
      </c>
      <c r="F196" s="117">
        <v>2</v>
      </c>
      <c r="H196" s="117">
        <v>2</v>
      </c>
      <c r="T196" s="117" t="s">
        <v>573</v>
      </c>
      <c r="U196" s="117" t="s">
        <v>573</v>
      </c>
      <c r="V196" s="117" t="s">
        <v>573</v>
      </c>
      <c r="W196" s="117" t="s">
        <v>573</v>
      </c>
      <c r="X196" s="117" t="s">
        <v>573</v>
      </c>
      <c r="Y196" s="117" t="s">
        <v>573</v>
      </c>
    </row>
    <row r="197" spans="1:25">
      <c r="B197" s="117" t="s">
        <v>604</v>
      </c>
      <c r="C197" s="117" t="s">
        <v>605</v>
      </c>
      <c r="D197" s="117" t="s">
        <v>604</v>
      </c>
      <c r="E197" s="117" t="s">
        <v>605</v>
      </c>
      <c r="F197" s="117" t="s">
        <v>604</v>
      </c>
      <c r="G197" s="117" t="s">
        <v>605</v>
      </c>
      <c r="H197" s="117" t="s">
        <v>604</v>
      </c>
      <c r="I197" s="117" t="s">
        <v>605</v>
      </c>
      <c r="T197" s="117" t="s">
        <v>573</v>
      </c>
      <c r="U197" s="117" t="s">
        <v>573</v>
      </c>
      <c r="V197" s="117" t="s">
        <v>573</v>
      </c>
      <c r="W197" s="117" t="s">
        <v>573</v>
      </c>
      <c r="X197" s="117" t="s">
        <v>573</v>
      </c>
      <c r="Y197" s="117" t="s">
        <v>573</v>
      </c>
    </row>
    <row r="198" spans="1:25">
      <c r="A198" s="117">
        <v>0</v>
      </c>
      <c r="B198" s="117">
        <v>1</v>
      </c>
      <c r="C198" s="117">
        <v>1</v>
      </c>
      <c r="D198" s="117">
        <v>1</v>
      </c>
      <c r="E198" s="117">
        <v>1</v>
      </c>
      <c r="F198" s="117">
        <v>1</v>
      </c>
      <c r="G198" s="117">
        <v>1</v>
      </c>
      <c r="H198" s="117">
        <v>1</v>
      </c>
      <c r="I198" s="117">
        <v>1</v>
      </c>
      <c r="T198" s="117" t="s">
        <v>573</v>
      </c>
      <c r="U198" s="117" t="s">
        <v>573</v>
      </c>
      <c r="V198" s="117" t="s">
        <v>573</v>
      </c>
      <c r="W198" s="117" t="s">
        <v>573</v>
      </c>
      <c r="X198" s="117" t="s">
        <v>573</v>
      </c>
      <c r="Y198" s="117" t="s">
        <v>573</v>
      </c>
    </row>
    <row r="199" spans="1:25">
      <c r="A199" s="117">
        <v>1</v>
      </c>
      <c r="B199" s="117">
        <v>1</v>
      </c>
      <c r="C199" s="117">
        <v>1</v>
      </c>
      <c r="D199" s="117">
        <v>1</v>
      </c>
      <c r="E199" s="117">
        <v>1</v>
      </c>
      <c r="F199" s="117">
        <v>1</v>
      </c>
      <c r="G199" s="117">
        <v>1</v>
      </c>
      <c r="H199" s="117">
        <v>1</v>
      </c>
      <c r="I199" s="117">
        <v>1</v>
      </c>
      <c r="T199" s="117" t="s">
        <v>573</v>
      </c>
      <c r="U199" s="117" t="s">
        <v>573</v>
      </c>
      <c r="V199" s="117" t="s">
        <v>573</v>
      </c>
      <c r="W199" s="117" t="s">
        <v>573</v>
      </c>
      <c r="X199" s="117" t="s">
        <v>573</v>
      </c>
      <c r="Y199" s="117" t="s">
        <v>573</v>
      </c>
    </row>
    <row r="200" spans="1:25">
      <c r="A200" s="117">
        <v>2</v>
      </c>
      <c r="B200" s="117">
        <v>1</v>
      </c>
      <c r="C200" s="117">
        <v>1</v>
      </c>
      <c r="D200" s="117">
        <v>1</v>
      </c>
      <c r="E200" s="117">
        <v>1</v>
      </c>
      <c r="F200" s="117">
        <v>1</v>
      </c>
      <c r="G200" s="117">
        <v>1</v>
      </c>
      <c r="H200" s="117">
        <v>1</v>
      </c>
      <c r="I200" s="117">
        <v>1</v>
      </c>
      <c r="T200" s="117" t="s">
        <v>573</v>
      </c>
      <c r="U200" s="117" t="s">
        <v>573</v>
      </c>
      <c r="V200" s="117" t="s">
        <v>573</v>
      </c>
      <c r="W200" s="117" t="s">
        <v>573</v>
      </c>
      <c r="X200" s="117" t="s">
        <v>573</v>
      </c>
      <c r="Y200" s="117" t="s">
        <v>573</v>
      </c>
    </row>
    <row r="201" spans="1:25">
      <c r="A201" s="117">
        <v>3</v>
      </c>
      <c r="B201" s="117">
        <v>1</v>
      </c>
      <c r="C201" s="117">
        <v>1</v>
      </c>
      <c r="D201" s="117">
        <v>1</v>
      </c>
      <c r="E201" s="117">
        <v>1</v>
      </c>
      <c r="F201" s="117">
        <v>1</v>
      </c>
      <c r="G201" s="117">
        <v>1</v>
      </c>
      <c r="H201" s="117">
        <v>1</v>
      </c>
      <c r="I201" s="117">
        <v>1</v>
      </c>
      <c r="T201" s="117" t="s">
        <v>573</v>
      </c>
      <c r="U201" s="117" t="s">
        <v>573</v>
      </c>
      <c r="V201" s="117" t="s">
        <v>573</v>
      </c>
      <c r="W201" s="117" t="s">
        <v>573</v>
      </c>
      <c r="X201" s="117" t="s">
        <v>573</v>
      </c>
      <c r="Y201" s="117" t="s">
        <v>573</v>
      </c>
    </row>
    <row r="202" spans="1:25">
      <c r="A202" s="117">
        <v>4</v>
      </c>
      <c r="B202" s="117">
        <v>1</v>
      </c>
      <c r="C202" s="117">
        <v>1</v>
      </c>
      <c r="D202" s="117">
        <v>1</v>
      </c>
      <c r="E202" s="117">
        <v>1</v>
      </c>
      <c r="F202" s="117">
        <v>1</v>
      </c>
      <c r="G202" s="117">
        <v>1</v>
      </c>
      <c r="H202" s="117">
        <v>1</v>
      </c>
      <c r="I202" s="117">
        <v>1</v>
      </c>
      <c r="T202" s="117" t="s">
        <v>573</v>
      </c>
      <c r="U202" s="117" t="s">
        <v>573</v>
      </c>
      <c r="V202" s="117" t="s">
        <v>573</v>
      </c>
      <c r="W202" s="117" t="s">
        <v>573</v>
      </c>
      <c r="X202" s="117" t="s">
        <v>573</v>
      </c>
      <c r="Y202" s="117" t="s">
        <v>573</v>
      </c>
    </row>
    <row r="203" spans="1:25">
      <c r="A203" s="117">
        <v>5</v>
      </c>
      <c r="B203" s="117">
        <v>1</v>
      </c>
      <c r="C203" s="117">
        <v>1</v>
      </c>
      <c r="D203" s="117">
        <v>1</v>
      </c>
      <c r="E203" s="117">
        <v>1</v>
      </c>
      <c r="F203" s="117">
        <v>1.1499999999999999</v>
      </c>
      <c r="G203" s="117">
        <v>1</v>
      </c>
      <c r="H203" s="117">
        <v>1</v>
      </c>
      <c r="I203" s="117">
        <v>1</v>
      </c>
      <c r="T203" s="117" t="s">
        <v>573</v>
      </c>
      <c r="U203" s="117" t="s">
        <v>573</v>
      </c>
      <c r="V203" s="117" t="s">
        <v>573</v>
      </c>
      <c r="W203" s="117" t="s">
        <v>573</v>
      </c>
      <c r="X203" s="117" t="s">
        <v>573</v>
      </c>
      <c r="Y203" s="117" t="s">
        <v>573</v>
      </c>
    </row>
    <row r="204" spans="1:25">
      <c r="A204" s="117">
        <v>6</v>
      </c>
      <c r="B204" s="117">
        <v>1</v>
      </c>
      <c r="C204" s="117">
        <v>1</v>
      </c>
      <c r="D204" s="117">
        <v>1</v>
      </c>
      <c r="E204" s="117">
        <v>1.1499999999999999</v>
      </c>
      <c r="F204" s="117">
        <v>1.1499999999999999</v>
      </c>
      <c r="G204" s="117">
        <v>1</v>
      </c>
      <c r="H204" s="117">
        <v>1</v>
      </c>
      <c r="I204" s="117">
        <v>1</v>
      </c>
      <c r="T204" s="117" t="s">
        <v>573</v>
      </c>
      <c r="U204" s="117" t="s">
        <v>573</v>
      </c>
      <c r="V204" s="117" t="s">
        <v>573</v>
      </c>
      <c r="W204" s="117" t="s">
        <v>573</v>
      </c>
      <c r="X204" s="117" t="s">
        <v>573</v>
      </c>
      <c r="Y204" s="117" t="s">
        <v>573</v>
      </c>
    </row>
    <row r="205" spans="1:25">
      <c r="A205" s="117">
        <v>7</v>
      </c>
      <c r="B205" s="117">
        <v>1.1000000000000001</v>
      </c>
      <c r="C205" s="117">
        <v>1</v>
      </c>
      <c r="D205" s="117">
        <v>1.1000000000000001</v>
      </c>
      <c r="E205" s="117">
        <v>1.1499999999999999</v>
      </c>
      <c r="F205" s="117">
        <v>1.1499999999999999</v>
      </c>
      <c r="G205" s="117">
        <v>1</v>
      </c>
      <c r="H205" s="117">
        <v>1</v>
      </c>
      <c r="I205" s="117">
        <v>1</v>
      </c>
      <c r="T205" s="117" t="s">
        <v>573</v>
      </c>
      <c r="U205" s="117" t="s">
        <v>573</v>
      </c>
      <c r="V205" s="117" t="s">
        <v>573</v>
      </c>
      <c r="W205" s="117" t="s">
        <v>573</v>
      </c>
      <c r="X205" s="117" t="s">
        <v>573</v>
      </c>
      <c r="Y205" s="117" t="s">
        <v>573</v>
      </c>
    </row>
    <row r="206" spans="1:25">
      <c r="A206" s="117">
        <v>8</v>
      </c>
      <c r="B206" s="117">
        <v>1.1499999999999999</v>
      </c>
      <c r="C206" s="117">
        <v>1</v>
      </c>
      <c r="D206" s="117">
        <v>1.1499999999999999</v>
      </c>
      <c r="E206" s="117">
        <v>1.1499999999999999</v>
      </c>
      <c r="F206" s="117">
        <v>1.1499999999999999</v>
      </c>
      <c r="G206" s="117">
        <v>1</v>
      </c>
      <c r="H206" s="117">
        <v>1</v>
      </c>
      <c r="I206" s="117">
        <v>1</v>
      </c>
      <c r="T206" s="117" t="s">
        <v>573</v>
      </c>
      <c r="U206" s="117" t="s">
        <v>573</v>
      </c>
      <c r="V206" s="117" t="s">
        <v>573</v>
      </c>
      <c r="W206" s="117" t="s">
        <v>573</v>
      </c>
      <c r="X206" s="117" t="s">
        <v>573</v>
      </c>
      <c r="Y206" s="117" t="s">
        <v>573</v>
      </c>
    </row>
    <row r="207" spans="1:25">
      <c r="A207" s="117">
        <v>9</v>
      </c>
      <c r="B207" s="117">
        <v>1.1000000000000001</v>
      </c>
      <c r="C207" s="117">
        <v>1</v>
      </c>
      <c r="D207" s="117">
        <v>1.1000000000000001</v>
      </c>
      <c r="E207" s="117">
        <v>1.1499999999999999</v>
      </c>
      <c r="F207" s="117">
        <v>1.1499999999999999</v>
      </c>
      <c r="G207" s="117">
        <v>1</v>
      </c>
      <c r="H207" s="117">
        <v>1</v>
      </c>
      <c r="I207" s="117">
        <v>1</v>
      </c>
      <c r="T207" s="117" t="s">
        <v>573</v>
      </c>
      <c r="U207" s="117" t="s">
        <v>573</v>
      </c>
      <c r="V207" s="117" t="s">
        <v>573</v>
      </c>
      <c r="W207" s="117" t="s">
        <v>573</v>
      </c>
      <c r="X207" s="117" t="s">
        <v>573</v>
      </c>
      <c r="Y207" s="117" t="s">
        <v>573</v>
      </c>
    </row>
    <row r="208" spans="1:25">
      <c r="A208" s="117">
        <v>10</v>
      </c>
      <c r="B208" s="117">
        <v>1</v>
      </c>
      <c r="C208" s="117">
        <v>1</v>
      </c>
      <c r="D208" s="117">
        <v>1</v>
      </c>
      <c r="E208" s="117">
        <v>1</v>
      </c>
      <c r="F208" s="117">
        <v>1</v>
      </c>
      <c r="G208" s="117">
        <v>1</v>
      </c>
      <c r="H208" s="117">
        <v>1</v>
      </c>
      <c r="I208" s="117">
        <v>1</v>
      </c>
      <c r="T208" s="117" t="s">
        <v>573</v>
      </c>
      <c r="U208" s="117" t="s">
        <v>573</v>
      </c>
      <c r="V208" s="117" t="s">
        <v>573</v>
      </c>
      <c r="W208" s="117" t="s">
        <v>573</v>
      </c>
      <c r="X208" s="117" t="s">
        <v>573</v>
      </c>
      <c r="Y208" s="117" t="s">
        <v>573</v>
      </c>
    </row>
    <row r="209" spans="1:25">
      <c r="A209" s="117">
        <v>11</v>
      </c>
      <c r="B209" s="117">
        <v>1</v>
      </c>
      <c r="C209" s="117">
        <v>1</v>
      </c>
      <c r="D209" s="117">
        <v>1</v>
      </c>
      <c r="E209" s="117">
        <v>1</v>
      </c>
      <c r="F209" s="117">
        <v>1</v>
      </c>
      <c r="G209" s="117">
        <v>1</v>
      </c>
      <c r="H209" s="117">
        <v>1</v>
      </c>
      <c r="I209" s="117">
        <v>1</v>
      </c>
      <c r="T209" s="117" t="s">
        <v>573</v>
      </c>
      <c r="U209" s="117" t="s">
        <v>573</v>
      </c>
      <c r="V209" s="117" t="s">
        <v>573</v>
      </c>
      <c r="W209" s="117" t="s">
        <v>573</v>
      </c>
      <c r="X209" s="117" t="s">
        <v>573</v>
      </c>
      <c r="Y209" s="117" t="s">
        <v>573</v>
      </c>
    </row>
    <row r="210" spans="1:25">
      <c r="A210" s="117">
        <v>12</v>
      </c>
      <c r="B210" s="117">
        <v>1</v>
      </c>
      <c r="C210" s="117">
        <v>1</v>
      </c>
      <c r="D210" s="117">
        <v>1</v>
      </c>
      <c r="E210" s="117">
        <v>1</v>
      </c>
      <c r="F210" s="117">
        <v>1</v>
      </c>
      <c r="G210" s="117">
        <v>1</v>
      </c>
      <c r="H210" s="117">
        <v>1</v>
      </c>
      <c r="I210" s="117">
        <v>1</v>
      </c>
      <c r="T210" s="117" t="s">
        <v>573</v>
      </c>
      <c r="U210" s="117" t="s">
        <v>573</v>
      </c>
      <c r="V210" s="117" t="s">
        <v>573</v>
      </c>
      <c r="W210" s="117" t="s">
        <v>573</v>
      </c>
      <c r="X210" s="117" t="s">
        <v>573</v>
      </c>
      <c r="Y210" s="117" t="s">
        <v>573</v>
      </c>
    </row>
    <row r="211" spans="1:25">
      <c r="A211" s="117">
        <v>13</v>
      </c>
      <c r="B211" s="117">
        <v>1</v>
      </c>
      <c r="C211" s="117">
        <v>1</v>
      </c>
      <c r="D211" s="117">
        <v>1</v>
      </c>
      <c r="E211" s="117">
        <v>1</v>
      </c>
      <c r="F211" s="117">
        <v>1</v>
      </c>
      <c r="G211" s="117">
        <v>1</v>
      </c>
      <c r="H211" s="117">
        <v>1</v>
      </c>
      <c r="I211" s="117">
        <v>1</v>
      </c>
      <c r="T211" s="117" t="s">
        <v>573</v>
      </c>
      <c r="U211" s="117" t="s">
        <v>573</v>
      </c>
      <c r="V211" s="117" t="s">
        <v>573</v>
      </c>
      <c r="W211" s="117" t="s">
        <v>573</v>
      </c>
      <c r="X211" s="117" t="s">
        <v>573</v>
      </c>
      <c r="Y211" s="117" t="s">
        <v>573</v>
      </c>
    </row>
    <row r="212" spans="1:25">
      <c r="A212" s="117">
        <v>14</v>
      </c>
      <c r="B212" s="117">
        <v>1</v>
      </c>
      <c r="C212" s="117">
        <v>1</v>
      </c>
      <c r="D212" s="117">
        <v>1</v>
      </c>
      <c r="E212" s="117">
        <v>1</v>
      </c>
      <c r="F212" s="117">
        <v>1</v>
      </c>
      <c r="G212" s="117">
        <v>1</v>
      </c>
      <c r="H212" s="117">
        <v>1</v>
      </c>
      <c r="I212" s="117">
        <v>1</v>
      </c>
      <c r="T212" s="117" t="s">
        <v>573</v>
      </c>
      <c r="U212" s="117" t="s">
        <v>573</v>
      </c>
      <c r="V212" s="117" t="s">
        <v>573</v>
      </c>
      <c r="W212" s="117" t="s">
        <v>573</v>
      </c>
      <c r="X212" s="117" t="s">
        <v>573</v>
      </c>
      <c r="Y212" s="117" t="s">
        <v>573</v>
      </c>
    </row>
    <row r="213" spans="1:25">
      <c r="T213" s="117" t="s">
        <v>573</v>
      </c>
      <c r="U213" s="117" t="s">
        <v>573</v>
      </c>
      <c r="V213" s="117" t="s">
        <v>573</v>
      </c>
      <c r="W213" s="117" t="s">
        <v>573</v>
      </c>
      <c r="X213" s="117" t="s">
        <v>573</v>
      </c>
      <c r="Y213" s="117" t="s">
        <v>573</v>
      </c>
    </row>
    <row r="214" spans="1:25">
      <c r="A214" s="117" t="s">
        <v>680</v>
      </c>
      <c r="T214" s="117" t="s">
        <v>573</v>
      </c>
      <c r="U214" s="117" t="s">
        <v>573</v>
      </c>
      <c r="V214" s="117" t="s">
        <v>573</v>
      </c>
      <c r="W214" s="117" t="s">
        <v>573</v>
      </c>
      <c r="X214" s="117" t="s">
        <v>573</v>
      </c>
      <c r="Y214" s="117" t="s">
        <v>573</v>
      </c>
    </row>
    <row r="215" spans="1:25">
      <c r="B215" s="661" t="s">
        <v>681</v>
      </c>
      <c r="C215" s="661"/>
      <c r="E215" s="661" t="s">
        <v>682</v>
      </c>
      <c r="F215" s="661"/>
      <c r="T215" s="117" t="s">
        <v>573</v>
      </c>
      <c r="U215" s="117" t="s">
        <v>573</v>
      </c>
      <c r="V215" s="117" t="s">
        <v>573</v>
      </c>
      <c r="W215" s="117" t="s">
        <v>573</v>
      </c>
      <c r="X215" s="117" t="s">
        <v>573</v>
      </c>
      <c r="Y215" s="117" t="s">
        <v>573</v>
      </c>
    </row>
    <row r="216" spans="1:25">
      <c r="A216" s="117" t="s">
        <v>607</v>
      </c>
      <c r="B216" s="117">
        <v>0</v>
      </c>
      <c r="C216" s="117">
        <v>1</v>
      </c>
      <c r="D216" s="117" t="s">
        <v>607</v>
      </c>
      <c r="E216" s="117">
        <v>0</v>
      </c>
      <c r="F216" s="117">
        <v>1</v>
      </c>
      <c r="T216" s="117" t="s">
        <v>573</v>
      </c>
      <c r="U216" s="117" t="s">
        <v>573</v>
      </c>
      <c r="V216" s="117" t="s">
        <v>573</v>
      </c>
      <c r="W216" s="117" t="s">
        <v>573</v>
      </c>
      <c r="X216" s="117" t="s">
        <v>573</v>
      </c>
      <c r="Y216" s="117" t="s">
        <v>573</v>
      </c>
    </row>
    <row r="217" spans="1:25">
      <c r="A217" s="117">
        <v>2</v>
      </c>
      <c r="B217" s="117">
        <v>0.71</v>
      </c>
      <c r="C217" s="117">
        <v>0.69</v>
      </c>
      <c r="D217" s="117">
        <v>2</v>
      </c>
      <c r="E217" s="117">
        <v>0.88</v>
      </c>
      <c r="F217" s="117">
        <v>0.65</v>
      </c>
      <c r="T217" s="117" t="s">
        <v>573</v>
      </c>
      <c r="U217" s="117" t="s">
        <v>573</v>
      </c>
      <c r="V217" s="117" t="s">
        <v>573</v>
      </c>
      <c r="W217" s="117" t="s">
        <v>573</v>
      </c>
      <c r="X217" s="117" t="s">
        <v>573</v>
      </c>
      <c r="Y217" s="117" t="s">
        <v>573</v>
      </c>
    </row>
    <row r="218" spans="1:25">
      <c r="A218" s="117">
        <v>4</v>
      </c>
      <c r="B218" s="117">
        <v>0.94</v>
      </c>
      <c r="C218" s="117">
        <v>0.98</v>
      </c>
      <c r="D218" s="117">
        <v>4</v>
      </c>
      <c r="E218" s="117">
        <v>0.94</v>
      </c>
      <c r="F218" s="117">
        <v>0.96</v>
      </c>
      <c r="T218" s="117" t="s">
        <v>573</v>
      </c>
      <c r="U218" s="117" t="s">
        <v>573</v>
      </c>
      <c r="V218" s="117" t="s">
        <v>573</v>
      </c>
      <c r="W218" s="117" t="s">
        <v>573</v>
      </c>
      <c r="X218" s="117" t="s">
        <v>573</v>
      </c>
      <c r="Y218" s="117" t="s">
        <v>573</v>
      </c>
    </row>
    <row r="219" spans="1:25">
      <c r="A219" s="117">
        <v>6</v>
      </c>
      <c r="B219" s="117">
        <v>1.3</v>
      </c>
      <c r="C219" s="117">
        <v>1.0900000000000001</v>
      </c>
      <c r="D219" s="117">
        <v>6</v>
      </c>
      <c r="E219" s="117">
        <v>1.53</v>
      </c>
      <c r="F219" s="117">
        <v>1.61</v>
      </c>
      <c r="T219" s="117" t="s">
        <v>573</v>
      </c>
      <c r="U219" s="117" t="s">
        <v>573</v>
      </c>
      <c r="V219" s="117" t="s">
        <v>573</v>
      </c>
      <c r="W219" s="117" t="s">
        <v>573</v>
      </c>
      <c r="X219" s="117" t="s">
        <v>573</v>
      </c>
      <c r="Y219" s="117" t="s">
        <v>573</v>
      </c>
    </row>
    <row r="220" spans="1:25">
      <c r="A220" s="117">
        <v>8</v>
      </c>
      <c r="B220" s="117">
        <v>1.71</v>
      </c>
      <c r="C220" s="117">
        <v>1.53</v>
      </c>
      <c r="D220" s="117">
        <v>8</v>
      </c>
      <c r="E220" s="117">
        <v>2.3199999999999998</v>
      </c>
      <c r="F220" s="117">
        <v>2.91</v>
      </c>
      <c r="T220" s="117" t="s">
        <v>573</v>
      </c>
      <c r="U220" s="117" t="s">
        <v>573</v>
      </c>
      <c r="V220" s="117" t="s">
        <v>573</v>
      </c>
      <c r="W220" s="117" t="s">
        <v>573</v>
      </c>
      <c r="X220" s="117" t="s">
        <v>573</v>
      </c>
      <c r="Y220" s="117" t="s">
        <v>573</v>
      </c>
    </row>
    <row r="221" spans="1:25">
      <c r="T221" s="117" t="s">
        <v>573</v>
      </c>
      <c r="U221" s="117" t="s">
        <v>573</v>
      </c>
      <c r="V221" s="117" t="s">
        <v>573</v>
      </c>
      <c r="W221" s="117" t="s">
        <v>573</v>
      </c>
      <c r="X221" s="117" t="s">
        <v>573</v>
      </c>
      <c r="Y221" s="117" t="s">
        <v>573</v>
      </c>
    </row>
    <row r="222" spans="1:25">
      <c r="T222" s="117" t="s">
        <v>573</v>
      </c>
      <c r="U222" s="117" t="s">
        <v>573</v>
      </c>
      <c r="V222" s="117" t="s">
        <v>573</v>
      </c>
      <c r="W222" s="117" t="s">
        <v>573</v>
      </c>
      <c r="X222" s="117" t="s">
        <v>573</v>
      </c>
      <c r="Y222" s="117" t="s">
        <v>573</v>
      </c>
    </row>
    <row r="223" spans="1:25">
      <c r="T223" s="117" t="s">
        <v>573</v>
      </c>
      <c r="U223" s="117" t="s">
        <v>573</v>
      </c>
      <c r="V223" s="117" t="s">
        <v>573</v>
      </c>
      <c r="W223" s="117" t="s">
        <v>573</v>
      </c>
      <c r="X223" s="117" t="s">
        <v>573</v>
      </c>
      <c r="Y223" s="117" t="s">
        <v>573</v>
      </c>
    </row>
    <row r="224" spans="1:25">
      <c r="T224" s="117" t="s">
        <v>573</v>
      </c>
      <c r="U224" s="117" t="s">
        <v>573</v>
      </c>
      <c r="V224" s="117" t="s">
        <v>573</v>
      </c>
      <c r="W224" s="117" t="s">
        <v>573</v>
      </c>
      <c r="X224" s="117" t="s">
        <v>573</v>
      </c>
      <c r="Y224" s="117" t="s">
        <v>573</v>
      </c>
    </row>
    <row r="225" spans="20:25">
      <c r="T225" s="117" t="s">
        <v>573</v>
      </c>
      <c r="U225" s="117" t="s">
        <v>573</v>
      </c>
      <c r="V225" s="117" t="s">
        <v>573</v>
      </c>
      <c r="W225" s="117" t="s">
        <v>573</v>
      </c>
      <c r="X225" s="117" t="s">
        <v>573</v>
      </c>
      <c r="Y225" s="117" t="s">
        <v>573</v>
      </c>
    </row>
    <row r="226" spans="20:25">
      <c r="T226" s="117" t="s">
        <v>573</v>
      </c>
      <c r="U226" s="117" t="s">
        <v>573</v>
      </c>
      <c r="V226" s="117" t="s">
        <v>573</v>
      </c>
      <c r="W226" s="117" t="s">
        <v>573</v>
      </c>
      <c r="X226" s="117" t="s">
        <v>573</v>
      </c>
      <c r="Y226" s="117" t="s">
        <v>573</v>
      </c>
    </row>
    <row r="227" spans="20:25">
      <c r="T227" s="117" t="s">
        <v>573</v>
      </c>
      <c r="U227" s="117" t="s">
        <v>573</v>
      </c>
      <c r="V227" s="117" t="s">
        <v>573</v>
      </c>
      <c r="W227" s="117" t="s">
        <v>573</v>
      </c>
      <c r="X227" s="117" t="s">
        <v>573</v>
      </c>
      <c r="Y227" s="117" t="s">
        <v>573</v>
      </c>
    </row>
    <row r="228" spans="20:25">
      <c r="T228" s="117" t="s">
        <v>573</v>
      </c>
      <c r="U228" s="117" t="s">
        <v>573</v>
      </c>
      <c r="V228" s="117" t="s">
        <v>573</v>
      </c>
      <c r="W228" s="117" t="s">
        <v>573</v>
      </c>
      <c r="X228" s="117" t="s">
        <v>573</v>
      </c>
      <c r="Y228" s="117" t="s">
        <v>573</v>
      </c>
    </row>
    <row r="229" spans="20:25">
      <c r="T229" s="117" t="s">
        <v>573</v>
      </c>
      <c r="U229" s="117" t="s">
        <v>573</v>
      </c>
      <c r="V229" s="117" t="s">
        <v>573</v>
      </c>
      <c r="W229" s="117" t="s">
        <v>573</v>
      </c>
      <c r="X229" s="117" t="s">
        <v>573</v>
      </c>
      <c r="Y229" s="117" t="s">
        <v>573</v>
      </c>
    </row>
    <row r="230" spans="20:25">
      <c r="T230" s="117" t="s">
        <v>573</v>
      </c>
      <c r="U230" s="117" t="s">
        <v>573</v>
      </c>
      <c r="V230" s="117" t="s">
        <v>573</v>
      </c>
      <c r="W230" s="117" t="s">
        <v>573</v>
      </c>
      <c r="X230" s="117" t="s">
        <v>573</v>
      </c>
      <c r="Y230" s="117" t="s">
        <v>573</v>
      </c>
    </row>
    <row r="231" spans="20:25">
      <c r="T231" s="117" t="s">
        <v>573</v>
      </c>
      <c r="U231" s="117" t="s">
        <v>573</v>
      </c>
      <c r="V231" s="117" t="s">
        <v>573</v>
      </c>
      <c r="W231" s="117" t="s">
        <v>573</v>
      </c>
      <c r="X231" s="117" t="s">
        <v>573</v>
      </c>
      <c r="Y231" s="117" t="s">
        <v>573</v>
      </c>
    </row>
    <row r="232" spans="20:25">
      <c r="T232" s="117" t="s">
        <v>573</v>
      </c>
      <c r="U232" s="117" t="s">
        <v>573</v>
      </c>
      <c r="V232" s="117" t="s">
        <v>573</v>
      </c>
      <c r="W232" s="117" t="s">
        <v>573</v>
      </c>
      <c r="X232" s="117" t="s">
        <v>573</v>
      </c>
      <c r="Y232" s="117" t="s">
        <v>573</v>
      </c>
    </row>
    <row r="233" spans="20:25">
      <c r="T233" s="117" t="s">
        <v>573</v>
      </c>
      <c r="U233" s="117" t="s">
        <v>573</v>
      </c>
      <c r="V233" s="117" t="s">
        <v>573</v>
      </c>
      <c r="W233" s="117" t="s">
        <v>573</v>
      </c>
      <c r="X233" s="117" t="s">
        <v>573</v>
      </c>
      <c r="Y233" s="117" t="s">
        <v>573</v>
      </c>
    </row>
    <row r="234" spans="20:25">
      <c r="T234" s="117" t="s">
        <v>573</v>
      </c>
      <c r="U234" s="117" t="s">
        <v>573</v>
      </c>
      <c r="V234" s="117" t="s">
        <v>573</v>
      </c>
      <c r="W234" s="117" t="s">
        <v>573</v>
      </c>
      <c r="X234" s="117" t="s">
        <v>573</v>
      </c>
      <c r="Y234" s="117" t="s">
        <v>573</v>
      </c>
    </row>
    <row r="235" spans="20:25">
      <c r="T235" s="117" t="s">
        <v>573</v>
      </c>
      <c r="U235" s="117" t="s">
        <v>573</v>
      </c>
      <c r="V235" s="117" t="s">
        <v>573</v>
      </c>
      <c r="W235" s="117" t="s">
        <v>573</v>
      </c>
      <c r="X235" s="117" t="s">
        <v>573</v>
      </c>
      <c r="Y235" s="117" t="s">
        <v>573</v>
      </c>
    </row>
  </sheetData>
  <customSheetViews>
    <customSheetView guid="{667C12D2-B688-4218-94B0-4FC6FD6E2246}">
      <pageMargins left="0.7" right="0.7" top="0.75" bottom="0.75" header="0.3" footer="0.3"/>
    </customSheetView>
  </customSheetViews>
  <mergeCells count="10">
    <mergeCell ref="B215:C215"/>
    <mergeCell ref="E215:F215"/>
    <mergeCell ref="B51:Z51"/>
    <mergeCell ref="G129:I129"/>
    <mergeCell ref="B2:J2"/>
    <mergeCell ref="L2:T2"/>
    <mergeCell ref="V2:AD2"/>
    <mergeCell ref="B26:M26"/>
    <mergeCell ref="O26:AA26"/>
    <mergeCell ref="B72:K72"/>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42"/>
  <sheetViews>
    <sheetView workbookViewId="0"/>
  </sheetViews>
  <sheetFormatPr defaultColWidth="9" defaultRowHeight="13.8"/>
  <cols>
    <col min="1" max="1025" width="10.5" style="1" customWidth="1"/>
    <col min="1026" max="16384" width="9" style="1"/>
  </cols>
  <sheetData>
    <row r="1" spans="1:10">
      <c r="A1" s="1" t="s">
        <v>540</v>
      </c>
      <c r="B1" s="4" t="s">
        <v>539</v>
      </c>
    </row>
    <row r="2" spans="1:10">
      <c r="A2" s="2" t="s">
        <v>538</v>
      </c>
      <c r="B2" s="6" t="str">
        <f>Sheet1!F13</f>
        <v/>
      </c>
    </row>
    <row r="3" spans="1:10">
      <c r="A3" s="1" t="s">
        <v>537</v>
      </c>
      <c r="B3" s="5" t="str">
        <f>Sheet1!U169</f>
        <v/>
      </c>
    </row>
    <row r="4" spans="1:10">
      <c r="A4" s="1" t="s">
        <v>536</v>
      </c>
      <c r="B4" s="4" t="str">
        <f>Sheet1!Q222</f>
        <v>2D</v>
      </c>
      <c r="C4" s="4" t="str">
        <f>Sheet1!R222</f>
        <v>2D</v>
      </c>
      <c r="D4" s="4" t="str">
        <f>Sheet1!S222</f>
        <v>3D</v>
      </c>
      <c r="E4" s="4" t="str">
        <f>Sheet1!T222</f>
        <v>3D</v>
      </c>
    </row>
    <row r="5" spans="1:10">
      <c r="B5" s="4" t="str">
        <f>Sheet1!Q223</f>
        <v>W</v>
      </c>
      <c r="C5" s="4" t="str">
        <f>Sheet1!R223</f>
        <v>W</v>
      </c>
      <c r="D5" s="4" t="str">
        <f>Sheet1!S223</f>
        <v>W</v>
      </c>
      <c r="E5" s="4" t="str">
        <f>Sheet1!T223</f>
        <v>W</v>
      </c>
    </row>
    <row r="6" spans="1:10">
      <c r="B6" s="4">
        <f>Sheet1!Q226</f>
        <v>0</v>
      </c>
      <c r="C6" s="4">
        <f>Sheet1!R226</f>
        <v>0</v>
      </c>
      <c r="D6" s="4">
        <f>Sheet1!S226</f>
        <v>0</v>
      </c>
      <c r="E6" s="4">
        <f>Sheet1!T226</f>
        <v>0</v>
      </c>
    </row>
    <row r="7" spans="1:10">
      <c r="A7" s="1" t="s">
        <v>535</v>
      </c>
      <c r="B7" s="4" t="str">
        <f>Sheet1!X297</f>
        <v/>
      </c>
    </row>
    <row r="8" spans="1:10">
      <c r="A8" s="1" t="s">
        <v>534</v>
      </c>
      <c r="B8" s="4" t="str">
        <f>Sheet1!X312</f>
        <v/>
      </c>
    </row>
    <row r="9" spans="1:10">
      <c r="A9" s="1" t="s">
        <v>533</v>
      </c>
      <c r="B9" s="5" t="str">
        <f>Sheet1!X349</f>
        <v/>
      </c>
    </row>
    <row r="10" spans="1:10">
      <c r="A10" s="1" t="s">
        <v>610</v>
      </c>
      <c r="B10" s="4" t="str">
        <f>Sheet1!P402&amp;"/"&amp;Sheet1!Q402</f>
        <v>/</v>
      </c>
      <c r="C10" s="15" t="s">
        <v>234</v>
      </c>
      <c r="D10" s="16" t="s">
        <v>532</v>
      </c>
      <c r="E10" s="4" t="str">
        <f>Sheet1!P414&amp;"/"&amp;Sheet1!Q414</f>
        <v>/</v>
      </c>
      <c r="F10" s="15" t="s">
        <v>234</v>
      </c>
      <c r="G10" s="16" t="s">
        <v>532</v>
      </c>
      <c r="H10" s="4" t="str">
        <f>Sheet1!P423&amp;"/"&amp;Sheet1!Q423</f>
        <v>/</v>
      </c>
      <c r="I10" s="15" t="s">
        <v>234</v>
      </c>
      <c r="J10" s="16" t="s">
        <v>532</v>
      </c>
    </row>
    <row r="11" spans="1:10">
      <c r="A11" s="1" t="s">
        <v>532</v>
      </c>
      <c r="B11" s="4" t="str">
        <f>Sheet1!R402</f>
        <v/>
      </c>
      <c r="C11" s="14" t="str">
        <f>Sheet1!T402</f>
        <v/>
      </c>
      <c r="D11" s="4" t="str">
        <f>Sheet1!W402</f>
        <v/>
      </c>
      <c r="E11" s="4" t="str">
        <f>Sheet1!R414</f>
        <v/>
      </c>
      <c r="F11" s="14" t="str">
        <f>Sheet1!T414</f>
        <v/>
      </c>
      <c r="G11" s="4" t="str">
        <f>Sheet1!W414</f>
        <v/>
      </c>
      <c r="H11" s="4" t="str">
        <f>Sheet1!R423</f>
        <v/>
      </c>
      <c r="I11" s="14" t="str">
        <f>Sheet1!T423</f>
        <v/>
      </c>
      <c r="J11" s="4" t="str">
        <f>Sheet1!W423</f>
        <v/>
      </c>
    </row>
    <row r="12" spans="1:10">
      <c r="B12" s="4" t="str">
        <f>Sheet1!R403</f>
        <v/>
      </c>
      <c r="C12" s="14" t="str">
        <f>Sheet1!T403</f>
        <v/>
      </c>
      <c r="D12" s="4" t="str">
        <f>Sheet1!W403</f>
        <v/>
      </c>
      <c r="E12" s="4" t="str">
        <f>Sheet1!R415</f>
        <v/>
      </c>
      <c r="F12" s="14" t="str">
        <f>Sheet1!T415</f>
        <v/>
      </c>
      <c r="G12" s="4" t="str">
        <f>Sheet1!W415</f>
        <v/>
      </c>
      <c r="H12" s="4" t="str">
        <f>Sheet1!R424</f>
        <v/>
      </c>
      <c r="I12" s="14" t="str">
        <f>Sheet1!T424</f>
        <v/>
      </c>
      <c r="J12" s="4" t="str">
        <f>Sheet1!W424</f>
        <v/>
      </c>
    </row>
    <row r="13" spans="1:10">
      <c r="B13" s="4" t="str">
        <f>Sheet1!R404</f>
        <v/>
      </c>
      <c r="C13" s="14" t="str">
        <f>Sheet1!T404</f>
        <v/>
      </c>
      <c r="D13" s="4" t="str">
        <f>Sheet1!W404</f>
        <v/>
      </c>
      <c r="E13" s="4" t="str">
        <f>Sheet1!R416</f>
        <v/>
      </c>
      <c r="F13" s="14" t="str">
        <f>Sheet1!T416</f>
        <v/>
      </c>
      <c r="G13" s="4" t="str">
        <f>Sheet1!W416</f>
        <v/>
      </c>
      <c r="H13" s="4" t="str">
        <f>Sheet1!R425</f>
        <v/>
      </c>
      <c r="I13" s="14" t="str">
        <f>Sheet1!T425</f>
        <v/>
      </c>
      <c r="J13" s="4" t="str">
        <f>Sheet1!W425</f>
        <v/>
      </c>
    </row>
    <row r="14" spans="1:10">
      <c r="B14" s="4" t="str">
        <f>Sheet1!R405</f>
        <v/>
      </c>
      <c r="C14" s="14" t="str">
        <f>Sheet1!T405</f>
        <v/>
      </c>
      <c r="D14" s="4" t="str">
        <f>Sheet1!W405</f>
        <v/>
      </c>
      <c r="E14" s="4" t="str">
        <f>Sheet1!R417</f>
        <v/>
      </c>
      <c r="F14" s="14" t="str">
        <f>Sheet1!T417</f>
        <v/>
      </c>
      <c r="G14" s="4" t="str">
        <f>Sheet1!W417</f>
        <v/>
      </c>
      <c r="H14" s="4" t="str">
        <f>Sheet1!R426</f>
        <v/>
      </c>
      <c r="I14" s="14" t="str">
        <f>Sheet1!T426</f>
        <v/>
      </c>
      <c r="J14" s="4" t="str">
        <f>Sheet1!W426</f>
        <v/>
      </c>
    </row>
    <row r="15" spans="1:10">
      <c r="B15" s="4" t="str">
        <f>Sheet1!R406</f>
        <v/>
      </c>
      <c r="C15" s="14" t="str">
        <f>Sheet1!T406</f>
        <v/>
      </c>
      <c r="D15" s="4" t="str">
        <f>Sheet1!W406</f>
        <v/>
      </c>
      <c r="E15" s="4" t="str">
        <f>Sheet1!R418</f>
        <v/>
      </c>
      <c r="F15" s="14" t="str">
        <f>Sheet1!T418</f>
        <v/>
      </c>
      <c r="G15" s="4" t="str">
        <f>Sheet1!W418</f>
        <v/>
      </c>
      <c r="H15" s="4" t="str">
        <f>Sheet1!R427</f>
        <v/>
      </c>
      <c r="I15" s="14" t="str">
        <f>Sheet1!T427</f>
        <v/>
      </c>
      <c r="J15" s="4" t="str">
        <f>Sheet1!W427</f>
        <v/>
      </c>
    </row>
    <row r="16" spans="1:10">
      <c r="B16" s="4" t="str">
        <f>Sheet1!R407</f>
        <v/>
      </c>
      <c r="C16" s="14" t="str">
        <f>Sheet1!T407</f>
        <v/>
      </c>
      <c r="D16" s="4" t="str">
        <f>Sheet1!W407</f>
        <v/>
      </c>
      <c r="E16" s="4" t="str">
        <f>Sheet1!R419</f>
        <v/>
      </c>
      <c r="F16" s="14" t="str">
        <f>Sheet1!T419</f>
        <v/>
      </c>
      <c r="G16" s="4" t="str">
        <f>Sheet1!W419</f>
        <v/>
      </c>
    </row>
    <row r="17" spans="1:4">
      <c r="B17" s="4" t="str">
        <f>Sheet1!R408</f>
        <v/>
      </c>
      <c r="C17" s="14" t="str">
        <f>Sheet1!T408</f>
        <v/>
      </c>
      <c r="D17" s="4" t="str">
        <f>Sheet1!W408</f>
        <v/>
      </c>
    </row>
    <row r="18" spans="1:4">
      <c r="A18" s="1" t="s">
        <v>531</v>
      </c>
      <c r="B18" s="4" t="str">
        <f>Sheet1!P457&amp;"/"&amp;Sheet1!Q457</f>
        <v>/</v>
      </c>
      <c r="C18" s="14"/>
    </row>
    <row r="19" spans="1:4">
      <c r="B19" s="4" t="str">
        <f>Sheet1!S457</f>
        <v/>
      </c>
      <c r="C19" s="4" t="str">
        <f>Sheet1!W457</f>
        <v/>
      </c>
    </row>
    <row r="20" spans="1:4">
      <c r="B20" s="4" t="str">
        <f>Sheet1!S458</f>
        <v/>
      </c>
      <c r="C20" s="4" t="str">
        <f>Sheet1!W458</f>
        <v/>
      </c>
    </row>
    <row r="21" spans="1:4">
      <c r="B21" s="4" t="str">
        <f>Sheet1!S459</f>
        <v/>
      </c>
      <c r="C21" s="4" t="str">
        <f>Sheet1!W459</f>
        <v/>
      </c>
    </row>
    <row r="22" spans="1:4">
      <c r="B22" s="5" t="str">
        <f>Sheet1!S460</f>
        <v/>
      </c>
      <c r="C22" s="5" t="str">
        <f>Sheet1!W460</f>
        <v/>
      </c>
    </row>
    <row r="23" spans="1:4">
      <c r="A23" s="1" t="s">
        <v>334</v>
      </c>
      <c r="B23" s="4" t="str">
        <f>Sheet1!Q466</f>
        <v>/</v>
      </c>
      <c r="C23" s="4">
        <f>Sheet1!Q467</f>
        <v>0</v>
      </c>
      <c r="D23" s="4" t="str">
        <f>Sheet1!Q470</f>
        <v/>
      </c>
    </row>
    <row r="24" spans="1:4">
      <c r="B24" s="4" t="str">
        <f>Sheet1!R466</f>
        <v>/</v>
      </c>
      <c r="C24" s="4">
        <f>Sheet1!R467</f>
        <v>0</v>
      </c>
      <c r="D24" s="4" t="str">
        <f>Sheet1!R470</f>
        <v/>
      </c>
    </row>
    <row r="25" spans="1:4">
      <c r="B25" s="4" t="str">
        <f>Sheet1!S466</f>
        <v>/</v>
      </c>
      <c r="C25" s="4">
        <f>Sheet1!S467</f>
        <v>0</v>
      </c>
      <c r="D25" s="4" t="str">
        <f>Sheet1!S470</f>
        <v/>
      </c>
    </row>
    <row r="26" spans="1:4">
      <c r="B26" s="4" t="str">
        <f>Sheet1!T466</f>
        <v>/</v>
      </c>
      <c r="C26" s="4">
        <f>Sheet1!T467</f>
        <v>0</v>
      </c>
      <c r="D26" s="4" t="str">
        <f>Sheet1!T470</f>
        <v/>
      </c>
    </row>
    <row r="27" spans="1:4">
      <c r="B27" s="4" t="str">
        <f>Sheet1!U466</f>
        <v>/</v>
      </c>
      <c r="C27" s="4">
        <f>Sheet1!U467</f>
        <v>0</v>
      </c>
      <c r="D27" s="4" t="str">
        <f>Sheet1!U470</f>
        <v/>
      </c>
    </row>
    <row r="28" spans="1:4">
      <c r="B28" s="4" t="str">
        <f>Sheet1!V466</f>
        <v>/</v>
      </c>
      <c r="C28" s="4">
        <f>Sheet1!V467</f>
        <v>0</v>
      </c>
      <c r="D28" s="4" t="str">
        <f>Sheet1!V470</f>
        <v/>
      </c>
    </row>
    <row r="29" spans="1:4">
      <c r="B29" s="4" t="str">
        <f>Sheet1!W466</f>
        <v>/</v>
      </c>
      <c r="C29" s="4">
        <f>Sheet1!W467</f>
        <v>0</v>
      </c>
      <c r="D29" s="4" t="str">
        <f>Sheet1!W470</f>
        <v/>
      </c>
    </row>
    <row r="30" spans="1:4">
      <c r="B30" s="4" t="str">
        <f>Sheet1!X466</f>
        <v>/</v>
      </c>
      <c r="C30" s="4">
        <f>Sheet1!X467</f>
        <v>0</v>
      </c>
      <c r="D30" s="4" t="str">
        <f>Sheet1!X470</f>
        <v/>
      </c>
    </row>
    <row r="31" spans="1:4">
      <c r="B31" s="4" t="str">
        <f>Sheet1!Q478</f>
        <v>/</v>
      </c>
      <c r="C31" s="4">
        <f>Sheet1!Q479</f>
        <v>0</v>
      </c>
      <c r="D31" s="4" t="str">
        <f>Sheet1!Q482</f>
        <v/>
      </c>
    </row>
    <row r="32" spans="1:4">
      <c r="B32" s="4" t="str">
        <f>Sheet1!R478</f>
        <v>/</v>
      </c>
      <c r="C32" s="4">
        <f>Sheet1!R479</f>
        <v>0</v>
      </c>
      <c r="D32" s="4" t="str">
        <f>Sheet1!R482</f>
        <v/>
      </c>
    </row>
    <row r="33" spans="1:5">
      <c r="B33" s="4" t="str">
        <f>Sheet1!S478</f>
        <v>/</v>
      </c>
      <c r="C33" s="4">
        <f>Sheet1!S479</f>
        <v>0</v>
      </c>
      <c r="D33" s="4" t="str">
        <f>Sheet1!S482</f>
        <v/>
      </c>
    </row>
    <row r="34" spans="1:5">
      <c r="B34" s="4" t="str">
        <f>Sheet1!T478</f>
        <v>/</v>
      </c>
      <c r="C34" s="4">
        <f>Sheet1!T479</f>
        <v>0</v>
      </c>
      <c r="D34" s="4" t="str">
        <f>Sheet1!T482</f>
        <v/>
      </c>
    </row>
    <row r="35" spans="1:5">
      <c r="B35" s="4" t="str">
        <f>Sheet1!U478</f>
        <v>/</v>
      </c>
      <c r="C35" s="4">
        <f>Sheet1!U479</f>
        <v>0</v>
      </c>
      <c r="D35" s="4" t="str">
        <f>Sheet1!U482</f>
        <v/>
      </c>
    </row>
    <row r="36" spans="1:5">
      <c r="A36" s="1" t="s">
        <v>530</v>
      </c>
      <c r="B36" s="4" t="str">
        <f>Sheet1!P519</f>
        <v>2D</v>
      </c>
      <c r="C36" s="4" t="str">
        <f>Sheet1!R519</f>
        <v>Mag</v>
      </c>
      <c r="D36" s="4" t="str">
        <f>Sheet1!T519</f>
        <v>3D</v>
      </c>
      <c r="E36" s="4" t="s">
        <v>614</v>
      </c>
    </row>
    <row r="37" spans="1:5">
      <c r="A37" s="1" t="s">
        <v>421</v>
      </c>
      <c r="B37" s="4">
        <f>Sheet1!P523</f>
        <v>0</v>
      </c>
      <c r="C37" s="4">
        <f>Sheet1!R523</f>
        <v>0</v>
      </c>
      <c r="D37" s="4">
        <f>Sheet1!T523</f>
        <v>0</v>
      </c>
      <c r="E37" s="4">
        <f>Sheet1!U504</f>
        <v>0</v>
      </c>
    </row>
    <row r="38" spans="1:5">
      <c r="A38" s="1" t="s">
        <v>422</v>
      </c>
      <c r="B38" s="4">
        <f>Sheet1!P524</f>
        <v>0</v>
      </c>
      <c r="C38" s="4">
        <f>Sheet1!R524</f>
        <v>0</v>
      </c>
      <c r="D38" s="4">
        <f>Sheet1!T524</f>
        <v>0</v>
      </c>
      <c r="E38" s="4">
        <f>Sheet1!U505</f>
        <v>0</v>
      </c>
    </row>
    <row r="39" spans="1:5">
      <c r="A39" s="1" t="s">
        <v>423</v>
      </c>
      <c r="B39" s="4">
        <f>Sheet1!P525</f>
        <v>0</v>
      </c>
      <c r="C39" s="4">
        <f>Sheet1!R525</f>
        <v>0</v>
      </c>
      <c r="D39" s="4">
        <f>Sheet1!T525</f>
        <v>0</v>
      </c>
      <c r="E39" s="4">
        <f>Sheet1!U506</f>
        <v>0</v>
      </c>
    </row>
    <row r="40" spans="1:5">
      <c r="A40" s="1" t="s">
        <v>611</v>
      </c>
      <c r="B40" s="4" t="str">
        <f>Sheet1!Q534&amp;"/"&amp;Sheet1!Q535</f>
        <v>/</v>
      </c>
    </row>
    <row r="41" spans="1:5">
      <c r="A41" s="1" t="s">
        <v>529</v>
      </c>
      <c r="B41" s="4" t="e">
        <f>Sheet1!T536</f>
        <v>#DIV/0!</v>
      </c>
    </row>
    <row r="42" spans="1:5">
      <c r="A42" s="1" t="s">
        <v>528</v>
      </c>
      <c r="B42" s="4" t="e">
        <f>Sheet1!T537</f>
        <v>#DIV/0!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QC Test Summary-Hologic</vt:lpstr>
      <vt:lpstr>Tech QC Eval-Hologic</vt:lpstr>
      <vt:lpstr>SBB QC Test Summary</vt:lpstr>
      <vt:lpstr>SBB Tech QC Eval</vt:lpstr>
      <vt:lpstr>MQSA Requirements</vt:lpstr>
      <vt:lpstr>Sheet1</vt:lpstr>
      <vt:lpstr>Sheet2</vt:lpstr>
      <vt:lpstr>Tables</vt:lpstr>
      <vt:lpstr>DataPage</vt:lpstr>
      <vt:lpstr>Corrected kV</vt:lpstr>
      <vt:lpstr>dropdowns</vt:lpstr>
      <vt:lpstr>AEC_ImgQual</vt:lpstr>
      <vt:lpstr>Artifact_Coll</vt:lpstr>
      <vt:lpstr>FiberList</vt:lpstr>
      <vt:lpstr>Gen_HVL</vt:lpstr>
      <vt:lpstr>MGD</vt:lpstr>
      <vt:lpstr>Model</vt:lpstr>
      <vt:lpstr>NA</vt:lpstr>
      <vt:lpstr>Page1</vt:lpstr>
      <vt:lpstr>Page2</vt:lpstr>
      <vt:lpstr>PF</vt:lpstr>
      <vt:lpstr>'MQSA Requirements'!Print_Area</vt:lpstr>
      <vt:lpstr>'QC Test Summary-Hologic'!Print_Area</vt:lpstr>
      <vt:lpstr>'SBB QC Test Summary'!Print_Area</vt:lpstr>
      <vt:lpstr>'SBB Tech QC Eval'!Print_Area</vt:lpstr>
      <vt:lpstr>Sheet1!Print_Area</vt:lpstr>
      <vt:lpstr>'Tech QC Eval-Hologic'!Print_Area</vt:lpstr>
      <vt:lpstr>'MQSA Requirements'!Print_Titles</vt:lpstr>
      <vt:lpstr>SBB</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Mah, Eugene</cp:lastModifiedBy>
  <cp:lastPrinted>2020-04-14T19:01:10Z</cp:lastPrinted>
  <dcterms:created xsi:type="dcterms:W3CDTF">2017-10-26T12:48:27Z</dcterms:created>
  <dcterms:modified xsi:type="dcterms:W3CDTF">2025-09-04T15:23:20Z</dcterms:modified>
</cp:coreProperties>
</file>